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ER\DMT\Website publishing\For publication AER web site\Distribution\"/>
    </mc:Choice>
  </mc:AlternateContent>
  <bookViews>
    <workbookView xWindow="-15" yWindow="-15" windowWidth="49995" windowHeight="5970" tabRatio="724" firstSheet="7" activeTab="10"/>
  </bookViews>
  <sheets>
    <sheet name="AER only" sheetId="33" state="veryHidden" r:id="rId1"/>
    <sheet name="Business &amp; other details" sheetId="34" r:id="rId2"/>
    <sheet name="cover" sheetId="6" r:id="rId3"/>
    <sheet name="1. Contents" sheetId="1" r:id="rId4"/>
    <sheet name="3.1 Revenue" sheetId="26" r:id="rId5"/>
    <sheet name="3.2 Operating expenditure" sheetId="27" r:id="rId6"/>
    <sheet name="3.3 Assets (RAB)" sheetId="28" r:id="rId7"/>
    <sheet name="3.4 Operational data" sheetId="29" r:id="rId8"/>
    <sheet name="3.5 Physical Assets" sheetId="30" r:id="rId9"/>
    <sheet name="3.6 Quality of services" sheetId="31" r:id="rId10"/>
    <sheet name="3.7 Operating environment" sheetId="3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jns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123Graph_A" hidden="1">[1]SYDNEY!$S$45:$S$98</definedName>
    <definedName name="__123Graph_A5YRAVER" hidden="1">[1]SYDNEY!$T$19:$T$30</definedName>
    <definedName name="__123Graph_AAVDDAYS" hidden="1">[1]SYDNEY!$S$45:$S$98</definedName>
    <definedName name="__123Graph_B" hidden="1">[1]SYDNEY!$T$45:$T$98</definedName>
    <definedName name="__123Graph_B5YRAVER" hidden="1">[1]SYDNEY!$U$19:$U$30</definedName>
    <definedName name="__123Graph_BAVDDAYS" hidden="1">[1]SYDNEY!$T$45:$T$98</definedName>
    <definedName name="__123Graph_C" hidden="1">[1]SYDNEY!$U$45:$U$98</definedName>
    <definedName name="__123Graph_CAVDDAYS" hidden="1">[1]SYDNEY!$U$45:$U$98</definedName>
    <definedName name="__123Graph_D" localSheetId="5" hidden="1">[2]SUMMARY!#REF!</definedName>
    <definedName name="__123Graph_D" localSheetId="7" hidden="1">[2]SUMMARY!#REF!</definedName>
    <definedName name="__123Graph_D" localSheetId="8" hidden="1">[2]SUMMARY!#REF!</definedName>
    <definedName name="__123Graph_D" localSheetId="9" hidden="1">[2]SUMMARY!#REF!</definedName>
    <definedName name="__123Graph_D" localSheetId="10" hidden="1">[2]SUMMARY!#REF!</definedName>
    <definedName name="__123Graph_D" hidden="1">[2]SUMMARY!#REF!</definedName>
    <definedName name="__123Graph_D5YRAVER" hidden="1">[1]SYDNEY!$V$19:$V$30</definedName>
    <definedName name="__123Graph_X" hidden="1">[1]SYDNEY!$O$45:$O$98</definedName>
    <definedName name="__123Graph_X5YRAVER" hidden="1">[1]SYDNEY!$O$19:$O$30</definedName>
    <definedName name="__123Graph_XAVDDAYS" hidden="1">[1]SYDNEY!$O$45:$O$98</definedName>
    <definedName name="__jns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xlnm._FilterDatabase" localSheetId="5" hidden="1">[3]DataAct!#REF!</definedName>
    <definedName name="_xlnm._FilterDatabase" localSheetId="6" hidden="1">'3.3 Assets (RAB)'!$B$1:$B$132</definedName>
    <definedName name="_xlnm._FilterDatabase" localSheetId="7" hidden="1">[3]DataAct!#REF!</definedName>
    <definedName name="_xlnm._FilterDatabase" localSheetId="8" hidden="1">[3]DataAct!#REF!</definedName>
    <definedName name="_xlnm._FilterDatabase" localSheetId="9" hidden="1">[3]DataAct!#REF!</definedName>
    <definedName name="_xlnm._FilterDatabase" localSheetId="10" hidden="1">[3]DataAct!#REF!</definedName>
    <definedName name="_xlnm._FilterDatabase" localSheetId="0" hidden="1">'AER only'!#REF!</definedName>
    <definedName name="_xlnm._FilterDatabase" localSheetId="1" hidden="1">'AER only'!$G$1:$G$70</definedName>
    <definedName name="_xlnm._FilterDatabase" hidden="1">[3]DataAct!#REF!</definedName>
    <definedName name="_ftn1" localSheetId="7">'3.4 Operational data'!$B$96</definedName>
    <definedName name="_ftnref1" localSheetId="7">'3.4 Operational data'!$B$91</definedName>
    <definedName name="_jns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Key1" localSheetId="5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hidden="1">#REF!</definedName>
    <definedName name="_l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Order1" hidden="1">255</definedName>
    <definedName name="_Order2" hidden="1">255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hidden="1">#REF!</definedName>
    <definedName name="a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asdfa3454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asdfa3454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asdfa3454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asdfa3454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asdfa3454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asdfa345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lt_Chk_1_Hdg" hidden="1">[4]DebtDraw_FO!$B$1</definedName>
    <definedName name="Alt_Chk_2_Hdg" localSheetId="5" hidden="1">#REF!</definedName>
    <definedName name="Alt_Chk_2_Hdg" localSheetId="7" hidden="1">#REF!</definedName>
    <definedName name="Alt_Chk_2_Hdg" localSheetId="8" hidden="1">#REF!</definedName>
    <definedName name="Alt_Chk_2_Hdg" localSheetId="9" hidden="1">#REF!</definedName>
    <definedName name="Alt_Chk_2_Hdg" localSheetId="10" hidden="1">#REF!</definedName>
    <definedName name="Alt_Chk_2_Hdg" hidden="1">#REF!</definedName>
    <definedName name="anscount" hidden="1">1</definedName>
    <definedName name="Apr_Rec" localSheetId="5">'3.2 Operating expenditure'!Apr_Rec</definedName>
    <definedName name="Apr_Rec" localSheetId="7">'3.4 Operational data'!Apr_Rec</definedName>
    <definedName name="Apr_Rec" localSheetId="8">'3.5 Physical Assets'!Apr_Rec</definedName>
    <definedName name="Apr_Rec" localSheetId="9">'3.6 Quality of services'!Apr_Rec</definedName>
    <definedName name="Apr_Rec" localSheetId="10">'3.7 Operating environment'!Apr_Rec</definedName>
    <definedName name="aria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BBB" localSheetId="5">'3.2 Operating expenditure'!BBB</definedName>
    <definedName name="BBB" localSheetId="7">'3.4 Operational data'!BBB</definedName>
    <definedName name="BBB" localSheetId="8">'3.5 Physical Assets'!BBB</definedName>
    <definedName name="BBB" localSheetId="9">'3.6 Quality of services'!BBB</definedName>
    <definedName name="BBB" localSheetId="10">'3.7 Operating environment'!BBB</definedName>
    <definedName name="ck">37081.7900530093</definedName>
    <definedName name="CLEAR" localSheetId="5">'3.2 Operating expenditure'!CLEAR</definedName>
    <definedName name="CLEAR" localSheetId="7">'3.4 Operational data'!CLEAR</definedName>
    <definedName name="CLEAR" localSheetId="8">'3.5 Physical Assets'!CLEAR</definedName>
    <definedName name="CLEAR" localSheetId="9">'3.6 Quality of services'!CLEAR</definedName>
    <definedName name="CLEAR" localSheetId="10">'3.7 Operating environment'!CLEAR</definedName>
    <definedName name="CLEAR1" localSheetId="5">'3.2 Operating expenditure'!CLEAR1</definedName>
    <definedName name="CLEAR1" localSheetId="7">'3.4 Operational data'!CLEAR1</definedName>
    <definedName name="CLEAR1" localSheetId="8">'3.5 Physical Assets'!CLEAR1</definedName>
    <definedName name="CLEAR1" localSheetId="9">'3.6 Quality of services'!CLEAR1</definedName>
    <definedName name="CLEAR1" localSheetId="10">'3.7 Operating environment'!CLEAR1</definedName>
    <definedName name="CM">"Craig MCMahon"</definedName>
    <definedName name="CRY">'Business &amp; other details'!$D$34</definedName>
    <definedName name="csDesignMode">1</definedName>
    <definedName name="dfg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fgd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fgd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fgd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fgd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fg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g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g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g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g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g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ME_Dirty" hidden="1">"False"</definedName>
    <definedName name="DME_DocumentFlags" hidden="1">"1"</definedName>
    <definedName name="DME_DocumentID" hidden="1">"::ODMA\DME-MSE\LR-205172"</definedName>
    <definedName name="DME_DocumentOpened" hidden="1">"True"</definedName>
    <definedName name="DME_DocumentTitle" hidden="1">"LR-205172 - Pricing forms 8/4/03"</definedName>
    <definedName name="DME_LocalFile" hidden="1">"False"</definedName>
    <definedName name="DME_NextWindowNumber" hidden="1">"2"</definedName>
    <definedName name="dms_0203_ProjectType">'AER only'!$N$58:$N$64</definedName>
    <definedName name="dms_030101_01_ACS_Values">'3.1 Revenue'!$N$7:$U$19</definedName>
    <definedName name="dms_030101_01_Rows">'3.1 Revenue'!$B$7:$B$19</definedName>
    <definedName name="dms_030101_01_SCS_Values">'3.1 Revenue'!$D$7:$K$19</definedName>
    <definedName name="dms_030102_01_ACS_Values">'3.1 Revenue'!$N$23:$U$28</definedName>
    <definedName name="dms_030102_01_Rows">'3.1 Revenue'!$B$23:$B$28</definedName>
    <definedName name="dms_030102_01_SCS_Values">'3.1 Revenue'!$D$23:$K$28</definedName>
    <definedName name="dms_030103_01_ACS_Values">'3.1 Revenue'!$N$32:$U$36</definedName>
    <definedName name="dms_030103_01_Rows">'3.1 Revenue'!$B$32:$B$36</definedName>
    <definedName name="dms_030103_01_SCS_Values">'3.1 Revenue'!$D$32:$K$36</definedName>
    <definedName name="dms_030201_01_ACS_Values">'3.2 Operating expenditure'!$N$8:$U$28</definedName>
    <definedName name="dms_030201_01_Rows">'3.2 Operating expenditure'!$B$8:$B$28</definedName>
    <definedName name="dms_030201_01_SCS_Values">'3.2 Operating expenditure'!$D$8:$K$28</definedName>
    <definedName name="dms_030201_02a_ACS_Values">'3.2 Operating expenditure'!$N$32:$U$48</definedName>
    <definedName name="dms_030201_02a_Rows">'3.2 Operating expenditure'!$B$32:$B$48</definedName>
    <definedName name="dms_030201_02a_SCS_Values">'3.2 Operating expenditure'!$D$32:$K$48</definedName>
    <definedName name="dms_030201_02b_ACS_Values">'3.2 Operating expenditure'!$N$52:$U$75</definedName>
    <definedName name="dms_030201_02b_Rows">'3.2 Operating expenditure'!$B$52:$B$75</definedName>
    <definedName name="dms_030201_02b_SCS_Values">'3.2 Operating expenditure'!$D$52:$K$75</definedName>
    <definedName name="dms_030202_01_ACS_Values">'3.2 Operating expenditure'!$N$84:$U$89</definedName>
    <definedName name="dms_030202_01_Rows">'3.2 Operating expenditure'!$B$84:$B$89</definedName>
    <definedName name="dms_030202_01_SCS_Values">'3.2 Operating expenditure'!$D$84:$K$89</definedName>
    <definedName name="dms_030202_02_ACS_Values">'3.2 Operating expenditure'!$N$92:$U$97</definedName>
    <definedName name="dms_030202_02_Rows">'3.2 Operating expenditure'!$B$92:$B$97</definedName>
    <definedName name="dms_030202_02_SCS_Values">'3.2 Operating expenditure'!$D$92:$K$97</definedName>
    <definedName name="dms_030204_Rows">'3.2 Operating expenditure'!$B$102</definedName>
    <definedName name="dms_030204_Values">'3.2 Operating expenditure'!$D$102:$K$102</definedName>
    <definedName name="dms_030301_01_ACS_Values">'3.3 Assets (RAB)'!$X$8:$AE$14</definedName>
    <definedName name="dms_030301_01_NS_Values">'3.3 Assets (RAB)'!$D$8:$K$14</definedName>
    <definedName name="dms_030301_01_Rows">'3.3 Assets (RAB)'!$B$8:$B$14</definedName>
    <definedName name="dms_030301_01_SCS_Values">'3.3 Assets (RAB)'!$N$8:$U$14</definedName>
    <definedName name="dms_030302_01_ACS_Values">'3.3 Assets (RAB)'!$X$18:$AE$24</definedName>
    <definedName name="dms_030302_01_NS_Values">'3.3 Assets (RAB)'!$D$18:$K$24</definedName>
    <definedName name="dms_030302_01_Rows">'3.3 Assets (RAB)'!$B$18:$B$24</definedName>
    <definedName name="dms_030302_01_SCS_Values">'3.3 Assets (RAB)'!$N$18:$U$24</definedName>
    <definedName name="dms_030302_02_ACS_Values">'3.3 Assets (RAB)'!$X$26:$AE$32</definedName>
    <definedName name="dms_030302_02_NS_Values">'3.3 Assets (RAB)'!$D$26:$K$32</definedName>
    <definedName name="dms_030302_02_SCS_Values">'3.3 Assets (RAB)'!$N$26:$U$32</definedName>
    <definedName name="dms_030302_03_ACS_Values">'3.3 Assets (RAB)'!$X$34:$AE$40</definedName>
    <definedName name="dms_030302_03_NS_Values">'3.3 Assets (RAB)'!$D$34:$K$40</definedName>
    <definedName name="dms_030302_03_SCS_Values">'3.3 Assets (RAB)'!$N$34:$U$40</definedName>
    <definedName name="dms_030302_04_ACS_Values">'3.3 Assets (RAB)'!$X$42:$AE$48</definedName>
    <definedName name="dms_030302_04_NS_Values">'3.3 Assets (RAB)'!$D$42:$K$48</definedName>
    <definedName name="dms_030302_04_SCS_Values">'3.3 Assets (RAB)'!$N$42:$U$48</definedName>
    <definedName name="dms_030302_05_ACS_Values">'3.3 Assets (RAB)'!$X$50:$AE$56</definedName>
    <definedName name="dms_030302_05_NS_Values">'3.3 Assets (RAB)'!$D$50:$K$56</definedName>
    <definedName name="dms_030302_05_SCS_Values">'3.3 Assets (RAB)'!$N$50:$U$56</definedName>
    <definedName name="dms_030302_06_ACS_Values">'3.3 Assets (RAB)'!$X$58:$AE$64</definedName>
    <definedName name="dms_030302_06_NS_Values">'3.3 Assets (RAB)'!$D$58:$K$64</definedName>
    <definedName name="dms_030302_06_SCS_Values">'3.3 Assets (RAB)'!$N$58:$U$64</definedName>
    <definedName name="dms_030302_07_ACS_Values">'3.3 Assets (RAB)'!$X$66:$AE$70</definedName>
    <definedName name="dms_030302_07_NS_Values">'3.3 Assets (RAB)'!$D$66:$K$70</definedName>
    <definedName name="dms_030302_07_Rows">'3.3 Assets (RAB)'!$B$66:$B$70</definedName>
    <definedName name="dms_030302_07_SCS_Values">'3.3 Assets (RAB)'!$N$66:$U$70</definedName>
    <definedName name="dms_030302_08_ACS_Values">'3.3 Assets (RAB)'!$X$72:$AE$78</definedName>
    <definedName name="dms_030302_08_NS_Values">'3.3 Assets (RAB)'!$D$72:$K$78</definedName>
    <definedName name="dms_030302_08_SCS_Values">'3.3 Assets (RAB)'!$N$72:$U$78</definedName>
    <definedName name="dms_030302_09_ACS_Values">'3.3 Assets (RAB)'!$X$80:$AE$86</definedName>
    <definedName name="dms_030302_09_NS_Values">'3.3 Assets (RAB)'!$D$80:$K$86</definedName>
    <definedName name="dms_030302_09_SCS_Values">'3.3 Assets (RAB)'!$N$80:$U$86</definedName>
    <definedName name="dms_030302_10_ACS_Values">'3.3 Assets (RAB)'!$X$88:$AE$94</definedName>
    <definedName name="dms_030302_10_NS_Values">'3.3 Assets (RAB)'!$D$88:$K$94</definedName>
    <definedName name="dms_030302_10_SCS_Values">'3.3 Assets (RAB)'!$N$88:$U$94</definedName>
    <definedName name="dms_030303_01_ACS_Values">'3.3 Assets (RAB)'!$X$97:$AE$109</definedName>
    <definedName name="dms_030303_01_NS_Values">'3.3 Assets (RAB)'!$D$97:$K$109</definedName>
    <definedName name="dms_030303_01_Rows">'3.3 Assets (RAB)'!$B$97:$B$109</definedName>
    <definedName name="dms_030303_01_SCS_Values">'3.3 Assets (RAB)'!$N$97:$U$109</definedName>
    <definedName name="dms_030304_01_ACS_Values">'3.3 Assets (RAB)'!$X$113:$AE$121</definedName>
    <definedName name="dms_030304_01_NS_Values">'3.3 Assets (RAB)'!$D$113:$K$121</definedName>
    <definedName name="dms_030304_01_Rows">'3.3 Assets (RAB)'!$B$113:$B$121</definedName>
    <definedName name="dms_030304_01_SCS_Values">'3.3 Assets (RAB)'!$N$113:$U$121</definedName>
    <definedName name="dms_030304_02_ACS_Values">'3.3 Assets (RAB)'!$X$124:$AE$132</definedName>
    <definedName name="dms_030304_02_NS_Values">'3.3 Assets (RAB)'!$D$124:$K$132</definedName>
    <definedName name="dms_030304_02_Rows">'3.3 Assets (RAB)'!$B$124:$B$132</definedName>
    <definedName name="dms_030304_02_SCS_Values">'3.3 Assets (RAB)'!$N$124:$U$132</definedName>
    <definedName name="dms_030401_01_Rows">'3.4 Operational data'!$B$9:$B$14</definedName>
    <definedName name="dms_030401_01_Values">'3.4 Operational data'!$D$9:$K$14</definedName>
    <definedName name="dms_030401_02_Rows">'3.4 Operational data'!$B$17:$B$20</definedName>
    <definedName name="dms_030401_02_Values">'3.4 Operational data'!$D$17:$K$20</definedName>
    <definedName name="dms_030401_03_Rows">'3.4 Operational data'!$B$23:$B$30</definedName>
    <definedName name="dms_030401_03_Values">'3.4 Operational data'!$D$23:$K$30</definedName>
    <definedName name="dms_030401_04_Rows">'3.4 Operational data'!$B$33:$B$37</definedName>
    <definedName name="dms_030401_04_Values">'3.4 Operational data'!$D$33:$K$37</definedName>
    <definedName name="dms_030402_01_Rows">'3.4 Operational data'!$B$41:$B$46</definedName>
    <definedName name="dms_030402_01_Values">'3.4 Operational data'!$D$41:$K$46</definedName>
    <definedName name="dms_030402_02_Rows">'3.4 Operational data'!$B$50:$B$53</definedName>
    <definedName name="dms_030402_02_Values">'3.4 Operational data'!$D$50:$K$53</definedName>
    <definedName name="dms_030403_01_Rows">'3.4 Operational data'!$B$71:$B$76</definedName>
    <definedName name="dms_030403_01_Values">'3.4 Operational data'!$D$71:$K$76</definedName>
    <definedName name="dms_030403_02_Rows">'3.4 Operational data'!$B$79:$B$84</definedName>
    <definedName name="dms_030403_02_Values">'3.4 Operational data'!$D$79:$K$84</definedName>
    <definedName name="dms_030403_03_Rows">'3.4 Operational data'!$B$87:$B$92</definedName>
    <definedName name="dms_030403_03_Values">'3.4 Operational data'!$D$87:$K$92</definedName>
    <definedName name="dms_030403_04_Rows">'3.4 Operational data'!$B$95:$B$100</definedName>
    <definedName name="dms_030403_04_Values">'3.4 Operational data'!$D$95:$K$100</definedName>
    <definedName name="dms_030403_05_Rows">'3.4 Operational data'!$B$103:$B$115</definedName>
    <definedName name="dms_030403_05_Values">'3.4 Operational data'!$D$103:$K$115</definedName>
    <definedName name="dms_030403_06_Rows">'3.4 Operational data'!$B$118:$B$119</definedName>
    <definedName name="dms_030403_06_Values">'3.4 Operational data'!$D$118:$K$119</definedName>
    <definedName name="dms_030403_07_Rows">'3.4 Operational data'!$B$121:$B$122</definedName>
    <definedName name="dms_030403_07_Values">'3.4 Operational data'!$D$121:$K$122</definedName>
    <definedName name="dms_030501_01_Rows">'3.5 Physical Assets'!$B$9:$B$22</definedName>
    <definedName name="dms_030501_01_Values">'3.5 Physical Assets'!$D$9:$K$22</definedName>
    <definedName name="dms_030501_02_Rows">'3.5 Physical Assets'!$B$26:$B$36</definedName>
    <definedName name="dms_030501_02_Values">'3.5 Physical Assets'!$D$26:$K$36</definedName>
    <definedName name="dms_030501_03_Rows">'3.5 Physical Assets'!$B$41:$B$53</definedName>
    <definedName name="dms_030501_03_Values">'3.5 Physical Assets'!$D$41:$K$53</definedName>
    <definedName name="dms_030501_04_Rows">'3.5 Physical Assets'!$B$56:$B$67</definedName>
    <definedName name="dms_030501_04_Values">'3.5 Physical Assets'!$D$56:$K$67</definedName>
    <definedName name="dms_030502_01_Rows">'3.5 Physical Assets'!$B$71:$B$73</definedName>
    <definedName name="dms_030502_01_Values">'3.5 Physical Assets'!$D$71:$K$73</definedName>
    <definedName name="dms_030502_02_Rows">'3.5 Physical Assets'!$B$76:$B$80</definedName>
    <definedName name="dms_030502_02_Values">'3.5 Physical Assets'!$D$76:$K$80</definedName>
    <definedName name="dms_030502_03_Rows">'3.5 Physical Assets'!$B$83</definedName>
    <definedName name="dms_030502_03_Values">'3.5 Physical Assets'!$D$83:$K$83</definedName>
    <definedName name="dms_030503_Rows">'3.5 Physical Assets'!$B$86:$B$88</definedName>
    <definedName name="dms_030503_Values">'3.5 Physical Assets'!$D$86:$K$88</definedName>
    <definedName name="dms_030601_01_Rows">'3.6 Quality of services'!$B$7:$B$10</definedName>
    <definedName name="dms_030601_01_UOM">'3.6 Quality of services'!$C$7:$C$10</definedName>
    <definedName name="dms_030601_01_Values">'3.6 Quality of services'!$D$7:$K$10</definedName>
    <definedName name="dms_030601_02_Rows">'3.6 Quality of services'!$B$12:$B$15</definedName>
    <definedName name="dms_030601_02_UOM">'3.6 Quality of services'!$C$12:$C$15</definedName>
    <definedName name="dms_030601_02_Values">'3.6 Quality of services'!$D$12:$K$15</definedName>
    <definedName name="dms_030602_Rows">'3.6 Quality of services'!$B$18:$B$19</definedName>
    <definedName name="dms_030602_Values">'3.6 Quality of services'!$D$18:$K$19</definedName>
    <definedName name="dms_030603_Rows">'3.6 Quality of services'!$B$23</definedName>
    <definedName name="dms_030603_Values">'3.6 Quality of services'!$D$23:$K$23</definedName>
    <definedName name="dms_030604_Rows">'3.6 Quality of services'!$B$26</definedName>
    <definedName name="dms_030604_Values">'3.6 Quality of services'!$D$26:$K$26</definedName>
    <definedName name="dms_030701_01_Rows">'3.7 Operating environment'!$B$6:$B$8</definedName>
    <definedName name="dms_030701_01_UOM">'3.7 Operating environment'!$C$6:$C$8</definedName>
    <definedName name="dms_030701_01_Values">'3.7 Operating environment'!$D$6:$K$8</definedName>
    <definedName name="dms_030702_01_Rows">'3.7 Operating environment'!$B$11:$B$24</definedName>
    <definedName name="dms_030702_01_UOM">'3.7 Operating environment'!$C$11:$C$24</definedName>
    <definedName name="dms_030702_01_Values">'3.7 Operating environment'!$D$11:$K$24</definedName>
    <definedName name="dms_030703_01_Rows">'3.7 Operating environment'!$B$27</definedName>
    <definedName name="dms_030703_01_UOM">'3.7 Operating environment'!$C$27</definedName>
    <definedName name="dms_030703_01_Values">'3.7 Operating environment'!$D$27:$K$27</definedName>
    <definedName name="dms_663">'Business &amp; other details'!$D$63</definedName>
    <definedName name="dms_663_List">'AER only'!$M$25:$M$52</definedName>
    <definedName name="dms_ABN">'Business &amp; other details'!$D$15</definedName>
    <definedName name="dms_ABN_List">'AER only'!$D$25:$D$52</definedName>
    <definedName name="dms_Addr1">'Business &amp; other details'!$F$18</definedName>
    <definedName name="dms_Addr1_List">'AER only'!#REF!</definedName>
    <definedName name="dms_Addr2">'Business &amp; other details'!$F$19</definedName>
    <definedName name="dms_Addr2_List">'AER only'!#REF!</definedName>
    <definedName name="dms_AmendmentReason">'Business &amp; other details'!$D$41</definedName>
    <definedName name="dms_CFinalYear_List">'AER only'!$H$58:$H$67</definedName>
    <definedName name="dms_Classification">'Business &amp; other details'!$D$48</definedName>
    <definedName name="dms_ContactEmail">'Business &amp; other details'!$D$31</definedName>
    <definedName name="dms_ContactEmail_List">'AER only'!#REF!</definedName>
    <definedName name="dms_ContactEmail2">'Business &amp; other details'!$G$31</definedName>
    <definedName name="dms_ContactName1">'Business &amp; other details'!$D$29</definedName>
    <definedName name="dms_ContactName1_List">'AER only'!#REF!</definedName>
    <definedName name="dms_ContactName2">'Business &amp; other details'!$G$29</definedName>
    <definedName name="dms_ContactPh1">'Business &amp; other details'!$D$30</definedName>
    <definedName name="dms_ContactPh1_List">'AER only'!#REF!</definedName>
    <definedName name="dms_ContactPh2">'Business &amp; other details'!$G$30</definedName>
    <definedName name="dms_CRCP_FinalYear">'Business &amp; other details'!$D$61</definedName>
    <definedName name="dms_CRCP_FinalYear_Num">'Business &amp; other details'!$D$62</definedName>
    <definedName name="dms_CRCP_FinalYear_Result">'Business &amp; other details'!$D$72</definedName>
    <definedName name="dms_CRCPlength">'Business &amp; other details'!$D$55</definedName>
    <definedName name="dms_CRCPlength_List">'AER only'!$K$25:$K$52</definedName>
    <definedName name="dms_CRCPlength_Num">'Business &amp; other details'!$D$60</definedName>
    <definedName name="dms_CRCPlength_Num_List">'AER only'!$G$58:$G$67</definedName>
    <definedName name="dms_CRY_ListC">'AER only'!$C$75:$C$89</definedName>
    <definedName name="dms_CRY_ListF">'AER only'!$B$75:$B$89</definedName>
    <definedName name="dms_DataQuality">'Business &amp; other details'!$D$40</definedName>
    <definedName name="dms_Defined_Names_Used">'AER only'!$C$10</definedName>
    <definedName name="dms_DeterminationRef_List">'AER only'!$N$25:$N$52</definedName>
    <definedName name="dms_dollar_nom_UOM">'Business &amp; other details'!$D$66</definedName>
    <definedName name="dms_DollarReal">'Business &amp; other details'!$D$51</definedName>
    <definedName name="dms_EB_UOM">'Business &amp; other details'!$D$75</definedName>
    <definedName name="dms_EBSS_status">'Business &amp; other details'!$D$42</definedName>
    <definedName name="dms_FinalYear_List">'AER only'!$F$58:$F$67</definedName>
    <definedName name="dms_FormControl">'Business &amp; other details'!$D$52</definedName>
    <definedName name="dms_FormControl_Choices">'AER only'!$C$58:$C$60</definedName>
    <definedName name="dms_FormControl_List">'AER only'!$H$25:$H$52</definedName>
    <definedName name="dms_FRCP_FinalYear">'Business &amp; other details'!$D$58</definedName>
    <definedName name="dms_FRCP_FinalYear_Num">'Business &amp; other details'!$D$59</definedName>
    <definedName name="dms_FRCPlength">'Business &amp; other details'!$D$56</definedName>
    <definedName name="dms_FRCPlength_List">'AER only'!$L$25:$L$52</definedName>
    <definedName name="dms_FRCPlength_Num">'Business &amp; other details'!$D$57</definedName>
    <definedName name="dms_FRCPlength_Num_List">'AER only'!$E$58:$E$67</definedName>
    <definedName name="dms_Jurisdiction">'Business &amp; other details'!$D$54</definedName>
    <definedName name="dms_JurisdictionList">'AER only'!$E$25:$E$52</definedName>
    <definedName name="dms_Model">'Business &amp; other details'!$D$47</definedName>
    <definedName name="dms_Model_List">'AER only'!$B$13:$B$21</definedName>
    <definedName name="dms_PAddr1">'Business &amp; other details'!$F$23</definedName>
    <definedName name="dms_PAddr1_List">'AER only'!#REF!</definedName>
    <definedName name="dms_PAddr2">'Business &amp; other details'!$F$24</definedName>
    <definedName name="dms_PAddr2_List">'AER only'!#REF!</definedName>
    <definedName name="dms_PostCode">'Business &amp; other details'!$H$21</definedName>
    <definedName name="dms_PostCode_List">'AER only'!#REF!</definedName>
    <definedName name="dms_PPostCode">'Business &amp; other details'!$H$26</definedName>
    <definedName name="dms_PPostCode_List">'AER only'!#REF!</definedName>
    <definedName name="dms_PState">'Business &amp; other details'!$F$26</definedName>
    <definedName name="dms_PState_List">'AER only'!#REF!</definedName>
    <definedName name="dms_PSuburb">'Business &amp; other details'!$F$25</definedName>
    <definedName name="dms_PSuburb_List">'AER only'!#REF!</definedName>
    <definedName name="dms_Reg_Year_Span">'Business &amp; other details'!$C$3</definedName>
    <definedName name="dms_RINversion">'Business &amp; other details'!$D$53</definedName>
    <definedName name="dms_RPT">'Business &amp; other details'!$D$46</definedName>
    <definedName name="dms_RPT_List">'AER only'!$I$25:$I$52</definedName>
    <definedName name="dms_RPTMonth">'Business &amp; other details'!$D$50</definedName>
    <definedName name="dms_RPTMonth_List">'AER only'!$J$25:$J$52</definedName>
    <definedName name="dms_RYE">'Business &amp; other details'!$D$45</definedName>
    <definedName name="dms_RYE_Formula_Result">'AER only'!$E$13:$E$21</definedName>
    <definedName name="dms_RYE_List2">'AER only'!$F$13:$F$21</definedName>
    <definedName name="dms_Sector">'Business &amp; other details'!$D$43</definedName>
    <definedName name="dms_Sector_List">'AER only'!$F$25:$F$52</definedName>
    <definedName name="dms_Segment">'Business &amp; other details'!$D$44</definedName>
    <definedName name="dms_Segment_List">'AER only'!$G$25:$G$52</definedName>
    <definedName name="dms_Source">'Business &amp; other details'!$D$39</definedName>
    <definedName name="dms_SourceList">'AER only'!$B$58:$B$71</definedName>
    <definedName name="dms_State">'Business &amp; other details'!$F$21</definedName>
    <definedName name="dms_State_List">'AER only'!#REF!</definedName>
    <definedName name="dms_SubmissionDate">'Business &amp; other details'!$D$71</definedName>
    <definedName name="dms_Suburb">'Business &amp; other details'!$F$20</definedName>
    <definedName name="dms_Suburb_List">'AER only'!#REF!</definedName>
    <definedName name="dms_TemplateNumber">'Business &amp; other details'!$D$49</definedName>
    <definedName name="dms_TradingName">'Business &amp; other details'!$D$14</definedName>
    <definedName name="dms_TradingName_List">'AER only'!$B$25:$B$52</definedName>
    <definedName name="dms_TradingNameFull">'Business &amp; other details'!$C$2</definedName>
    <definedName name="dms_TradingNameFull_List">'AER only'!$C$25:$C$52</definedName>
    <definedName name="dms_Worksheet_List">'AER only'!$C$13:$C$21</definedName>
    <definedName name="Err_Chk_1_Hdg" hidden="1">[4]Board_FO!$B$1</definedName>
    <definedName name="Err_Chk_10_Hdg" localSheetId="5" hidden="1">#REF!</definedName>
    <definedName name="Err_Chk_10_Hdg" localSheetId="7" hidden="1">#REF!</definedName>
    <definedName name="Err_Chk_10_Hdg" localSheetId="8" hidden="1">#REF!</definedName>
    <definedName name="Err_Chk_10_Hdg" localSheetId="9" hidden="1">#REF!</definedName>
    <definedName name="Err_Chk_10_Hdg" localSheetId="10" hidden="1">#REF!</definedName>
    <definedName name="Err_Chk_10_Hdg" hidden="1">#REF!</definedName>
    <definedName name="Err_Chk_11_Hdg" localSheetId="5" hidden="1">#REF!</definedName>
    <definedName name="Err_Chk_11_Hdg" localSheetId="7" hidden="1">#REF!</definedName>
    <definedName name="Err_Chk_11_Hdg" localSheetId="8" hidden="1">#REF!</definedName>
    <definedName name="Err_Chk_11_Hdg" localSheetId="9" hidden="1">#REF!</definedName>
    <definedName name="Err_Chk_11_Hdg" localSheetId="10" hidden="1">#REF!</definedName>
    <definedName name="Err_Chk_11_Hdg" hidden="1">#REF!</definedName>
    <definedName name="Err_Chk_12_Hdg" hidden="1">[5]FTE_Summary_TO!$B$1</definedName>
    <definedName name="Err_Chk_13_Hdg" hidden="1">'[5]UED Capex-Cal Yr'!$B$1</definedName>
    <definedName name="Err_Chk_14_Hdg" hidden="1">'[5]UED Capex-Fin Yr'!$B$1</definedName>
    <definedName name="Err_Chk_15_Hdg" hidden="1">'[5]UED Capex-Qtr'!$B$1</definedName>
    <definedName name="Err_Chk_16_Hdg" hidden="1">'[5]UED Capex-Month'!$B$1</definedName>
    <definedName name="Err_Chk_17_Hdg" hidden="1">'[5]UED Balance Sheet-Month'!$B$1</definedName>
    <definedName name="Err_Chk_18_Hdg" hidden="1">'[5]MGH Capex-Cal Yr'!$B$1</definedName>
    <definedName name="Err_Chk_19_Hdg" hidden="1">'[5]MGH Capex-Fin Yr'!$B$1</definedName>
    <definedName name="Err_Chk_2_Hdg" hidden="1">[4]Board_FO!$B$1</definedName>
    <definedName name="Err_Chk_20_Hdg" hidden="1">'[5]MGH Capex-Qtr'!$B$1</definedName>
    <definedName name="Err_Chk_21_Hdg" hidden="1">'[5]MGH Capex-Month'!$B$1</definedName>
    <definedName name="Err_Chk_22_Hdg" hidden="1">'[5]MGH Balance Sheet-Month'!$B$1</definedName>
    <definedName name="Err_Chk_23_Hdg" hidden="1">'[5]UED Sum by Function'!$B$1</definedName>
    <definedName name="Err_Chk_24_Hdg" hidden="1">'[5]UED Sum by Function'!$B$1</definedName>
    <definedName name="Err_Chk_25_Hdg" hidden="1">'[5]UED Sum by Account'!$B$1</definedName>
    <definedName name="Err_Chk_26_Hdg" hidden="1">'[5]MGH Sum by Function'!$B$1</definedName>
    <definedName name="Err_Chk_27_Hdg" hidden="1">'[5]MGH Sum by Function'!$B$1</definedName>
    <definedName name="Err_Chk_28_Hdg" hidden="1">'[5]MGH Sum by Account'!$B$1</definedName>
    <definedName name="Err_Chk_29_Hdg" hidden="1">'[5]AD Report'!$B$1</definedName>
    <definedName name="Err_Chk_3_Hdg" hidden="1">[4]Board_FO!$B$1</definedName>
    <definedName name="Err_Chk_30_Hdg" hidden="1">'[5]Asset Management Report'!$B$1</definedName>
    <definedName name="Err_Chk_31_Hdg" hidden="1">'[5]CEO Report'!$B$1</definedName>
    <definedName name="Err_Chk_32_Hdg" hidden="1">'[5]CMM Report'!$B$1</definedName>
    <definedName name="Err_Chk_33_Hdg" hidden="1">'[5]COM Report'!$B$1</definedName>
    <definedName name="Err_Chk_34_Hdg" hidden="1">'[5]FIN Report'!$B$1</definedName>
    <definedName name="Err_Chk_35_Hdg" hidden="1">'[5]HR Report'!$B$1</definedName>
    <definedName name="Err_Chk_36_Hdg" hidden="1">'[5]IT Report'!$B$1</definedName>
    <definedName name="Err_Chk_37_Hdg" hidden="1">'[5]NIT Report'!$B$1</definedName>
    <definedName name="Err_Chk_38_Hdg" hidden="1">'[5]OHS Report'!$B$1</definedName>
    <definedName name="Err_Chk_39_Hdg" hidden="1">'[5]REG Report'!$B$1</definedName>
    <definedName name="Err_Chk_4_Hdg" hidden="1">[4]Tax_FO!$B$1</definedName>
    <definedName name="Err_Chk_40_Hdg" hidden="1">'[5]RISK Report'!$B$1</definedName>
    <definedName name="Err_Chk_41_Hdg" hidden="1">'[5]SDN Report'!$B$1</definedName>
    <definedName name="Err_Chk_42_Hdg" hidden="1">'[5]SDS Report'!$B$1</definedName>
    <definedName name="Err_Chk_5_Hdg" hidden="1">[4]Hist_Fin_Stmt_FA!$B$1</definedName>
    <definedName name="Err_Chk_6_Hdg" hidden="1">[4]Tax_FO!$B$1</definedName>
    <definedName name="Err_Chk_7_Hdg" localSheetId="5" hidden="1">#REF!</definedName>
    <definedName name="Err_Chk_7_Hdg" localSheetId="7" hidden="1">#REF!</definedName>
    <definedName name="Err_Chk_7_Hdg" localSheetId="8" hidden="1">#REF!</definedName>
    <definedName name="Err_Chk_7_Hdg" localSheetId="9" hidden="1">#REF!</definedName>
    <definedName name="Err_Chk_7_Hdg" localSheetId="10" hidden="1">#REF!</definedName>
    <definedName name="Err_Chk_7_Hdg" hidden="1">#REF!</definedName>
    <definedName name="Err_Chk_8_Hdg" localSheetId="5" hidden="1">#REF!</definedName>
    <definedName name="Err_Chk_8_Hdg" localSheetId="7" hidden="1">#REF!</definedName>
    <definedName name="Err_Chk_8_Hdg" localSheetId="8" hidden="1">#REF!</definedName>
    <definedName name="Err_Chk_8_Hdg" localSheetId="9" hidden="1">#REF!</definedName>
    <definedName name="Err_Chk_8_Hdg" localSheetId="10" hidden="1">#REF!</definedName>
    <definedName name="Err_Chk_8_Hdg" hidden="1">#REF!</definedName>
    <definedName name="Err_Chk_9_Hdg" localSheetId="5" hidden="1">#REF!</definedName>
    <definedName name="Err_Chk_9_Hdg" localSheetId="7" hidden="1">#REF!</definedName>
    <definedName name="Err_Chk_9_Hdg" localSheetId="8" hidden="1">#REF!</definedName>
    <definedName name="Err_Chk_9_Hdg" localSheetId="9" hidden="1">#REF!</definedName>
    <definedName name="Err_Chk_9_Hdg" localSheetId="10" hidden="1">#REF!</definedName>
    <definedName name="Err_Chk_9_Hdg" hidden="1">#REF!</definedName>
    <definedName name="fasd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X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X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X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X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X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X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PriceVolume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PriceVolume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PriceVolume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PriceVolume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PriceVolume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YPriceVolume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HL_Alt_Chk_1" hidden="1">[4]DebtDraw_FO!$I$156</definedName>
    <definedName name="HL_Alt_Chk_2" hidden="1">[4]Reg_Capex_FA!$H$83</definedName>
    <definedName name="HL_Err_Chk_1" hidden="1">[4]Board_FO!$I$309</definedName>
    <definedName name="HL_Err_Chk_10" localSheetId="5" hidden="1">#REF!</definedName>
    <definedName name="HL_Err_Chk_10" localSheetId="7" hidden="1">#REF!</definedName>
    <definedName name="HL_Err_Chk_10" localSheetId="8" hidden="1">#REF!</definedName>
    <definedName name="HL_Err_Chk_10" localSheetId="9" hidden="1">#REF!</definedName>
    <definedName name="HL_Err_Chk_10" localSheetId="10" hidden="1">#REF!</definedName>
    <definedName name="HL_Err_Chk_10" hidden="1">#REF!</definedName>
    <definedName name="HL_Err_Chk_11" localSheetId="5" hidden="1">#REF!</definedName>
    <definedName name="HL_Err_Chk_11" localSheetId="7" hidden="1">#REF!</definedName>
    <definedName name="HL_Err_Chk_11" localSheetId="8" hidden="1">#REF!</definedName>
    <definedName name="HL_Err_Chk_11" localSheetId="9" hidden="1">#REF!</definedName>
    <definedName name="HL_Err_Chk_11" localSheetId="10" hidden="1">#REF!</definedName>
    <definedName name="HL_Err_Chk_11" hidden="1">#REF!</definedName>
    <definedName name="HL_Err_Chk_12" hidden="1">[5]FTE_Summary_TO!$I$127</definedName>
    <definedName name="HL_Err_Chk_13" hidden="1">'[5]UED Capex-Cal Yr'!$F$87</definedName>
    <definedName name="HL_Err_Chk_14" hidden="1">'[5]UED Capex-Fin Yr'!$F$87</definedName>
    <definedName name="HL_Err_Chk_15" hidden="1">'[5]UED Capex-Qtr'!$F$87</definedName>
    <definedName name="HL_Err_Chk_16" hidden="1">'[5]UED Capex-Month'!$F$96</definedName>
    <definedName name="HL_Err_Chk_17" hidden="1">'[5]UED Balance Sheet-Month'!$F$90</definedName>
    <definedName name="HL_Err_Chk_18" hidden="1">'[5]MGH Capex-Cal Yr'!$F$69</definedName>
    <definedName name="HL_Err_Chk_19" hidden="1">'[5]MGH Capex-Fin Yr'!$F$69</definedName>
    <definedName name="HL_Err_Chk_2" hidden="1">[4]Board_FO!$I$389</definedName>
    <definedName name="HL_Err_Chk_20" hidden="1">'[5]MGH Capex-Qtr'!$F$69</definedName>
    <definedName name="HL_Err_Chk_21" hidden="1">'[5]MGH Capex-Month'!$F$78</definedName>
    <definedName name="HL_Err_Chk_22" hidden="1">'[5]MGH Balance Sheet-Month'!$F$70</definedName>
    <definedName name="HL_Err_Chk_23" hidden="1">'[5]UED Sum by Function'!$F$170</definedName>
    <definedName name="HL_Err_Chk_24" hidden="1">'[5]UED Sum by Function'!$F$171</definedName>
    <definedName name="HL_Err_Chk_25" hidden="1">'[5]UED Sum by Account'!$F$414</definedName>
    <definedName name="HL_Err_Chk_26" hidden="1">'[5]MGH Sum by Function'!$F$166</definedName>
    <definedName name="HL_Err_Chk_27" hidden="1">'[5]MGH Sum by Function'!$F$167</definedName>
    <definedName name="HL_Err_Chk_28" hidden="1">'[5]MGH Sum by Account'!$F$328</definedName>
    <definedName name="HL_Err_Chk_29" hidden="1">'[5]AD Report'!$P$1110</definedName>
    <definedName name="HL_Err_Chk_3" hidden="1">[4]Board_FO!$I$420</definedName>
    <definedName name="HL_Err_Chk_30" hidden="1">'[5]Asset Management Report'!$G$255</definedName>
    <definedName name="HL_Err_Chk_31" hidden="1">'[5]CEO Report'!$G$255</definedName>
    <definedName name="HL_Err_Chk_32" hidden="1">'[5]CMM Report'!$G$255</definedName>
    <definedName name="HL_Err_Chk_33" hidden="1">'[5]COM Report'!$G$255</definedName>
    <definedName name="HL_Err_Chk_34" hidden="1">'[5]FIN Report'!$G$255</definedName>
    <definedName name="HL_Err_Chk_35" hidden="1">'[5]HR Report'!$G$237</definedName>
    <definedName name="HL_Err_Chk_36" hidden="1">'[5]IT Report'!$G$237</definedName>
    <definedName name="HL_Err_Chk_37" hidden="1">'[5]NIT Report'!$G$255</definedName>
    <definedName name="HL_Err_Chk_38" hidden="1">'[5]OHS Report'!$G$255</definedName>
    <definedName name="HL_Err_Chk_39" hidden="1">'[5]REG Report'!$G$255</definedName>
    <definedName name="HL_Err_Chk_4" hidden="1">[4]Tax_FO!$I$208</definedName>
    <definedName name="HL_Err_Chk_40" hidden="1">'[5]RISK Report'!$G$255</definedName>
    <definedName name="HL_Err_Chk_41" hidden="1">'[5]SDN Report'!$G$255</definedName>
    <definedName name="HL_Err_Chk_42" hidden="1">'[5]SDS Report'!$G$255</definedName>
    <definedName name="HL_Err_Chk_5" hidden="1">[4]Hist_Fin_Stmt_FA!$I$310</definedName>
    <definedName name="HL_Err_Chk_6" hidden="1">[4]Tax_FO!$I$191</definedName>
    <definedName name="HL_Err_Chk_7" localSheetId="5" hidden="1">#REF!</definedName>
    <definedName name="HL_Err_Chk_7" localSheetId="7" hidden="1">#REF!</definedName>
    <definedName name="HL_Err_Chk_7" localSheetId="8" hidden="1">#REF!</definedName>
    <definedName name="HL_Err_Chk_7" localSheetId="9" hidden="1">#REF!</definedName>
    <definedName name="HL_Err_Chk_7" localSheetId="10" hidden="1">#REF!</definedName>
    <definedName name="HL_Err_Chk_7" hidden="1">#REF!</definedName>
    <definedName name="HL_Err_Chk_8" localSheetId="5" hidden="1">#REF!</definedName>
    <definedName name="HL_Err_Chk_8" localSheetId="7" hidden="1">#REF!</definedName>
    <definedName name="HL_Err_Chk_8" localSheetId="8" hidden="1">#REF!</definedName>
    <definedName name="HL_Err_Chk_8" localSheetId="9" hidden="1">#REF!</definedName>
    <definedName name="HL_Err_Chk_8" localSheetId="10" hidden="1">#REF!</definedName>
    <definedName name="HL_Err_Chk_8" hidden="1">#REF!</definedName>
    <definedName name="HL_Err_Chk_9" localSheetId="5" hidden="1">#REF!</definedName>
    <definedName name="HL_Err_Chk_9" localSheetId="7" hidden="1">#REF!</definedName>
    <definedName name="HL_Err_Chk_9" localSheetId="8" hidden="1">#REF!</definedName>
    <definedName name="HL_Err_Chk_9" localSheetId="9" hidden="1">#REF!</definedName>
    <definedName name="HL_Err_Chk_9" localSheetId="10" hidden="1">#REF!</definedName>
    <definedName name="HL_Err_Chk_9" hidden="1">#REF!</definedName>
    <definedName name="HL_Sheet_Main" localSheetId="5" hidden="1">#REF!</definedName>
    <definedName name="HL_Sheet_Main" localSheetId="7" hidden="1">#REF!</definedName>
    <definedName name="HL_Sheet_Main" localSheetId="8" hidden="1">#REF!</definedName>
    <definedName name="HL_Sheet_Main" localSheetId="9" hidden="1">#REF!</definedName>
    <definedName name="HL_Sheet_Main" localSheetId="10" hidden="1">#REF!</definedName>
    <definedName name="HL_Sheet_Main" hidden="1">#REF!</definedName>
    <definedName name="HL_Sheet_Main_14" localSheetId="5" hidden="1">'[6]A4. BudgetForecastAssump'!#REF!</definedName>
    <definedName name="HL_Sheet_Main_14" localSheetId="7" hidden="1">'[6]A4. BudgetForecastAssump'!#REF!</definedName>
    <definedName name="HL_Sheet_Main_14" localSheetId="8" hidden="1">'[6]A4. BudgetForecastAssump'!#REF!</definedName>
    <definedName name="HL_Sheet_Main_14" localSheetId="9" hidden="1">'[6]A4. BudgetForecastAssump'!#REF!</definedName>
    <definedName name="HL_Sheet_Main_14" localSheetId="10" hidden="1">'[6]A4. BudgetForecastAssump'!#REF!</definedName>
    <definedName name="HL_Sheet_Main_14" hidden="1">'[6]A4. BudgetForecastAssump'!#REF!</definedName>
    <definedName name="HL_Sheet_Main_16" localSheetId="5" hidden="1">#REF!</definedName>
    <definedName name="HL_Sheet_Main_16" localSheetId="7" hidden="1">#REF!</definedName>
    <definedName name="HL_Sheet_Main_16" localSheetId="8" hidden="1">#REF!</definedName>
    <definedName name="HL_Sheet_Main_16" localSheetId="9" hidden="1">#REF!</definedName>
    <definedName name="HL_Sheet_Main_16" localSheetId="10" hidden="1">#REF!</definedName>
    <definedName name="HL_Sheet_Main_16" hidden="1">#REF!</definedName>
    <definedName name="HL_Sheet_Main_2" localSheetId="5" hidden="1">#REF!</definedName>
    <definedName name="HL_Sheet_Main_2" localSheetId="7" hidden="1">#REF!</definedName>
    <definedName name="HL_Sheet_Main_2" localSheetId="8" hidden="1">#REF!</definedName>
    <definedName name="HL_Sheet_Main_2" localSheetId="9" hidden="1">#REF!</definedName>
    <definedName name="HL_Sheet_Main_2" localSheetId="10" hidden="1">#REF!</definedName>
    <definedName name="HL_Sheet_Main_2" hidden="1">#REF!</definedName>
    <definedName name="HL_Sheet_Main_6" localSheetId="5" hidden="1">#REF!</definedName>
    <definedName name="HL_Sheet_Main_6" localSheetId="7" hidden="1">#REF!</definedName>
    <definedName name="HL_Sheet_Main_6" localSheetId="8" hidden="1">#REF!</definedName>
    <definedName name="HL_Sheet_Main_6" localSheetId="9" hidden="1">#REF!</definedName>
    <definedName name="HL_Sheet_Main_6" localSheetId="10" hidden="1">#REF!</definedName>
    <definedName name="HL_Sheet_Main_6" hidden="1">#REF!</definedName>
    <definedName name="HL_Sheet_Main_7" localSheetId="5" hidden="1">#REF!</definedName>
    <definedName name="HL_Sheet_Main_7" localSheetId="7" hidden="1">#REF!</definedName>
    <definedName name="HL_Sheet_Main_7" localSheetId="8" hidden="1">#REF!</definedName>
    <definedName name="HL_Sheet_Main_7" localSheetId="9" hidden="1">#REF!</definedName>
    <definedName name="HL_Sheet_Main_7" localSheetId="10" hidden="1">#REF!</definedName>
    <definedName name="HL_Sheet_Main_7" hidden="1">#REF!</definedName>
    <definedName name="hsh" localSheetId="5">'3.2 Operating expenditure'!hsh</definedName>
    <definedName name="hsh" localSheetId="7">'3.4 Operational data'!hsh</definedName>
    <definedName name="hsh" localSheetId="8">'3.5 Physical Assets'!hsh</definedName>
    <definedName name="hsh" localSheetId="9">'3.6 Quality of services'!hsh</definedName>
    <definedName name="hsh" localSheetId="10">'3.7 Operating environment'!hsh</definedName>
    <definedName name="hugh" localSheetId="5" hidden="1">[7]DataAct!#REF!</definedName>
    <definedName name="hugh" localSheetId="7" hidden="1">[7]DataAct!#REF!</definedName>
    <definedName name="hugh" localSheetId="8" hidden="1">[7]DataAct!#REF!</definedName>
    <definedName name="hugh" localSheetId="9" hidden="1">[7]DataAct!#REF!</definedName>
    <definedName name="hugh" localSheetId="10" hidden="1">[7]DataAct!#REF!</definedName>
    <definedName name="hugh" hidden="1">[7]DataAct!#REF!</definedName>
    <definedName name="jns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ns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ns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ns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ns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n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SE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SE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SE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SE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SE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SE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W">"James Wong"</definedName>
    <definedName name="kj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kj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kj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kj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kj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kj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imcount" hidden="1">2</definedName>
    <definedName name="LJASF" localSheetId="5">'3.2 Operating expenditure'!LJASF</definedName>
    <definedName name="LJASF" localSheetId="7">'3.4 Operational data'!LJASF</definedName>
    <definedName name="LJASF" localSheetId="8">'3.5 Physical Assets'!LJASF</definedName>
    <definedName name="LJASF" localSheetId="9">'3.6 Quality of services'!LJASF</definedName>
    <definedName name="LJASF" localSheetId="10">'3.7 Operating environment'!LJASF</definedName>
    <definedName name="mbllon1250clearing" localSheetId="5">'3.2 Operating expenditure'!mbllon1250clearing</definedName>
    <definedName name="mbllon1250clearing" localSheetId="7">'3.4 Operational data'!mbllon1250clearing</definedName>
    <definedName name="mbllon1250clearing" localSheetId="8">'3.5 Physical Assets'!mbllon1250clearing</definedName>
    <definedName name="mbllon1250clearing" localSheetId="9">'3.6 Quality of services'!mbllon1250clearing</definedName>
    <definedName name="mbllon1250clearing" localSheetId="10">'3.7 Operating environment'!mbllon1250clearing</definedName>
    <definedName name="NvsAnswerCol">"'[Drill1]Journal Drill'!$A$6:$A$9"</definedName>
    <definedName name="NvsASD">"V1998-01-07"</definedName>
    <definedName name="NvsAutoDrillOk">"VN"</definedName>
    <definedName name="NvsElapsedTime">0.00033344907569699</definedName>
    <definedName name="NvsEndTime">35802.609772338</definedName>
    <definedName name="NvsImportActivity">"Import Journals from nVision"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ParentRef">"'[DGLACG4C_GL_Trial_Balance_-_AUD_2004-06-30.xls]Sheet1'!$H$21"</definedName>
    <definedName name="NvsReqBU">"VUCU"</definedName>
    <definedName name="NvsReqBUOnly">"VN"</definedName>
    <definedName name="NvsTransLed">"VN"</definedName>
    <definedName name="NvsTreeASD">"V1998-01-07"</definedName>
    <definedName name="NvsValTbl.ACCOUNT">"GL_ACCOUNT_TBL"</definedName>
    <definedName name="NvsValTbl.BASE_CURRENCY">"CURRENCY_CD_TBL"</definedName>
    <definedName name="NvsValTbl.BUSINESS_UNIT">"BUS_UNIT_TBL_FS"</definedName>
    <definedName name="NvsValTbl.CURRENCY_CD">"CURRENCY_CD_TBL"</definedName>
    <definedName name="NvsValTbl.DEPTID">"DEPARTMENT_TBL"</definedName>
    <definedName name="NvsValTbl.MB_ACC_SUBAC">"MB_ACCSUBAC_DTL"</definedName>
    <definedName name="NvsValTbl.MB_ACRONYM_TYPE">"XLATTABLE"</definedName>
    <definedName name="NvsValTbl.MB_ACRONYM_VALUE">"MB_ACRONYM_TBL"</definedName>
    <definedName name="NvsValTbl.MB_DIVN_CFLD">"MB_DIVN_TBL"</definedName>
    <definedName name="NvsValTbl.MB_LOC_CFLD">"MB_LOC_TBL"</definedName>
    <definedName name="NvsValTbl.MB_STATENT_CFLD">"MB_STATENT_TBL"</definedName>
    <definedName name="NvsValTbl.MB_SUBAC_CFLD">"MB_SUBAC_TBL"</definedName>
    <definedName name="NvsValTbl.MB_TAX_CFLD">"MB_TAX_TBL"</definedName>
    <definedName name="NvsValTbl.PRODUCT">"PRODUCT_TBL"</definedName>
    <definedName name="o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o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o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o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o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o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p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p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p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p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p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p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xlnm.Print_Area" localSheetId="3">'1. Contents'!$A$1:$D$22</definedName>
    <definedName name="_xlnm.Print_Area" localSheetId="4">'3.1 Revenue'!$A$1:$V$37</definedName>
    <definedName name="_xlnm.Print_Area" localSheetId="5">'3.2 Operating expenditure'!$A$1:$T$111</definedName>
    <definedName name="_xlnm.Print_Area" localSheetId="7">'3.4 Operational data'!$A$1:$K$122</definedName>
    <definedName name="_xlnm.Print_Area" localSheetId="8">'3.5 Physical Assets'!$A$1:$K$87</definedName>
    <definedName name="_xlnm.Print_Area" localSheetId="9">'3.6 Quality of services'!$A$1:$K$26</definedName>
    <definedName name="_xlnm.Print_Area" localSheetId="10">'3.7 Operating environment'!$A$1:$K$29</definedName>
    <definedName name="_xlnm.Print_Area" localSheetId="2">cover!$A$1:$H$23</definedName>
    <definedName name="_xlnm.Print_Titles" localSheetId="7">'3.4 Operational data'!$3:$3</definedName>
    <definedName name="_xlnm.Print_Titles" localSheetId="8">'3.5 Physical Assets'!$4:$4</definedName>
    <definedName name="PRINTPAGE1" localSheetId="5">'3.2 Operating expenditure'!PRINTPAGE1</definedName>
    <definedName name="PRINTPAGE1" localSheetId="7">'3.4 Operational data'!PRINTPAGE1</definedName>
    <definedName name="PRINTPAGE1" localSheetId="8">'3.5 Physical Assets'!PRINTPAGE1</definedName>
    <definedName name="PRINTPAGE1" localSheetId="9">'3.6 Quality of services'!PRINTPAGE1</definedName>
    <definedName name="PRINTPAGE1" localSheetId="10">'3.7 Operating environment'!PRINTPAGE1</definedName>
    <definedName name="PRINTPAGE2" localSheetId="5">'3.2 Operating expenditure'!PRINTPAGE2</definedName>
    <definedName name="PRINTPAGE2" localSheetId="7">'3.4 Operational data'!PRINTPAGE2</definedName>
    <definedName name="PRINTPAGE2" localSheetId="8">'3.5 Physical Assets'!PRINTPAGE2</definedName>
    <definedName name="PRINTPAGE2" localSheetId="9">'3.6 Quality of services'!PRINTPAGE2</definedName>
    <definedName name="PRINTPAGE2" localSheetId="10">'3.7 Operating environment'!PRINTPAGE2</definedName>
    <definedName name="PRINTPAGE3" localSheetId="5">'3.2 Operating expenditure'!PRINTPAGE3</definedName>
    <definedName name="PRINTPAGE3" localSheetId="7">'3.4 Operational data'!PRINTPAGE3</definedName>
    <definedName name="PRINTPAGE3" localSheetId="8">'3.5 Physical Assets'!PRINTPAGE3</definedName>
    <definedName name="PRINTPAGE3" localSheetId="9">'3.6 Quality of services'!PRINTPAGE3</definedName>
    <definedName name="PRINTPAGE3" localSheetId="10">'3.7 Operating environment'!PRINTPAGE3</definedName>
    <definedName name="PRINTSCRED" localSheetId="5">'3.2 Operating expenditure'!PRINTSCRED</definedName>
    <definedName name="PRINTSCRED" localSheetId="7">'3.4 Operational data'!PRINTSCRED</definedName>
    <definedName name="PRINTSCRED" localSheetId="8">'3.5 Physical Assets'!PRINTSCRED</definedName>
    <definedName name="PRINTSCRED" localSheetId="9">'3.6 Quality of services'!PRINTSCRED</definedName>
    <definedName name="PRINTSCRED" localSheetId="10">'3.7 Operating environment'!PRINTSCRED</definedName>
    <definedName name="pwq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pwq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pwq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pwq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pwq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pwq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bvsd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bvsd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bvsd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bvsd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bvsd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bv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encount" hidden="1">2</definedName>
    <definedName name="SheetHeader">'Business &amp; other details'!$C$1</definedName>
    <definedName name="SM">"Stuart McKerral"</definedName>
    <definedName name="soaidfj" localSheetId="5">'3.2 Operating expenditure'!soaidfj</definedName>
    <definedName name="soaidfj" localSheetId="7">'3.4 Operational data'!soaidfj</definedName>
    <definedName name="soaidfj" localSheetId="8">'3.5 Physical Assets'!soaidfj</definedName>
    <definedName name="soaidfj" localSheetId="9">'3.6 Quality of services'!soaidfj</definedName>
    <definedName name="soaidfj" localSheetId="10">'3.7 Operating environment'!soaidfj</definedName>
    <definedName name="solver_lin" hidden="1">0</definedName>
    <definedName name="solver_num" hidden="1">0</definedName>
    <definedName name="solver_typ" hidden="1">3</definedName>
    <definedName name="solver_val" hidden="1">399732</definedName>
    <definedName name="testc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estc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estc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estc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estc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estc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estd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estd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estd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estd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estd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est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OC_Hdg_3" hidden="1">[5]Checks_BO!$B$7</definedName>
    <definedName name="TOC_Hdg_4" hidden="1">[5]Checks_BO!$B$66</definedName>
    <definedName name="TOC_Hdg_5" hidden="1">[5]Checks_BO!$B$82</definedName>
    <definedName name="v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v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v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v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v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v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Print._.All." localSheetId="5" hidden="1">{#N/A,#N/A,FALSE,"Summary Signoff";#N/A,#N/A,FALSE,"0310PRIORYR";#N/A,#N/A,FALSE,"0400";#N/A,#N/A,FALSE,"1100BANK";#N/A,#N/A,FALSE,"1400NCD";#N/A,#N/A,FALSE,"1770AMGSH";#N/A,#N/A,FALSE,"1770INTINM5";#N/A,#N/A,FALSE,"1770LOYANGSH";#N/A,#N/A,FALSE,"1770LOYANGUN";#N/A,#N/A,FALSE,"1850";#N/A,#N/A,FALSE,"3500";#N/A,#N/A,FALSE,"3555MGRFEE";#N/A,#N/A,FALSE,"3555TRUSTEE";#N/A,#N/A,FALSE,"3610";#N/A,#N/A,FALSE,"4900";#N/A,#N/A,FALSE,"5200ITA1ITA2"}</definedName>
    <definedName name="wrn.Print._.All." localSheetId="7" hidden="1">{#N/A,#N/A,FALSE,"Summary Signoff";#N/A,#N/A,FALSE,"0310PRIORYR";#N/A,#N/A,FALSE,"0400";#N/A,#N/A,FALSE,"1100BANK";#N/A,#N/A,FALSE,"1400NCD";#N/A,#N/A,FALSE,"1770AMGSH";#N/A,#N/A,FALSE,"1770INTINM5";#N/A,#N/A,FALSE,"1770LOYANGSH";#N/A,#N/A,FALSE,"1770LOYANGUN";#N/A,#N/A,FALSE,"1850";#N/A,#N/A,FALSE,"3500";#N/A,#N/A,FALSE,"3555MGRFEE";#N/A,#N/A,FALSE,"3555TRUSTEE";#N/A,#N/A,FALSE,"3610";#N/A,#N/A,FALSE,"4900";#N/A,#N/A,FALSE,"5200ITA1ITA2"}</definedName>
    <definedName name="wrn.Print._.All." localSheetId="8" hidden="1">{#N/A,#N/A,FALSE,"Summary Signoff";#N/A,#N/A,FALSE,"0310PRIORYR";#N/A,#N/A,FALSE,"0400";#N/A,#N/A,FALSE,"1100BANK";#N/A,#N/A,FALSE,"1400NCD";#N/A,#N/A,FALSE,"1770AMGSH";#N/A,#N/A,FALSE,"1770INTINM5";#N/A,#N/A,FALSE,"1770LOYANGSH";#N/A,#N/A,FALSE,"1770LOYANGUN";#N/A,#N/A,FALSE,"1850";#N/A,#N/A,FALSE,"3500";#N/A,#N/A,FALSE,"3555MGRFEE";#N/A,#N/A,FALSE,"3555TRUSTEE";#N/A,#N/A,FALSE,"3610";#N/A,#N/A,FALSE,"4900";#N/A,#N/A,FALSE,"5200ITA1ITA2"}</definedName>
    <definedName name="wrn.Print._.All." localSheetId="9" hidden="1">{#N/A,#N/A,FALSE,"Summary Signoff";#N/A,#N/A,FALSE,"0310PRIORYR";#N/A,#N/A,FALSE,"0400";#N/A,#N/A,FALSE,"1100BANK";#N/A,#N/A,FALSE,"1400NCD";#N/A,#N/A,FALSE,"1770AMGSH";#N/A,#N/A,FALSE,"1770INTINM5";#N/A,#N/A,FALSE,"1770LOYANGSH";#N/A,#N/A,FALSE,"1770LOYANGUN";#N/A,#N/A,FALSE,"1850";#N/A,#N/A,FALSE,"3500";#N/A,#N/A,FALSE,"3555MGRFEE";#N/A,#N/A,FALSE,"3555TRUSTEE";#N/A,#N/A,FALSE,"3610";#N/A,#N/A,FALSE,"4900";#N/A,#N/A,FALSE,"5200ITA1ITA2"}</definedName>
    <definedName name="wrn.Print._.All." localSheetId="10" hidden="1">{#N/A,#N/A,FALSE,"Summary Signoff";#N/A,#N/A,FALSE,"0310PRIORYR";#N/A,#N/A,FALSE,"0400";#N/A,#N/A,FALSE,"1100BANK";#N/A,#N/A,FALSE,"1400NCD";#N/A,#N/A,FALSE,"1770AMGSH";#N/A,#N/A,FALSE,"1770INTINM5";#N/A,#N/A,FALSE,"1770LOYANGSH";#N/A,#N/A,FALSE,"1770LOYANGUN";#N/A,#N/A,FALSE,"1850";#N/A,#N/A,FALSE,"3500";#N/A,#N/A,FALSE,"3555MGRFEE";#N/A,#N/A,FALSE,"3555TRUSTEE";#N/A,#N/A,FALSE,"3610";#N/A,#N/A,FALSE,"4900";#N/A,#N/A,FALSE,"5200ITA1ITA2"}</definedName>
    <definedName name="wrn.Print._.All." hidden="1">{#N/A,#N/A,FALSE,"Summary Signoff";#N/A,#N/A,FALSE,"0310PRIORYR";#N/A,#N/A,FALSE,"0400";#N/A,#N/A,FALSE,"1100BANK";#N/A,#N/A,FALSE,"1400NCD";#N/A,#N/A,FALSE,"1770AMGSH";#N/A,#N/A,FALSE,"1770INTINM5";#N/A,#N/A,FALSE,"1770LOYANGSH";#N/A,#N/A,FALSE,"1770LOYANGUN";#N/A,#N/A,FALSE,"1850";#N/A,#N/A,FALSE,"3500";#N/A,#N/A,FALSE,"3555MGRFEE";#N/A,#N/A,FALSE,"3555TRUSTEE";#N/A,#N/A,FALSE,"3610";#N/A,#N/A,FALSE,"4900";#N/A,#N/A,FALSE,"5200ITA1ITA2"}</definedName>
    <definedName name="wrn.Print._.all._.rec._.sheets." localSheetId="5" hidden="1">{#N/A,#N/A,FALSE,"undistrib income";#N/A,#N/A,FALSE,"units";#N/A,#N/A,FALSE,"cap reserve";#N/A,#N/A,FALSE,"bank";#N/A,#N/A,FALSE,"int receivable";#N/A,#N/A,FALSE,"other debtors";#N/A,#N/A,FALSE,"rent debtor";#N/A,#N/A,FALSE,"prepayments";#N/A,#N/A,FALSE,"amort borrowing costs";#N/A,#N/A,FALSE,"term debt";#N/A,#N/A,FALSE,"bonds";#N/A,#N/A,FALSE,"managers fees";#N/A,#N/A,FALSE,"trustee fees";#N/A,#N/A,FALSE,"sundry creditors";#N/A,#N/A,FALSE,"prepaid rent";#N/A,#N/A,FALSE,"prepaid interest";#N/A,#N/A,FALSE,"prov for distribution";#N/A,#N/A,FALSE,"bonus loan";#N/A,#N/A,FALSE,"loan construction";#N/A,#N/A,FALSE,"loan hills co";#N/A,#N/A,FALSE,"infrastructure loan"}</definedName>
    <definedName name="wrn.Print._.all._.rec._.sheets." localSheetId="7" hidden="1">{#N/A,#N/A,FALSE,"undistrib income";#N/A,#N/A,FALSE,"units";#N/A,#N/A,FALSE,"cap reserve";#N/A,#N/A,FALSE,"bank";#N/A,#N/A,FALSE,"int receivable";#N/A,#N/A,FALSE,"other debtors";#N/A,#N/A,FALSE,"rent debtor";#N/A,#N/A,FALSE,"prepayments";#N/A,#N/A,FALSE,"amort borrowing costs";#N/A,#N/A,FALSE,"term debt";#N/A,#N/A,FALSE,"bonds";#N/A,#N/A,FALSE,"managers fees";#N/A,#N/A,FALSE,"trustee fees";#N/A,#N/A,FALSE,"sundry creditors";#N/A,#N/A,FALSE,"prepaid rent";#N/A,#N/A,FALSE,"prepaid interest";#N/A,#N/A,FALSE,"prov for distribution";#N/A,#N/A,FALSE,"bonus loan";#N/A,#N/A,FALSE,"loan construction";#N/A,#N/A,FALSE,"loan hills co";#N/A,#N/A,FALSE,"infrastructure loan"}</definedName>
    <definedName name="wrn.Print._.all._.rec._.sheets." localSheetId="8" hidden="1">{#N/A,#N/A,FALSE,"undistrib income";#N/A,#N/A,FALSE,"units";#N/A,#N/A,FALSE,"cap reserve";#N/A,#N/A,FALSE,"bank";#N/A,#N/A,FALSE,"int receivable";#N/A,#N/A,FALSE,"other debtors";#N/A,#N/A,FALSE,"rent debtor";#N/A,#N/A,FALSE,"prepayments";#N/A,#N/A,FALSE,"amort borrowing costs";#N/A,#N/A,FALSE,"term debt";#N/A,#N/A,FALSE,"bonds";#N/A,#N/A,FALSE,"managers fees";#N/A,#N/A,FALSE,"trustee fees";#N/A,#N/A,FALSE,"sundry creditors";#N/A,#N/A,FALSE,"prepaid rent";#N/A,#N/A,FALSE,"prepaid interest";#N/A,#N/A,FALSE,"prov for distribution";#N/A,#N/A,FALSE,"bonus loan";#N/A,#N/A,FALSE,"loan construction";#N/A,#N/A,FALSE,"loan hills co";#N/A,#N/A,FALSE,"infrastructure loan"}</definedName>
    <definedName name="wrn.Print._.all._.rec._.sheets." localSheetId="9" hidden="1">{#N/A,#N/A,FALSE,"undistrib income";#N/A,#N/A,FALSE,"units";#N/A,#N/A,FALSE,"cap reserve";#N/A,#N/A,FALSE,"bank";#N/A,#N/A,FALSE,"int receivable";#N/A,#N/A,FALSE,"other debtors";#N/A,#N/A,FALSE,"rent debtor";#N/A,#N/A,FALSE,"prepayments";#N/A,#N/A,FALSE,"amort borrowing costs";#N/A,#N/A,FALSE,"term debt";#N/A,#N/A,FALSE,"bonds";#N/A,#N/A,FALSE,"managers fees";#N/A,#N/A,FALSE,"trustee fees";#N/A,#N/A,FALSE,"sundry creditors";#N/A,#N/A,FALSE,"prepaid rent";#N/A,#N/A,FALSE,"prepaid interest";#N/A,#N/A,FALSE,"prov for distribution";#N/A,#N/A,FALSE,"bonus loan";#N/A,#N/A,FALSE,"loan construction";#N/A,#N/A,FALSE,"loan hills co";#N/A,#N/A,FALSE,"infrastructure loan"}</definedName>
    <definedName name="wrn.Print._.all._.rec._.sheets." localSheetId="10" hidden="1">{#N/A,#N/A,FALSE,"undistrib income";#N/A,#N/A,FALSE,"units";#N/A,#N/A,FALSE,"cap reserve";#N/A,#N/A,FALSE,"bank";#N/A,#N/A,FALSE,"int receivable";#N/A,#N/A,FALSE,"other debtors";#N/A,#N/A,FALSE,"rent debtor";#N/A,#N/A,FALSE,"prepayments";#N/A,#N/A,FALSE,"amort borrowing costs";#N/A,#N/A,FALSE,"term debt";#N/A,#N/A,FALSE,"bonds";#N/A,#N/A,FALSE,"managers fees";#N/A,#N/A,FALSE,"trustee fees";#N/A,#N/A,FALSE,"sundry creditors";#N/A,#N/A,FALSE,"prepaid rent";#N/A,#N/A,FALSE,"prepaid interest";#N/A,#N/A,FALSE,"prov for distribution";#N/A,#N/A,FALSE,"bonus loan";#N/A,#N/A,FALSE,"loan construction";#N/A,#N/A,FALSE,"loan hills co";#N/A,#N/A,FALSE,"infrastructure loan"}</definedName>
    <definedName name="wrn.Print._.all._.rec._.sheets." hidden="1">{#N/A,#N/A,FALSE,"undistrib income";#N/A,#N/A,FALSE,"units";#N/A,#N/A,FALSE,"cap reserve";#N/A,#N/A,FALSE,"bank";#N/A,#N/A,FALSE,"int receivable";#N/A,#N/A,FALSE,"other debtors";#N/A,#N/A,FALSE,"rent debtor";#N/A,#N/A,FALSE,"prepayments";#N/A,#N/A,FALSE,"amort borrowing costs";#N/A,#N/A,FALSE,"term debt";#N/A,#N/A,FALSE,"bonds";#N/A,#N/A,FALSE,"managers fees";#N/A,#N/A,FALSE,"trustee fees";#N/A,#N/A,FALSE,"sundry creditors";#N/A,#N/A,FALSE,"prepaid rent";#N/A,#N/A,FALSE,"prepaid interest";#N/A,#N/A,FALSE,"prov for distribution";#N/A,#N/A,FALSE,"bonus loan";#N/A,#N/A,FALSE,"loan construction";#N/A,#N/A,FALSE,"loan hills co";#N/A,#N/A,FALSE,"infrastructure loan"}</definedName>
    <definedName name="wrn.Print._.PL." localSheetId="5" hidden="1">{"ITA_1_PL",#N/A,FALSE,"Print - PL";"ITA_2_PL",#N/A,FALSE,"Print - PL";"ITA_Group_PL",#N/A,FALSE,"Print - PL"}</definedName>
    <definedName name="wrn.Print._.PL." localSheetId="7" hidden="1">{"ITA_1_PL",#N/A,FALSE,"Print - PL";"ITA_2_PL",#N/A,FALSE,"Print - PL";"ITA_Group_PL",#N/A,FALSE,"Print - PL"}</definedName>
    <definedName name="wrn.Print._.PL." localSheetId="8" hidden="1">{"ITA_1_PL",#N/A,FALSE,"Print - PL";"ITA_2_PL",#N/A,FALSE,"Print - PL";"ITA_Group_PL",#N/A,FALSE,"Print - PL"}</definedName>
    <definedName name="wrn.Print._.PL." localSheetId="9" hidden="1">{"ITA_1_PL",#N/A,FALSE,"Print - PL";"ITA_2_PL",#N/A,FALSE,"Print - PL";"ITA_Group_PL",#N/A,FALSE,"Print - PL"}</definedName>
    <definedName name="wrn.Print._.PL." localSheetId="10" hidden="1">{"ITA_1_PL",#N/A,FALSE,"Print - PL";"ITA_2_PL",#N/A,FALSE,"Print - PL";"ITA_Group_PL",#N/A,FALSE,"Print - PL"}</definedName>
    <definedName name="wrn.Print._.PL." hidden="1">{"ITA_1_PL",#N/A,FALSE,"Print - PL";"ITA_2_PL",#N/A,FALSE,"Print - PL";"ITA_Group_PL",#N/A,FALSE,"Print - PL"}</definedName>
    <definedName name="wrn.Print._.Summary." localSheetId="5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Print._.Summary." localSheetId="7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Print._.Summary." localSheetId="8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Print._.Summary." localSheetId="9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Print._.Summary." localSheetId="10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Print._.Summary.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Summary." localSheetId="5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Summary." localSheetId="7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Summary." localSheetId="8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Summary." localSheetId="9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Summary." localSheetId="10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Summary.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TEST." localSheetId="5" hidden="1">{#N/A,#N/A,FALSE,"MGH income-Support";#N/A,#N/A,FALSE,"MGN balance sheet-Support"}</definedName>
    <definedName name="wrn.TEST." localSheetId="7" hidden="1">{#N/A,#N/A,FALSE,"MGH income-Support";#N/A,#N/A,FALSE,"MGN balance sheet-Support"}</definedName>
    <definedName name="wrn.TEST." localSheetId="8" hidden="1">{#N/A,#N/A,FALSE,"MGH income-Support";#N/A,#N/A,FALSE,"MGN balance sheet-Support"}</definedName>
    <definedName name="wrn.TEST." localSheetId="9" hidden="1">{#N/A,#N/A,FALSE,"MGH income-Support";#N/A,#N/A,FALSE,"MGN balance sheet-Support"}</definedName>
    <definedName name="wrn.TEST." localSheetId="10" hidden="1">{#N/A,#N/A,FALSE,"MGH income-Support";#N/A,#N/A,FALSE,"MGN balance sheet-Support"}</definedName>
    <definedName name="wrn.TEST." hidden="1">{#N/A,#N/A,FALSE,"MGH income-Support";#N/A,#N/A,FALSE,"MGN balance sheet-Support"}</definedName>
    <definedName name="wrn.UEG._.Operating._.Report.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.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.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.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.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x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x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x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x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x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x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z" localSheetId="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z" localSheetId="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z" localSheetId="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z" localSheetId="9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z" localSheetId="1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z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Z_194E5B9A_53B1_414D_85B4_862268EA3FD8_.wvu.Cols" localSheetId="5" hidden="1">#REF!,#REF!</definedName>
    <definedName name="Z_194E5B9A_53B1_414D_85B4_862268EA3FD8_.wvu.Cols" localSheetId="7" hidden="1">#REF!,#REF!</definedName>
    <definedName name="Z_194E5B9A_53B1_414D_85B4_862268EA3FD8_.wvu.Cols" localSheetId="8" hidden="1">#REF!,#REF!</definedName>
    <definedName name="Z_194E5B9A_53B1_414D_85B4_862268EA3FD8_.wvu.Cols" localSheetId="9" hidden="1">#REF!,#REF!</definedName>
    <definedName name="Z_194E5B9A_53B1_414D_85B4_862268EA3FD8_.wvu.Cols" localSheetId="10" hidden="1">#REF!,#REF!</definedName>
    <definedName name="Z_194E5B9A_53B1_414D_85B4_862268EA3FD8_.wvu.Cols" hidden="1">#REF!,#REF!</definedName>
    <definedName name="Z_457C99E0_B489_11D4_9586_D18A69491E44_.wvu.FilterData" localSheetId="5" hidden="1">[3]DataAct!#REF!</definedName>
    <definedName name="Z_457C99E0_B489_11D4_9586_D18A69491E44_.wvu.FilterData" localSheetId="7" hidden="1">[3]DataAct!#REF!</definedName>
    <definedName name="Z_457C99E0_B489_11D4_9586_D18A69491E44_.wvu.FilterData" localSheetId="8" hidden="1">[3]DataAct!#REF!</definedName>
    <definedName name="Z_457C99E0_B489_11D4_9586_D18A69491E44_.wvu.FilterData" localSheetId="9" hidden="1">[3]DataAct!#REF!</definedName>
    <definedName name="Z_457C99E0_B489_11D4_9586_D18A69491E44_.wvu.FilterData" localSheetId="10" hidden="1">[3]DataAct!#REF!</definedName>
    <definedName name="Z_457C99E0_B489_11D4_9586_D18A69491E44_.wvu.FilterData" hidden="1">[3]DataAct!#REF!</definedName>
    <definedName name="Z_4A79B72B_DC22_4363_885C_85183B73F539_.wvu.Cols" hidden="1">'[8]Inputs II'!$D:$F,'[8]Inputs II'!$G:$I</definedName>
    <definedName name="Z_6664BF98_58A8_4AA7_B274_16B63D099514_.wvu.PrintTitles" localSheetId="5" hidden="1">#REF!</definedName>
    <definedName name="Z_6664BF98_58A8_4AA7_B274_16B63D099514_.wvu.PrintTitles" localSheetId="7" hidden="1">#REF!</definedName>
    <definedName name="Z_6664BF98_58A8_4AA7_B274_16B63D099514_.wvu.PrintTitles" localSheetId="8" hidden="1">#REF!</definedName>
    <definedName name="Z_6664BF98_58A8_4AA7_B274_16B63D099514_.wvu.PrintTitles" localSheetId="9" hidden="1">#REF!</definedName>
    <definedName name="Z_6664BF98_58A8_4AA7_B274_16B63D099514_.wvu.PrintTitles" localSheetId="10" hidden="1">#REF!</definedName>
    <definedName name="Z_6664BF98_58A8_4AA7_B274_16B63D099514_.wvu.PrintTitles" hidden="1">#REF!</definedName>
    <definedName name="Z_6664BF98_58A8_4AA7_B274_16B63D099514_.wvu.Rows" localSheetId="5" hidden="1">#REF!</definedName>
    <definedName name="Z_6664BF98_58A8_4AA7_B274_16B63D099514_.wvu.Rows" localSheetId="7" hidden="1">#REF!</definedName>
    <definedName name="Z_6664BF98_58A8_4AA7_B274_16B63D099514_.wvu.Rows" localSheetId="8" hidden="1">#REF!</definedName>
    <definedName name="Z_6664BF98_58A8_4AA7_B274_16B63D099514_.wvu.Rows" localSheetId="9" hidden="1">#REF!</definedName>
    <definedName name="Z_6664BF98_58A8_4AA7_B274_16B63D099514_.wvu.Rows" localSheetId="10" hidden="1">#REF!</definedName>
    <definedName name="Z_6664BF98_58A8_4AA7_B274_16B63D099514_.wvu.Rows" hidden="1">#REF!</definedName>
    <definedName name="Z_7BA556F5_54D8_11D5_A01A_F3F642D11487_.wvu.PrintTitles" localSheetId="5" hidden="1">#REF!</definedName>
    <definedName name="Z_7BA556F5_54D8_11D5_A01A_F3F642D11487_.wvu.PrintTitles" localSheetId="7" hidden="1">#REF!</definedName>
    <definedName name="Z_7BA556F5_54D8_11D5_A01A_F3F642D11487_.wvu.PrintTitles" localSheetId="8" hidden="1">#REF!</definedName>
    <definedName name="Z_7BA556F5_54D8_11D5_A01A_F3F642D11487_.wvu.PrintTitles" localSheetId="9" hidden="1">#REF!</definedName>
    <definedName name="Z_7BA556F5_54D8_11D5_A01A_F3F642D11487_.wvu.PrintTitles" localSheetId="10" hidden="1">#REF!</definedName>
    <definedName name="Z_7BA556F5_54D8_11D5_A01A_F3F642D11487_.wvu.PrintTitles" hidden="1">#REF!</definedName>
    <definedName name="Z_82A713E0_6943_11D4_BE9F_0010A4B0D9C7_.wvu.Cols" localSheetId="5" hidden="1">#REF!</definedName>
    <definedName name="Z_82A713E0_6943_11D4_BE9F_0010A4B0D9C7_.wvu.Cols" localSheetId="7" hidden="1">#REF!</definedName>
    <definedName name="Z_82A713E0_6943_11D4_BE9F_0010A4B0D9C7_.wvu.Cols" localSheetId="8" hidden="1">#REF!</definedName>
    <definedName name="Z_82A713E0_6943_11D4_BE9F_0010A4B0D9C7_.wvu.Cols" localSheetId="9" hidden="1">#REF!</definedName>
    <definedName name="Z_82A713E0_6943_11D4_BE9F_0010A4B0D9C7_.wvu.Cols" localSheetId="10" hidden="1">#REF!</definedName>
    <definedName name="Z_82A713E0_6943_11D4_BE9F_0010A4B0D9C7_.wvu.Cols" hidden="1">#REF!</definedName>
    <definedName name="Z_82A713E0_6943_11D4_BE9F_0010A4B0D9C7_.wvu.Rows" localSheetId="5" hidden="1">#REF!,#REF!</definedName>
    <definedName name="Z_82A713E0_6943_11D4_BE9F_0010A4B0D9C7_.wvu.Rows" localSheetId="7" hidden="1">#REF!,#REF!</definedName>
    <definedName name="Z_82A713E0_6943_11D4_BE9F_0010A4B0D9C7_.wvu.Rows" localSheetId="8" hidden="1">#REF!,#REF!</definedName>
    <definedName name="Z_82A713E0_6943_11D4_BE9F_0010A4B0D9C7_.wvu.Rows" localSheetId="9" hidden="1">#REF!,#REF!</definedName>
    <definedName name="Z_82A713E0_6943_11D4_BE9F_0010A4B0D9C7_.wvu.Rows" localSheetId="10" hidden="1">#REF!,#REF!</definedName>
    <definedName name="Z_82A713E0_6943_11D4_BE9F_0010A4B0D9C7_.wvu.Rows" hidden="1">#REF!,#REF!</definedName>
    <definedName name="Z_86D17A40_67AF_11D4_BE9F_0010A4C47286_.wvu.FilterData" localSheetId="5" hidden="1">[3]DataAct!#REF!</definedName>
    <definedName name="Z_86D17A40_67AF_11D4_BE9F_0010A4C47286_.wvu.FilterData" localSheetId="7" hidden="1">[3]DataAct!#REF!</definedName>
    <definedName name="Z_86D17A40_67AF_11D4_BE9F_0010A4C47286_.wvu.FilterData" localSheetId="8" hidden="1">[3]DataAct!#REF!</definedName>
    <definedName name="Z_86D17A40_67AF_11D4_BE9F_0010A4C47286_.wvu.FilterData" localSheetId="9" hidden="1">[3]DataAct!#REF!</definedName>
    <definedName name="Z_86D17A40_67AF_11D4_BE9F_0010A4C47286_.wvu.FilterData" localSheetId="10" hidden="1">[3]DataAct!#REF!</definedName>
    <definedName name="Z_86D17A40_67AF_11D4_BE9F_0010A4C47286_.wvu.FilterData" hidden="1">[3]DataAct!#REF!</definedName>
    <definedName name="Z_86D17A4F_67AF_11D4_BE9F_0010A4C47286_.wvu.FilterData" localSheetId="5" hidden="1">[3]DataAct!#REF!</definedName>
    <definedName name="Z_86D17A4F_67AF_11D4_BE9F_0010A4C47286_.wvu.FilterData" localSheetId="7" hidden="1">[3]DataAct!#REF!</definedName>
    <definedName name="Z_86D17A4F_67AF_11D4_BE9F_0010A4C47286_.wvu.FilterData" localSheetId="8" hidden="1">[3]DataAct!#REF!</definedName>
    <definedName name="Z_86D17A4F_67AF_11D4_BE9F_0010A4C47286_.wvu.FilterData" localSheetId="9" hidden="1">[3]DataAct!#REF!</definedName>
    <definedName name="Z_86D17A4F_67AF_11D4_BE9F_0010A4C47286_.wvu.FilterData" localSheetId="10" hidden="1">[3]DataAct!#REF!</definedName>
    <definedName name="Z_86D17A4F_67AF_11D4_BE9F_0010A4C47286_.wvu.FilterData" hidden="1">[3]DataAct!#REF!</definedName>
    <definedName name="Z_954171C1_B0CF_11D4_9586_C4C4470EA652_.wvu.FilterData" localSheetId="5" hidden="1">[3]DataAct!#REF!</definedName>
    <definedName name="Z_954171C1_B0CF_11D4_9586_C4C4470EA652_.wvu.FilterData" localSheetId="7" hidden="1">[3]DataAct!#REF!</definedName>
    <definedName name="Z_954171C1_B0CF_11D4_9586_C4C4470EA652_.wvu.FilterData" localSheetId="8" hidden="1">[3]DataAct!#REF!</definedName>
    <definedName name="Z_954171C1_B0CF_11D4_9586_C4C4470EA652_.wvu.FilterData" localSheetId="9" hidden="1">[3]DataAct!#REF!</definedName>
    <definedName name="Z_954171C1_B0CF_11D4_9586_C4C4470EA652_.wvu.FilterData" localSheetId="10" hidden="1">[3]DataAct!#REF!</definedName>
    <definedName name="Z_954171C1_B0CF_11D4_9586_C4C4470EA652_.wvu.FilterData" hidden="1">[3]DataAct!#REF!</definedName>
    <definedName name="Z_954171C6_B0CF_11D4_9586_C4C4470EA652_.wvu.FilterData" localSheetId="5" hidden="1">[3]DataAct!#REF!</definedName>
    <definedName name="Z_954171C6_B0CF_11D4_9586_C4C4470EA652_.wvu.FilterData" localSheetId="7" hidden="1">[3]DataAct!#REF!</definedName>
    <definedName name="Z_954171C6_B0CF_11D4_9586_C4C4470EA652_.wvu.FilterData" localSheetId="8" hidden="1">[3]DataAct!#REF!</definedName>
    <definedName name="Z_954171C6_B0CF_11D4_9586_C4C4470EA652_.wvu.FilterData" localSheetId="9" hidden="1">[3]DataAct!#REF!</definedName>
    <definedName name="Z_954171C6_B0CF_11D4_9586_C4C4470EA652_.wvu.FilterData" localSheetId="10" hidden="1">[3]DataAct!#REF!</definedName>
    <definedName name="Z_954171C6_B0CF_11D4_9586_C4C4470EA652_.wvu.FilterData" hidden="1">[3]DataAct!#REF!</definedName>
    <definedName name="Z_B353C461_E47E_11D3_9F17_9F7735ADF445_.wvu.PrintArea" localSheetId="5" hidden="1">#REF!</definedName>
    <definedName name="Z_B353C461_E47E_11D3_9F17_9F7735ADF445_.wvu.PrintArea" localSheetId="7" hidden="1">#REF!</definedName>
    <definedName name="Z_B353C461_E47E_11D3_9F17_9F7735ADF445_.wvu.PrintArea" localSheetId="8" hidden="1">#REF!</definedName>
    <definedName name="Z_B353C461_E47E_11D3_9F17_9F7735ADF445_.wvu.PrintArea" localSheetId="9" hidden="1">#REF!</definedName>
    <definedName name="Z_B353C461_E47E_11D3_9F17_9F7735ADF445_.wvu.PrintArea" localSheetId="10" hidden="1">#REF!</definedName>
    <definedName name="Z_B353C461_E47E_11D3_9F17_9F7735ADF445_.wvu.PrintArea" hidden="1">#REF!</definedName>
    <definedName name="Z_B6615E22_B0C4_11D4_9586_D4E81DC95A44_.wvu.FilterData" localSheetId="5" hidden="1">[3]DataAct!#REF!</definedName>
    <definedName name="Z_B6615E22_B0C4_11D4_9586_D4E81DC95A44_.wvu.FilterData" localSheetId="7" hidden="1">[3]DataAct!#REF!</definedName>
    <definedName name="Z_B6615E22_B0C4_11D4_9586_D4E81DC95A44_.wvu.FilterData" localSheetId="8" hidden="1">[3]DataAct!#REF!</definedName>
    <definedName name="Z_B6615E22_B0C4_11D4_9586_D4E81DC95A44_.wvu.FilterData" localSheetId="9" hidden="1">[3]DataAct!#REF!</definedName>
    <definedName name="Z_B6615E22_B0C4_11D4_9586_D4E81DC95A44_.wvu.FilterData" localSheetId="10" hidden="1">[3]DataAct!#REF!</definedName>
    <definedName name="Z_B6615E22_B0C4_11D4_9586_D4E81DC95A44_.wvu.FilterData" hidden="1">[3]DataAct!#REF!</definedName>
    <definedName name="Z_CFB7B7F4_1D0A_11D5_9586_DD7024B77949_.wvu.FilterData" localSheetId="5" hidden="1">[3]DataAct!#REF!</definedName>
    <definedName name="Z_CFB7B7F4_1D0A_11D5_9586_DD7024B77949_.wvu.FilterData" localSheetId="7" hidden="1">[3]DataAct!#REF!</definedName>
    <definedName name="Z_CFB7B7F4_1D0A_11D5_9586_DD7024B77949_.wvu.FilterData" localSheetId="8" hidden="1">[3]DataAct!#REF!</definedName>
    <definedName name="Z_CFB7B7F4_1D0A_11D5_9586_DD7024B77949_.wvu.FilterData" localSheetId="9" hidden="1">[3]DataAct!#REF!</definedName>
    <definedName name="Z_CFB7B7F4_1D0A_11D5_9586_DD7024B77949_.wvu.FilterData" localSheetId="10" hidden="1">[3]DataAct!#REF!</definedName>
    <definedName name="Z_CFB7B7F4_1D0A_11D5_9586_DD7024B77949_.wvu.FilterData" hidden="1">[3]DataAct!#REF!</definedName>
  </definedNames>
  <calcPr calcId="162913"/>
</workbook>
</file>

<file path=xl/calcChain.xml><?xml version="1.0" encoding="utf-8"?>
<calcChain xmlns="http://schemas.openxmlformats.org/spreadsheetml/2006/main">
  <c r="AE86" i="28" l="1"/>
  <c r="AD86" i="28"/>
  <c r="AC86" i="28"/>
  <c r="AB86" i="28"/>
  <c r="AA86" i="28"/>
  <c r="Z86" i="28"/>
  <c r="Y86" i="28"/>
  <c r="X86" i="28"/>
  <c r="AE85" i="28"/>
  <c r="AD85" i="28"/>
  <c r="AC85" i="28"/>
  <c r="AB85" i="28"/>
  <c r="AA85" i="28"/>
  <c r="Z85" i="28"/>
  <c r="Y85" i="28"/>
  <c r="X85" i="28"/>
  <c r="AE84" i="28"/>
  <c r="AD84" i="28"/>
  <c r="AC84" i="28"/>
  <c r="AB84" i="28"/>
  <c r="AA84" i="28"/>
  <c r="Z84" i="28"/>
  <c r="Y84" i="28"/>
  <c r="X84" i="28"/>
  <c r="AE82" i="28"/>
  <c r="AD82" i="28"/>
  <c r="AC82" i="28"/>
  <c r="AB82" i="28"/>
  <c r="AA82" i="28"/>
  <c r="Z82" i="28"/>
  <c r="Y82" i="28"/>
  <c r="X82" i="28"/>
  <c r="AE81" i="28"/>
  <c r="AD81" i="28"/>
  <c r="AC81" i="28"/>
  <c r="AB81" i="28"/>
  <c r="AA81" i="28"/>
  <c r="Z81" i="28"/>
  <c r="Y81" i="28"/>
  <c r="X81" i="28"/>
  <c r="AE80" i="28"/>
  <c r="AD80" i="28"/>
  <c r="AC80" i="28"/>
  <c r="AB80" i="28"/>
  <c r="AA80" i="28"/>
  <c r="Z80" i="28"/>
  <c r="Y80" i="28"/>
  <c r="X80" i="28"/>
  <c r="AE14" i="28"/>
  <c r="AD14" i="28"/>
  <c r="AC14" i="28"/>
  <c r="AB14" i="28"/>
  <c r="AA14" i="28"/>
  <c r="Z14" i="28"/>
  <c r="Y14" i="28"/>
  <c r="X14" i="28"/>
  <c r="AE13" i="28"/>
  <c r="AD13" i="28"/>
  <c r="AC13" i="28"/>
  <c r="AB13" i="28"/>
  <c r="AA13" i="28"/>
  <c r="Z13" i="28"/>
  <c r="Y13" i="28"/>
  <c r="X13" i="28"/>
  <c r="AE12" i="28"/>
  <c r="AD12" i="28"/>
  <c r="AC12" i="28"/>
  <c r="AB12" i="28"/>
  <c r="AA12" i="28"/>
  <c r="Z12" i="28"/>
  <c r="Y12" i="28"/>
  <c r="X12" i="28"/>
  <c r="AE10" i="28"/>
  <c r="AD10" i="28"/>
  <c r="AC10" i="28"/>
  <c r="AB10" i="28"/>
  <c r="AA10" i="28"/>
  <c r="Z10" i="28"/>
  <c r="Y10" i="28"/>
  <c r="X10" i="28"/>
  <c r="AE9" i="28"/>
  <c r="AD9" i="28"/>
  <c r="AC9" i="28"/>
  <c r="AB9" i="28"/>
  <c r="AA9" i="28"/>
  <c r="Z9" i="28"/>
  <c r="Y9" i="28"/>
  <c r="X9" i="28"/>
  <c r="AE8" i="28"/>
  <c r="AD8" i="28"/>
  <c r="AC8" i="28"/>
  <c r="AB8" i="28"/>
  <c r="AA8" i="28"/>
  <c r="Z8" i="28"/>
  <c r="Y8" i="28"/>
  <c r="X8" i="28"/>
  <c r="AE109" i="28"/>
  <c r="AD109" i="28"/>
  <c r="AC109" i="28"/>
  <c r="U109" i="28" l="1"/>
  <c r="T109" i="28"/>
  <c r="S109" i="28"/>
  <c r="R109" i="28"/>
  <c r="Q109" i="28"/>
  <c r="P109" i="28"/>
  <c r="O109" i="28"/>
  <c r="N109" i="28"/>
  <c r="K109" i="28"/>
  <c r="J109" i="28"/>
  <c r="I109" i="28"/>
  <c r="H109" i="28"/>
  <c r="G109" i="28"/>
  <c r="F109" i="28"/>
  <c r="E109" i="28"/>
  <c r="D109" i="28"/>
  <c r="U106" i="28"/>
  <c r="T106" i="28"/>
  <c r="S106" i="28"/>
  <c r="R106" i="28"/>
  <c r="Q106" i="28"/>
  <c r="P106" i="28"/>
  <c r="O106" i="28"/>
  <c r="N106" i="28"/>
  <c r="K106" i="28"/>
  <c r="J106" i="28"/>
  <c r="I106" i="28"/>
  <c r="H106" i="28"/>
  <c r="G106" i="28"/>
  <c r="F106" i="28"/>
  <c r="E106" i="28"/>
  <c r="D106" i="28"/>
  <c r="U105" i="28"/>
  <c r="T105" i="28"/>
  <c r="S105" i="28"/>
  <c r="R105" i="28"/>
  <c r="Q105" i="28"/>
  <c r="P105" i="28"/>
  <c r="O105" i="28"/>
  <c r="N105" i="28"/>
  <c r="K105" i="28"/>
  <c r="J105" i="28"/>
  <c r="I105" i="28"/>
  <c r="H105" i="28"/>
  <c r="G105" i="28"/>
  <c r="F105" i="28"/>
  <c r="E105" i="28"/>
  <c r="D105" i="28"/>
  <c r="U104" i="28"/>
  <c r="T104" i="28"/>
  <c r="S104" i="28"/>
  <c r="R104" i="28"/>
  <c r="Q104" i="28"/>
  <c r="P104" i="28"/>
  <c r="O104" i="28"/>
  <c r="N104" i="28"/>
  <c r="K104" i="28"/>
  <c r="J104" i="28"/>
  <c r="I104" i="28"/>
  <c r="H104" i="28"/>
  <c r="G104" i="28"/>
  <c r="F104" i="28"/>
  <c r="E104" i="28"/>
  <c r="D104" i="28"/>
  <c r="U102" i="28"/>
  <c r="T102" i="28"/>
  <c r="S102" i="28"/>
  <c r="R102" i="28"/>
  <c r="Q102" i="28"/>
  <c r="P102" i="28"/>
  <c r="O102" i="28"/>
  <c r="N102" i="28"/>
  <c r="K102" i="28"/>
  <c r="J102" i="28"/>
  <c r="I102" i="28"/>
  <c r="H102" i="28"/>
  <c r="G102" i="28"/>
  <c r="F102" i="28"/>
  <c r="E102" i="28"/>
  <c r="D102" i="28"/>
  <c r="U101" i="28"/>
  <c r="T101" i="28"/>
  <c r="S101" i="28"/>
  <c r="R101" i="28"/>
  <c r="Q101" i="28"/>
  <c r="P101" i="28"/>
  <c r="O101" i="28"/>
  <c r="N101" i="28"/>
  <c r="K101" i="28"/>
  <c r="J101" i="28"/>
  <c r="I101" i="28"/>
  <c r="H101" i="28"/>
  <c r="G101" i="28"/>
  <c r="F101" i="28"/>
  <c r="E101" i="28"/>
  <c r="D101" i="28"/>
  <c r="U100" i="28"/>
  <c r="T100" i="28"/>
  <c r="S100" i="28"/>
  <c r="R100" i="28"/>
  <c r="Q100" i="28"/>
  <c r="P100" i="28"/>
  <c r="O100" i="28"/>
  <c r="N100" i="28"/>
  <c r="K100" i="28"/>
  <c r="J100" i="28"/>
  <c r="I100" i="28"/>
  <c r="H100" i="28"/>
  <c r="G100" i="28"/>
  <c r="F100" i="28"/>
  <c r="E100" i="28"/>
  <c r="D100" i="28"/>
  <c r="U99" i="28"/>
  <c r="T99" i="28"/>
  <c r="S99" i="28"/>
  <c r="R99" i="28"/>
  <c r="Q99" i="28"/>
  <c r="P99" i="28"/>
  <c r="O99" i="28"/>
  <c r="N99" i="28"/>
  <c r="K99" i="28"/>
  <c r="J99" i="28"/>
  <c r="I99" i="28"/>
  <c r="H99" i="28"/>
  <c r="G99" i="28"/>
  <c r="F99" i="28"/>
  <c r="E99" i="28"/>
  <c r="D99" i="28"/>
  <c r="U98" i="28"/>
  <c r="T98" i="28"/>
  <c r="S98" i="28"/>
  <c r="R98" i="28"/>
  <c r="Q98" i="28"/>
  <c r="P98" i="28"/>
  <c r="O98" i="28"/>
  <c r="N98" i="28"/>
  <c r="K98" i="28"/>
  <c r="J98" i="28"/>
  <c r="I98" i="28"/>
  <c r="H98" i="28"/>
  <c r="G98" i="28"/>
  <c r="F98" i="28"/>
  <c r="E98" i="28"/>
  <c r="D98" i="28"/>
  <c r="U97" i="28"/>
  <c r="T97" i="28"/>
  <c r="S97" i="28"/>
  <c r="R97" i="28"/>
  <c r="Q97" i="28"/>
  <c r="P97" i="28"/>
  <c r="O97" i="28"/>
  <c r="N97" i="28"/>
  <c r="K97" i="28"/>
  <c r="J97" i="28"/>
  <c r="I97" i="28"/>
  <c r="H97" i="28"/>
  <c r="G97" i="28"/>
  <c r="F97" i="28"/>
  <c r="E97" i="28"/>
  <c r="D97" i="28"/>
  <c r="U94" i="28"/>
  <c r="T94" i="28"/>
  <c r="S94" i="28"/>
  <c r="R94" i="28"/>
  <c r="Q94" i="28"/>
  <c r="P94" i="28"/>
  <c r="O94" i="28"/>
  <c r="N94" i="28"/>
  <c r="U93" i="28"/>
  <c r="T93" i="28"/>
  <c r="S93" i="28"/>
  <c r="R93" i="28"/>
  <c r="Q93" i="28"/>
  <c r="P93" i="28"/>
  <c r="O93" i="28"/>
  <c r="N93" i="28"/>
  <c r="K93" i="28"/>
  <c r="J93" i="28"/>
  <c r="I93" i="28"/>
  <c r="H93" i="28"/>
  <c r="G93" i="28"/>
  <c r="F93" i="28"/>
  <c r="E93" i="28"/>
  <c r="D93" i="28"/>
  <c r="U92" i="28"/>
  <c r="T92" i="28"/>
  <c r="S92" i="28"/>
  <c r="R92" i="28"/>
  <c r="Q92" i="28"/>
  <c r="P92" i="28"/>
  <c r="O92" i="28"/>
  <c r="N92" i="28"/>
  <c r="K92" i="28"/>
  <c r="J92" i="28"/>
  <c r="I92" i="28"/>
  <c r="H92" i="28"/>
  <c r="G92" i="28"/>
  <c r="F92" i="28"/>
  <c r="E92" i="28"/>
  <c r="D92" i="28"/>
  <c r="U90" i="28"/>
  <c r="T90" i="28"/>
  <c r="S90" i="28"/>
  <c r="R90" i="28"/>
  <c r="Q90" i="28"/>
  <c r="P90" i="28"/>
  <c r="O90" i="28"/>
  <c r="N90" i="28"/>
  <c r="K90" i="28"/>
  <c r="J90" i="28"/>
  <c r="I90" i="28"/>
  <c r="H90" i="28"/>
  <c r="G90" i="28"/>
  <c r="F90" i="28"/>
  <c r="E90" i="28"/>
  <c r="D90" i="28"/>
  <c r="U89" i="28"/>
  <c r="T89" i="28"/>
  <c r="S89" i="28"/>
  <c r="R89" i="28"/>
  <c r="Q89" i="28"/>
  <c r="P89" i="28"/>
  <c r="O89" i="28"/>
  <c r="N89" i="28"/>
  <c r="K89" i="28"/>
  <c r="J89" i="28"/>
  <c r="I89" i="28"/>
  <c r="H89" i="28"/>
  <c r="G89" i="28"/>
  <c r="F89" i="28"/>
  <c r="E89" i="28"/>
  <c r="D89" i="28"/>
  <c r="U88" i="28"/>
  <c r="T88" i="28"/>
  <c r="S88" i="28"/>
  <c r="R88" i="28"/>
  <c r="Q88" i="28"/>
  <c r="P88" i="28"/>
  <c r="O88" i="28"/>
  <c r="N88" i="28"/>
  <c r="K88" i="28"/>
  <c r="K94" i="28" s="1"/>
  <c r="J88" i="28"/>
  <c r="J94" i="28" s="1"/>
  <c r="I88" i="28"/>
  <c r="I94" i="28" s="1"/>
  <c r="H88" i="28"/>
  <c r="H94" i="28" s="1"/>
  <c r="G88" i="28"/>
  <c r="G94" i="28" s="1"/>
  <c r="F88" i="28"/>
  <c r="F94" i="28" s="1"/>
  <c r="E88" i="28"/>
  <c r="E94" i="28" s="1"/>
  <c r="D88" i="28"/>
  <c r="D94" i="28" s="1"/>
  <c r="U86" i="28"/>
  <c r="T86" i="28"/>
  <c r="S86" i="28"/>
  <c r="R86" i="28"/>
  <c r="Q86" i="28"/>
  <c r="P86" i="28"/>
  <c r="O86" i="28"/>
  <c r="N86" i="28"/>
  <c r="U85" i="28"/>
  <c r="T85" i="28"/>
  <c r="S85" i="28"/>
  <c r="R85" i="28"/>
  <c r="Q85" i="28"/>
  <c r="P85" i="28"/>
  <c r="O85" i="28"/>
  <c r="N85" i="28"/>
  <c r="K85" i="28"/>
  <c r="J85" i="28"/>
  <c r="I85" i="28"/>
  <c r="H85" i="28"/>
  <c r="G85" i="28"/>
  <c r="F85" i="28"/>
  <c r="E85" i="28"/>
  <c r="D85" i="28"/>
  <c r="U84" i="28"/>
  <c r="T84" i="28"/>
  <c r="S84" i="28"/>
  <c r="R84" i="28"/>
  <c r="Q84" i="28"/>
  <c r="P84" i="28"/>
  <c r="O84" i="28"/>
  <c r="N84" i="28"/>
  <c r="K84" i="28"/>
  <c r="J84" i="28"/>
  <c r="I84" i="28"/>
  <c r="H84" i="28"/>
  <c r="G84" i="28"/>
  <c r="F84" i="28"/>
  <c r="E84" i="28"/>
  <c r="D84" i="28"/>
  <c r="U82" i="28"/>
  <c r="T82" i="28"/>
  <c r="S82" i="28"/>
  <c r="R82" i="28"/>
  <c r="Q82" i="28"/>
  <c r="P82" i="28"/>
  <c r="O82" i="28"/>
  <c r="N82" i="28"/>
  <c r="K82" i="28"/>
  <c r="J82" i="28"/>
  <c r="I82" i="28"/>
  <c r="H82" i="28"/>
  <c r="G82" i="28"/>
  <c r="F82" i="28"/>
  <c r="E82" i="28"/>
  <c r="D82" i="28"/>
  <c r="U81" i="28"/>
  <c r="T81" i="28"/>
  <c r="S81" i="28"/>
  <c r="R81" i="28"/>
  <c r="Q81" i="28"/>
  <c r="P81" i="28"/>
  <c r="O81" i="28"/>
  <c r="N81" i="28"/>
  <c r="K81" i="28"/>
  <c r="J81" i="28"/>
  <c r="I81" i="28"/>
  <c r="H81" i="28"/>
  <c r="G81" i="28"/>
  <c r="F81" i="28"/>
  <c r="E81" i="28"/>
  <c r="D81" i="28"/>
  <c r="U80" i="28"/>
  <c r="T80" i="28"/>
  <c r="S80" i="28"/>
  <c r="R80" i="28"/>
  <c r="Q80" i="28"/>
  <c r="P80" i="28"/>
  <c r="O80" i="28"/>
  <c r="N80" i="28"/>
  <c r="K80" i="28"/>
  <c r="K86" i="28" s="1"/>
  <c r="J80" i="28"/>
  <c r="J86" i="28" s="1"/>
  <c r="I80" i="28"/>
  <c r="I86" i="28" s="1"/>
  <c r="H80" i="28"/>
  <c r="H86" i="28" s="1"/>
  <c r="G80" i="28"/>
  <c r="G86" i="28" s="1"/>
  <c r="F80" i="28"/>
  <c r="F86" i="28" s="1"/>
  <c r="E80" i="28"/>
  <c r="E86" i="28" s="1"/>
  <c r="D80" i="28"/>
  <c r="D86" i="28" s="1"/>
  <c r="U78" i="28"/>
  <c r="T78" i="28"/>
  <c r="S78" i="28"/>
  <c r="R78" i="28"/>
  <c r="Q78" i="28"/>
  <c r="P78" i="28"/>
  <c r="O78" i="28"/>
  <c r="N78" i="28"/>
  <c r="K78" i="28"/>
  <c r="J78" i="28"/>
  <c r="I78" i="28"/>
  <c r="H78" i="28"/>
  <c r="G78" i="28"/>
  <c r="F78" i="28"/>
  <c r="E78" i="28"/>
  <c r="D78" i="28"/>
  <c r="U77" i="28"/>
  <c r="T77" i="28"/>
  <c r="S77" i="28"/>
  <c r="R77" i="28"/>
  <c r="Q77" i="28"/>
  <c r="P77" i="28"/>
  <c r="O77" i="28"/>
  <c r="N77" i="28"/>
  <c r="K77" i="28"/>
  <c r="J77" i="28"/>
  <c r="I77" i="28"/>
  <c r="H77" i="28"/>
  <c r="G77" i="28"/>
  <c r="F77" i="28"/>
  <c r="E77" i="28"/>
  <c r="D77" i="28"/>
  <c r="U76" i="28"/>
  <c r="T76" i="28"/>
  <c r="S76" i="28"/>
  <c r="R76" i="28"/>
  <c r="Q76" i="28"/>
  <c r="P76" i="28"/>
  <c r="O76" i="28"/>
  <c r="N76" i="28"/>
  <c r="K76" i="28"/>
  <c r="J76" i="28"/>
  <c r="I76" i="28"/>
  <c r="H76" i="28"/>
  <c r="G76" i="28"/>
  <c r="F76" i="28"/>
  <c r="E76" i="28"/>
  <c r="D76" i="28"/>
  <c r="U74" i="28"/>
  <c r="T74" i="28"/>
  <c r="S74" i="28"/>
  <c r="R74" i="28"/>
  <c r="Q74" i="28"/>
  <c r="P74" i="28"/>
  <c r="O74" i="28"/>
  <c r="N74" i="28"/>
  <c r="K74" i="28"/>
  <c r="J74" i="28"/>
  <c r="I74" i="28"/>
  <c r="H74" i="28"/>
  <c r="G74" i="28"/>
  <c r="F74" i="28"/>
  <c r="E74" i="28"/>
  <c r="D74" i="28"/>
  <c r="U73" i="28"/>
  <c r="T73" i="28"/>
  <c r="S73" i="28"/>
  <c r="R73" i="28"/>
  <c r="Q73" i="28"/>
  <c r="P73" i="28"/>
  <c r="O73" i="28"/>
  <c r="N73" i="28"/>
  <c r="K73" i="28"/>
  <c r="J73" i="28"/>
  <c r="I73" i="28"/>
  <c r="H73" i="28"/>
  <c r="G73" i="28"/>
  <c r="F73" i="28"/>
  <c r="E73" i="28"/>
  <c r="D73" i="28"/>
  <c r="U72" i="28"/>
  <c r="T72" i="28"/>
  <c r="S72" i="28"/>
  <c r="R72" i="28"/>
  <c r="Q72" i="28"/>
  <c r="P72" i="28"/>
  <c r="O72" i="28"/>
  <c r="N72" i="28"/>
  <c r="K72" i="28"/>
  <c r="J72" i="28"/>
  <c r="I72" i="28"/>
  <c r="H72" i="28"/>
  <c r="G72" i="28"/>
  <c r="F72" i="28"/>
  <c r="E72" i="28"/>
  <c r="D72" i="28"/>
  <c r="U64" i="28"/>
  <c r="T64" i="28"/>
  <c r="S64" i="28"/>
  <c r="R64" i="28"/>
  <c r="Q64" i="28"/>
  <c r="P64" i="28"/>
  <c r="O64" i="28"/>
  <c r="N64" i="28"/>
  <c r="U63" i="28"/>
  <c r="T63" i="28"/>
  <c r="S63" i="28"/>
  <c r="R63" i="28"/>
  <c r="Q63" i="28"/>
  <c r="P63" i="28"/>
  <c r="O63" i="28"/>
  <c r="N63" i="28"/>
  <c r="K63" i="28"/>
  <c r="J63" i="28"/>
  <c r="I63" i="28"/>
  <c r="H63" i="28"/>
  <c r="G63" i="28"/>
  <c r="F63" i="28"/>
  <c r="E63" i="28"/>
  <c r="D63" i="28"/>
  <c r="U62" i="28"/>
  <c r="T62" i="28"/>
  <c r="S62" i="28"/>
  <c r="R62" i="28"/>
  <c r="Q62" i="28"/>
  <c r="P62" i="28"/>
  <c r="O62" i="28"/>
  <c r="N62" i="28"/>
  <c r="K62" i="28"/>
  <c r="J62" i="28"/>
  <c r="I62" i="28"/>
  <c r="H62" i="28"/>
  <c r="G62" i="28"/>
  <c r="F62" i="28"/>
  <c r="E62" i="28"/>
  <c r="D62" i="28"/>
  <c r="U60" i="28"/>
  <c r="T60" i="28"/>
  <c r="S60" i="28"/>
  <c r="R60" i="28"/>
  <c r="Q60" i="28"/>
  <c r="P60" i="28"/>
  <c r="O60" i="28"/>
  <c r="N60" i="28"/>
  <c r="K60" i="28"/>
  <c r="J60" i="28"/>
  <c r="I60" i="28"/>
  <c r="H60" i="28"/>
  <c r="G60" i="28"/>
  <c r="F60" i="28"/>
  <c r="E60" i="28"/>
  <c r="D60" i="28"/>
  <c r="U59" i="28"/>
  <c r="T59" i="28"/>
  <c r="S59" i="28"/>
  <c r="R59" i="28"/>
  <c r="Q59" i="28"/>
  <c r="P59" i="28"/>
  <c r="O59" i="28"/>
  <c r="N59" i="28"/>
  <c r="K59" i="28"/>
  <c r="J59" i="28"/>
  <c r="I59" i="28"/>
  <c r="H59" i="28"/>
  <c r="G59" i="28"/>
  <c r="F59" i="28"/>
  <c r="E59" i="28"/>
  <c r="D59" i="28"/>
  <c r="U58" i="28"/>
  <c r="T58" i="28"/>
  <c r="S58" i="28"/>
  <c r="R58" i="28"/>
  <c r="Q58" i="28"/>
  <c r="P58" i="28"/>
  <c r="O58" i="28"/>
  <c r="N58" i="28"/>
  <c r="K58" i="28"/>
  <c r="K64" i="28" s="1"/>
  <c r="J58" i="28"/>
  <c r="J64" i="28" s="1"/>
  <c r="I58" i="28"/>
  <c r="I64" i="28" s="1"/>
  <c r="H58" i="28"/>
  <c r="H64" i="28" s="1"/>
  <c r="G58" i="28"/>
  <c r="G64" i="28" s="1"/>
  <c r="F58" i="28"/>
  <c r="F64" i="28" s="1"/>
  <c r="E58" i="28"/>
  <c r="E64" i="28" s="1"/>
  <c r="D58" i="28"/>
  <c r="D64" i="28" s="1"/>
  <c r="U56" i="28"/>
  <c r="T56" i="28"/>
  <c r="S56" i="28"/>
  <c r="R56" i="28"/>
  <c r="Q56" i="28"/>
  <c r="P56" i="28"/>
  <c r="O56" i="28"/>
  <c r="N56" i="28"/>
  <c r="U55" i="28"/>
  <c r="T55" i="28"/>
  <c r="S55" i="28"/>
  <c r="R55" i="28"/>
  <c r="Q55" i="28"/>
  <c r="P55" i="28"/>
  <c r="O55" i="28"/>
  <c r="N55" i="28"/>
  <c r="K55" i="28"/>
  <c r="J55" i="28"/>
  <c r="I55" i="28"/>
  <c r="H55" i="28"/>
  <c r="G55" i="28"/>
  <c r="F55" i="28"/>
  <c r="E55" i="28"/>
  <c r="D55" i="28"/>
  <c r="U54" i="28"/>
  <c r="T54" i="28"/>
  <c r="S54" i="28"/>
  <c r="R54" i="28"/>
  <c r="Q54" i="28"/>
  <c r="P54" i="28"/>
  <c r="O54" i="28"/>
  <c r="N54" i="28"/>
  <c r="K54" i="28"/>
  <c r="J54" i="28"/>
  <c r="I54" i="28"/>
  <c r="H54" i="28"/>
  <c r="G54" i="28"/>
  <c r="F54" i="28"/>
  <c r="E54" i="28"/>
  <c r="D54" i="28"/>
  <c r="U52" i="28"/>
  <c r="T52" i="28"/>
  <c r="S52" i="28"/>
  <c r="R52" i="28"/>
  <c r="Q52" i="28"/>
  <c r="P52" i="28"/>
  <c r="O52" i="28"/>
  <c r="N52" i="28"/>
  <c r="K52" i="28"/>
  <c r="J52" i="28"/>
  <c r="I52" i="28"/>
  <c r="H52" i="28"/>
  <c r="G52" i="28"/>
  <c r="F52" i="28"/>
  <c r="E52" i="28"/>
  <c r="D52" i="28"/>
  <c r="U51" i="28"/>
  <c r="T51" i="28"/>
  <c r="S51" i="28"/>
  <c r="R51" i="28"/>
  <c r="Q51" i="28"/>
  <c r="P51" i="28"/>
  <c r="O51" i="28"/>
  <c r="N51" i="28"/>
  <c r="K51" i="28"/>
  <c r="J51" i="28"/>
  <c r="I51" i="28"/>
  <c r="H51" i="28"/>
  <c r="G51" i="28"/>
  <c r="F51" i="28"/>
  <c r="E51" i="28"/>
  <c r="D51" i="28"/>
  <c r="U50" i="28"/>
  <c r="T50" i="28"/>
  <c r="S50" i="28"/>
  <c r="R50" i="28"/>
  <c r="Q50" i="28"/>
  <c r="P50" i="28"/>
  <c r="O50" i="28"/>
  <c r="N50" i="28"/>
  <c r="K50" i="28"/>
  <c r="K56" i="28" s="1"/>
  <c r="J50" i="28"/>
  <c r="J56" i="28" s="1"/>
  <c r="I50" i="28"/>
  <c r="I56" i="28" s="1"/>
  <c r="H50" i="28"/>
  <c r="H56" i="28" s="1"/>
  <c r="G50" i="28"/>
  <c r="G56" i="28" s="1"/>
  <c r="F50" i="28"/>
  <c r="F56" i="28" s="1"/>
  <c r="E50" i="28"/>
  <c r="E56" i="28" s="1"/>
  <c r="D50" i="28"/>
  <c r="D56" i="28" s="1"/>
  <c r="U48" i="28"/>
  <c r="T48" i="28"/>
  <c r="S48" i="28"/>
  <c r="R48" i="28"/>
  <c r="Q48" i="28"/>
  <c r="P48" i="28"/>
  <c r="O48" i="28"/>
  <c r="N48" i="28"/>
  <c r="U47" i="28"/>
  <c r="T47" i="28"/>
  <c r="S47" i="28"/>
  <c r="R47" i="28"/>
  <c r="Q47" i="28"/>
  <c r="P47" i="28"/>
  <c r="O47" i="28"/>
  <c r="N47" i="28"/>
  <c r="K47" i="28"/>
  <c r="J47" i="28"/>
  <c r="I47" i="28"/>
  <c r="H47" i="28"/>
  <c r="G47" i="28"/>
  <c r="F47" i="28"/>
  <c r="E47" i="28"/>
  <c r="D47" i="28"/>
  <c r="U46" i="28"/>
  <c r="T46" i="28"/>
  <c r="S46" i="28"/>
  <c r="R46" i="28"/>
  <c r="Q46" i="28"/>
  <c r="P46" i="28"/>
  <c r="O46" i="28"/>
  <c r="N46" i="28"/>
  <c r="K46" i="28"/>
  <c r="J46" i="28"/>
  <c r="I46" i="28"/>
  <c r="H46" i="28"/>
  <c r="G46" i="28"/>
  <c r="F46" i="28"/>
  <c r="E46" i="28"/>
  <c r="D46" i="28"/>
  <c r="U44" i="28"/>
  <c r="T44" i="28"/>
  <c r="S44" i="28"/>
  <c r="R44" i="28"/>
  <c r="Q44" i="28"/>
  <c r="P44" i="28"/>
  <c r="O44" i="28"/>
  <c r="N44" i="28"/>
  <c r="K44" i="28"/>
  <c r="J44" i="28"/>
  <c r="I44" i="28"/>
  <c r="H44" i="28"/>
  <c r="G44" i="28"/>
  <c r="F44" i="28"/>
  <c r="E44" i="28"/>
  <c r="D44" i="28"/>
  <c r="U43" i="28"/>
  <c r="T43" i="28"/>
  <c r="S43" i="28"/>
  <c r="R43" i="28"/>
  <c r="Q43" i="28"/>
  <c r="P43" i="28"/>
  <c r="O43" i="28"/>
  <c r="N43" i="28"/>
  <c r="K43" i="28"/>
  <c r="J43" i="28"/>
  <c r="I43" i="28"/>
  <c r="H43" i="28"/>
  <c r="G43" i="28"/>
  <c r="F43" i="28"/>
  <c r="E43" i="28"/>
  <c r="D43" i="28"/>
  <c r="U42" i="28"/>
  <c r="T42" i="28"/>
  <c r="S42" i="28"/>
  <c r="R42" i="28"/>
  <c r="Q42" i="28"/>
  <c r="P42" i="28"/>
  <c r="O42" i="28"/>
  <c r="N42" i="28"/>
  <c r="K42" i="28"/>
  <c r="K48" i="28" s="1"/>
  <c r="J42" i="28"/>
  <c r="J48" i="28" s="1"/>
  <c r="I42" i="28"/>
  <c r="I48" i="28" s="1"/>
  <c r="H42" i="28"/>
  <c r="H48" i="28" s="1"/>
  <c r="G42" i="28"/>
  <c r="G48" i="28" s="1"/>
  <c r="F42" i="28"/>
  <c r="F48" i="28" s="1"/>
  <c r="E42" i="28"/>
  <c r="E48" i="28" s="1"/>
  <c r="D42" i="28"/>
  <c r="D48" i="28" s="1"/>
  <c r="U40" i="28"/>
  <c r="T40" i="28"/>
  <c r="S40" i="28"/>
  <c r="R40" i="28"/>
  <c r="Q40" i="28"/>
  <c r="P40" i="28"/>
  <c r="O40" i="28"/>
  <c r="N40" i="28"/>
  <c r="U39" i="28"/>
  <c r="T39" i="28"/>
  <c r="S39" i="28"/>
  <c r="R39" i="28"/>
  <c r="Q39" i="28"/>
  <c r="P39" i="28"/>
  <c r="O39" i="28"/>
  <c r="N39" i="28"/>
  <c r="K39" i="28"/>
  <c r="J39" i="28"/>
  <c r="I39" i="28"/>
  <c r="H39" i="28"/>
  <c r="G39" i="28"/>
  <c r="F39" i="28"/>
  <c r="E39" i="28"/>
  <c r="D39" i="28"/>
  <c r="U38" i="28"/>
  <c r="T38" i="28"/>
  <c r="S38" i="28"/>
  <c r="R38" i="28"/>
  <c r="Q38" i="28"/>
  <c r="P38" i="28"/>
  <c r="O38" i="28"/>
  <c r="N38" i="28"/>
  <c r="K38" i="28"/>
  <c r="J38" i="28"/>
  <c r="I38" i="28"/>
  <c r="H38" i="28"/>
  <c r="G38" i="28"/>
  <c r="F38" i="28"/>
  <c r="E38" i="28"/>
  <c r="D38" i="28"/>
  <c r="U36" i="28"/>
  <c r="T36" i="28"/>
  <c r="S36" i="28"/>
  <c r="R36" i="28"/>
  <c r="Q36" i="28"/>
  <c r="P36" i="28"/>
  <c r="O36" i="28"/>
  <c r="N36" i="28"/>
  <c r="K36" i="28"/>
  <c r="J36" i="28"/>
  <c r="I36" i="28"/>
  <c r="H36" i="28"/>
  <c r="G36" i="28"/>
  <c r="F36" i="28"/>
  <c r="E36" i="28"/>
  <c r="D36" i="28"/>
  <c r="U35" i="28"/>
  <c r="T35" i="28"/>
  <c r="S35" i="28"/>
  <c r="R35" i="28"/>
  <c r="Q35" i="28"/>
  <c r="P35" i="28"/>
  <c r="O35" i="28"/>
  <c r="N35" i="28"/>
  <c r="K35" i="28"/>
  <c r="J35" i="28"/>
  <c r="I35" i="28"/>
  <c r="H35" i="28"/>
  <c r="G35" i="28"/>
  <c r="F35" i="28"/>
  <c r="E35" i="28"/>
  <c r="D35" i="28"/>
  <c r="U34" i="28"/>
  <c r="T34" i="28"/>
  <c r="S34" i="28"/>
  <c r="R34" i="28"/>
  <c r="Q34" i="28"/>
  <c r="P34" i="28"/>
  <c r="O34" i="28"/>
  <c r="N34" i="28"/>
  <c r="K34" i="28"/>
  <c r="K40" i="28" s="1"/>
  <c r="J34" i="28"/>
  <c r="J40" i="28" s="1"/>
  <c r="I34" i="28"/>
  <c r="I40" i="28" s="1"/>
  <c r="H34" i="28"/>
  <c r="H40" i="28" s="1"/>
  <c r="G34" i="28"/>
  <c r="G40" i="28" s="1"/>
  <c r="F34" i="28"/>
  <c r="F40" i="28" s="1"/>
  <c r="E34" i="28"/>
  <c r="E40" i="28" s="1"/>
  <c r="D34" i="28"/>
  <c r="D40" i="28" s="1"/>
  <c r="U32" i="28"/>
  <c r="T32" i="28"/>
  <c r="S32" i="28"/>
  <c r="R32" i="28"/>
  <c r="Q32" i="28"/>
  <c r="P32" i="28"/>
  <c r="O32" i="28"/>
  <c r="N32" i="28"/>
  <c r="U31" i="28"/>
  <c r="T31" i="28"/>
  <c r="S31" i="28"/>
  <c r="R31" i="28"/>
  <c r="Q31" i="28"/>
  <c r="P31" i="28"/>
  <c r="O31" i="28"/>
  <c r="N31" i="28"/>
  <c r="K31" i="28"/>
  <c r="J31" i="28"/>
  <c r="I31" i="28"/>
  <c r="H31" i="28"/>
  <c r="G31" i="28"/>
  <c r="F31" i="28"/>
  <c r="E31" i="28"/>
  <c r="D31" i="28"/>
  <c r="U30" i="28"/>
  <c r="T30" i="28"/>
  <c r="S30" i="28"/>
  <c r="R30" i="28"/>
  <c r="Q30" i="28"/>
  <c r="P30" i="28"/>
  <c r="O30" i="28"/>
  <c r="N30" i="28"/>
  <c r="K30" i="28"/>
  <c r="J30" i="28"/>
  <c r="I30" i="28"/>
  <c r="H30" i="28"/>
  <c r="G30" i="28"/>
  <c r="F30" i="28"/>
  <c r="E30" i="28"/>
  <c r="D30" i="28"/>
  <c r="U28" i="28"/>
  <c r="T28" i="28"/>
  <c r="S28" i="28"/>
  <c r="R28" i="28"/>
  <c r="Q28" i="28"/>
  <c r="P28" i="28"/>
  <c r="O28" i="28"/>
  <c r="N28" i="28"/>
  <c r="K28" i="28"/>
  <c r="J28" i="28"/>
  <c r="I28" i="28"/>
  <c r="H28" i="28"/>
  <c r="G28" i="28"/>
  <c r="F28" i="28"/>
  <c r="E28" i="28"/>
  <c r="D28" i="28"/>
  <c r="U27" i="28"/>
  <c r="T27" i="28"/>
  <c r="S27" i="28"/>
  <c r="R27" i="28"/>
  <c r="Q27" i="28"/>
  <c r="P27" i="28"/>
  <c r="O27" i="28"/>
  <c r="N27" i="28"/>
  <c r="K27" i="28"/>
  <c r="J27" i="28"/>
  <c r="I27" i="28"/>
  <c r="H27" i="28"/>
  <c r="G27" i="28"/>
  <c r="F27" i="28"/>
  <c r="E27" i="28"/>
  <c r="D27" i="28"/>
  <c r="U26" i="28"/>
  <c r="T26" i="28"/>
  <c r="S26" i="28"/>
  <c r="R26" i="28"/>
  <c r="Q26" i="28"/>
  <c r="P26" i="28"/>
  <c r="O26" i="28"/>
  <c r="N26" i="28"/>
  <c r="K26" i="28"/>
  <c r="K32" i="28" s="1"/>
  <c r="J26" i="28"/>
  <c r="J32" i="28" s="1"/>
  <c r="I26" i="28"/>
  <c r="I32" i="28" s="1"/>
  <c r="H26" i="28"/>
  <c r="H32" i="28" s="1"/>
  <c r="G26" i="28"/>
  <c r="G32" i="28" s="1"/>
  <c r="F26" i="28"/>
  <c r="F32" i="28" s="1"/>
  <c r="E26" i="28"/>
  <c r="E32" i="28" s="1"/>
  <c r="D26" i="28"/>
  <c r="D32" i="28" s="1"/>
  <c r="U24" i="28"/>
  <c r="T24" i="28"/>
  <c r="S24" i="28"/>
  <c r="R24" i="28"/>
  <c r="Q24" i="28"/>
  <c r="P24" i="28"/>
  <c r="O24" i="28"/>
  <c r="N24" i="28"/>
  <c r="U23" i="28"/>
  <c r="T23" i="28"/>
  <c r="S23" i="28"/>
  <c r="R23" i="28"/>
  <c r="Q23" i="28"/>
  <c r="P23" i="28"/>
  <c r="O23" i="28"/>
  <c r="N23" i="28"/>
  <c r="K23" i="28"/>
  <c r="J23" i="28"/>
  <c r="I23" i="28"/>
  <c r="H23" i="28"/>
  <c r="G23" i="28"/>
  <c r="F23" i="28"/>
  <c r="E23" i="28"/>
  <c r="D23" i="28"/>
  <c r="U22" i="28"/>
  <c r="T22" i="28"/>
  <c r="S22" i="28"/>
  <c r="R22" i="28"/>
  <c r="Q22" i="28"/>
  <c r="P22" i="28"/>
  <c r="O22" i="28"/>
  <c r="N22" i="28"/>
  <c r="K22" i="28"/>
  <c r="J22" i="28"/>
  <c r="I22" i="28"/>
  <c r="H22" i="28"/>
  <c r="G22" i="28"/>
  <c r="F22" i="28"/>
  <c r="E22" i="28"/>
  <c r="D22" i="28"/>
  <c r="U20" i="28"/>
  <c r="T20" i="28"/>
  <c r="S20" i="28"/>
  <c r="R20" i="28"/>
  <c r="Q20" i="28"/>
  <c r="P20" i="28"/>
  <c r="O20" i="28"/>
  <c r="N20" i="28"/>
  <c r="K20" i="28"/>
  <c r="J20" i="28"/>
  <c r="I20" i="28"/>
  <c r="H20" i="28"/>
  <c r="G20" i="28"/>
  <c r="F20" i="28"/>
  <c r="E20" i="28"/>
  <c r="D20" i="28"/>
  <c r="U19" i="28"/>
  <c r="T19" i="28"/>
  <c r="S19" i="28"/>
  <c r="R19" i="28"/>
  <c r="Q19" i="28"/>
  <c r="P19" i="28"/>
  <c r="O19" i="28"/>
  <c r="N19" i="28"/>
  <c r="K19" i="28"/>
  <c r="J19" i="28"/>
  <c r="I19" i="28"/>
  <c r="H19" i="28"/>
  <c r="G19" i="28"/>
  <c r="F19" i="28"/>
  <c r="E19" i="28"/>
  <c r="D19" i="28"/>
  <c r="U18" i="28"/>
  <c r="T18" i="28"/>
  <c r="S18" i="28"/>
  <c r="R18" i="28"/>
  <c r="Q18" i="28"/>
  <c r="P18" i="28"/>
  <c r="O18" i="28"/>
  <c r="N18" i="28"/>
  <c r="K18" i="28"/>
  <c r="K24" i="28" s="1"/>
  <c r="J18" i="28"/>
  <c r="J24" i="28" s="1"/>
  <c r="I18" i="28"/>
  <c r="I24" i="28" s="1"/>
  <c r="H18" i="28"/>
  <c r="H24" i="28" s="1"/>
  <c r="G18" i="28"/>
  <c r="G24" i="28" s="1"/>
  <c r="F18" i="28"/>
  <c r="F24" i="28" s="1"/>
  <c r="E18" i="28"/>
  <c r="E24" i="28" s="1"/>
  <c r="D18" i="28"/>
  <c r="D24" i="28" s="1"/>
  <c r="U14" i="28"/>
  <c r="T14" i="28"/>
  <c r="S14" i="28"/>
  <c r="R14" i="28"/>
  <c r="Q14" i="28"/>
  <c r="P14" i="28"/>
  <c r="O14" i="28"/>
  <c r="N14" i="28"/>
  <c r="U13" i="28"/>
  <c r="T13" i="28"/>
  <c r="S13" i="28"/>
  <c r="R13" i="28"/>
  <c r="Q13" i="28"/>
  <c r="P13" i="28"/>
  <c r="O13" i="28"/>
  <c r="N13" i="28"/>
  <c r="K13" i="28"/>
  <c r="J13" i="28"/>
  <c r="I13" i="28"/>
  <c r="H13" i="28"/>
  <c r="G13" i="28"/>
  <c r="F13" i="28"/>
  <c r="E13" i="28"/>
  <c r="D13" i="28"/>
  <c r="U12" i="28"/>
  <c r="T12" i="28"/>
  <c r="S12" i="28"/>
  <c r="R12" i="28"/>
  <c r="Q12" i="28"/>
  <c r="P12" i="28"/>
  <c r="O12" i="28"/>
  <c r="N12" i="28"/>
  <c r="K12" i="28"/>
  <c r="J12" i="28"/>
  <c r="I12" i="28"/>
  <c r="H12" i="28"/>
  <c r="G12" i="28"/>
  <c r="F12" i="28"/>
  <c r="E12" i="28"/>
  <c r="D12" i="28"/>
  <c r="U10" i="28"/>
  <c r="T10" i="28"/>
  <c r="S10" i="28"/>
  <c r="R10" i="28"/>
  <c r="Q10" i="28"/>
  <c r="P10" i="28"/>
  <c r="O10" i="28"/>
  <c r="N10" i="28"/>
  <c r="K10" i="28"/>
  <c r="J10" i="28"/>
  <c r="I10" i="28"/>
  <c r="H10" i="28"/>
  <c r="G10" i="28"/>
  <c r="F10" i="28"/>
  <c r="E10" i="28"/>
  <c r="D10" i="28"/>
  <c r="U9" i="28"/>
  <c r="T9" i="28"/>
  <c r="S9" i="28"/>
  <c r="R9" i="28"/>
  <c r="Q9" i="28"/>
  <c r="P9" i="28"/>
  <c r="O9" i="28"/>
  <c r="N9" i="28"/>
  <c r="K9" i="28"/>
  <c r="J9" i="28"/>
  <c r="I9" i="28"/>
  <c r="H9" i="28"/>
  <c r="G9" i="28"/>
  <c r="F9" i="28"/>
  <c r="E9" i="28"/>
  <c r="D9" i="28"/>
  <c r="U8" i="28"/>
  <c r="T8" i="28"/>
  <c r="S8" i="28"/>
  <c r="R8" i="28"/>
  <c r="Q8" i="28"/>
  <c r="P8" i="28"/>
  <c r="O8" i="28"/>
  <c r="N8" i="28"/>
  <c r="K8" i="28"/>
  <c r="K14" i="28" s="1"/>
  <c r="J8" i="28"/>
  <c r="J14" i="28" s="1"/>
  <c r="I8" i="28"/>
  <c r="I14" i="28" s="1"/>
  <c r="H8" i="28"/>
  <c r="H14" i="28" s="1"/>
  <c r="G8" i="28"/>
  <c r="G14" i="28" s="1"/>
  <c r="F8" i="28"/>
  <c r="F14" i="28" s="1"/>
  <c r="E8" i="28"/>
  <c r="E14" i="28" s="1"/>
  <c r="D8" i="28"/>
  <c r="D14" i="28" s="1"/>
  <c r="K102" i="27"/>
  <c r="J102" i="27"/>
  <c r="I102" i="27"/>
  <c r="H102" i="27"/>
  <c r="G102" i="27"/>
  <c r="F102" i="27"/>
  <c r="E102" i="27"/>
  <c r="D102" i="27"/>
  <c r="K89" i="27"/>
  <c r="J89" i="27"/>
  <c r="I89" i="27"/>
  <c r="H89" i="27"/>
  <c r="G89" i="27"/>
  <c r="F89" i="27"/>
  <c r="E89" i="27"/>
  <c r="D89" i="27"/>
  <c r="K88" i="27"/>
  <c r="J88" i="27"/>
  <c r="I88" i="27"/>
  <c r="H88" i="27"/>
  <c r="G88" i="27"/>
  <c r="F88" i="27"/>
  <c r="E88" i="27"/>
  <c r="D88" i="27"/>
  <c r="K87" i="27"/>
  <c r="J87" i="27"/>
  <c r="I87" i="27"/>
  <c r="H87" i="27"/>
  <c r="G87" i="27"/>
  <c r="F87" i="27"/>
  <c r="E87" i="27"/>
  <c r="D87" i="27"/>
  <c r="K86" i="27"/>
  <c r="J86" i="27"/>
  <c r="I86" i="27"/>
  <c r="H86" i="27"/>
  <c r="G86" i="27"/>
  <c r="F86" i="27"/>
  <c r="E86" i="27"/>
  <c r="D86" i="27"/>
  <c r="K85" i="27"/>
  <c r="J85" i="27"/>
  <c r="I85" i="27"/>
  <c r="H85" i="27"/>
  <c r="G85" i="27"/>
  <c r="F85" i="27"/>
  <c r="E85" i="27"/>
  <c r="D85" i="27"/>
  <c r="K84" i="27"/>
  <c r="J84" i="27"/>
  <c r="I84" i="27"/>
  <c r="H84" i="27"/>
  <c r="G84" i="27"/>
  <c r="F84" i="27"/>
  <c r="E84" i="27"/>
  <c r="D84" i="27"/>
  <c r="R48" i="27"/>
  <c r="Q48" i="27"/>
  <c r="P48" i="27"/>
  <c r="O48" i="27"/>
  <c r="N48" i="27"/>
  <c r="H48" i="27"/>
  <c r="G48" i="27"/>
  <c r="F48" i="27"/>
  <c r="E48" i="27"/>
  <c r="D48" i="27"/>
  <c r="R47" i="27"/>
  <c r="Q47" i="27"/>
  <c r="P47" i="27"/>
  <c r="O47" i="27"/>
  <c r="N47" i="27"/>
  <c r="H47" i="27"/>
  <c r="G47" i="27"/>
  <c r="F47" i="27"/>
  <c r="E47" i="27"/>
  <c r="D47" i="27"/>
  <c r="R46" i="27"/>
  <c r="Q46" i="27"/>
  <c r="P46" i="27"/>
  <c r="O46" i="27"/>
  <c r="N46" i="27"/>
  <c r="H46" i="27"/>
  <c r="G46" i="27"/>
  <c r="F46" i="27"/>
  <c r="E46" i="27"/>
  <c r="D46" i="27"/>
  <c r="R45" i="27"/>
  <c r="Q45" i="27"/>
  <c r="P45" i="27"/>
  <c r="O45" i="27"/>
  <c r="N45" i="27"/>
  <c r="H45" i="27"/>
  <c r="G45" i="27"/>
  <c r="F45" i="27"/>
  <c r="E45" i="27"/>
  <c r="D45" i="27"/>
  <c r="R44" i="27"/>
  <c r="Q44" i="27"/>
  <c r="P44" i="27"/>
  <c r="O44" i="27"/>
  <c r="N44" i="27"/>
  <c r="H44" i="27"/>
  <c r="G44" i="27"/>
  <c r="F44" i="27"/>
  <c r="E44" i="27"/>
  <c r="D44" i="27"/>
  <c r="R43" i="27"/>
  <c r="Q43" i="27"/>
  <c r="P43" i="27"/>
  <c r="O43" i="27"/>
  <c r="N43" i="27"/>
  <c r="H43" i="27"/>
  <c r="G43" i="27"/>
  <c r="F43" i="27"/>
  <c r="E43" i="27"/>
  <c r="D43" i="27"/>
  <c r="R42" i="27"/>
  <c r="Q42" i="27"/>
  <c r="P42" i="27"/>
  <c r="O42" i="27"/>
  <c r="N42" i="27"/>
  <c r="H42" i="27"/>
  <c r="G42" i="27"/>
  <c r="F42" i="27"/>
  <c r="E42" i="27"/>
  <c r="D42" i="27"/>
  <c r="R41" i="27"/>
  <c r="Q41" i="27"/>
  <c r="P41" i="27"/>
  <c r="O41" i="27"/>
  <c r="N41" i="27"/>
  <c r="H41" i="27"/>
  <c r="G41" i="27"/>
  <c r="F41" i="27"/>
  <c r="E41" i="27"/>
  <c r="D41" i="27"/>
  <c r="R40" i="27"/>
  <c r="Q40" i="27"/>
  <c r="P40" i="27"/>
  <c r="O40" i="27"/>
  <c r="N40" i="27"/>
  <c r="H40" i="27"/>
  <c r="G40" i="27"/>
  <c r="F40" i="27"/>
  <c r="E40" i="27"/>
  <c r="D40" i="27"/>
  <c r="R39" i="27"/>
  <c r="Q39" i="27"/>
  <c r="P39" i="27"/>
  <c r="O39" i="27"/>
  <c r="N39" i="27"/>
  <c r="H39" i="27"/>
  <c r="G39" i="27"/>
  <c r="F39" i="27"/>
  <c r="E39" i="27"/>
  <c r="D39" i="27"/>
  <c r="R38" i="27"/>
  <c r="Q38" i="27"/>
  <c r="P38" i="27"/>
  <c r="O38" i="27"/>
  <c r="N38" i="27"/>
  <c r="H38" i="27"/>
  <c r="F38" i="27"/>
  <c r="E38" i="27"/>
  <c r="D38" i="27"/>
  <c r="R37" i="27"/>
  <c r="Q37" i="27"/>
  <c r="P37" i="27"/>
  <c r="O37" i="27"/>
  <c r="N37" i="27"/>
  <c r="H37" i="27"/>
  <c r="G37" i="27"/>
  <c r="F37" i="27"/>
  <c r="E37" i="27"/>
  <c r="D37" i="27"/>
  <c r="R36" i="27"/>
  <c r="Q36" i="27"/>
  <c r="P36" i="27"/>
  <c r="O36" i="27"/>
  <c r="N36" i="27"/>
  <c r="H36" i="27"/>
  <c r="G36" i="27"/>
  <c r="F36" i="27"/>
  <c r="E36" i="27"/>
  <c r="D36" i="27"/>
  <c r="R35" i="27"/>
  <c r="Q35" i="27"/>
  <c r="P35" i="27"/>
  <c r="O35" i="27"/>
  <c r="N35" i="27"/>
  <c r="H35" i="27"/>
  <c r="G35" i="27"/>
  <c r="F35" i="27"/>
  <c r="E35" i="27"/>
  <c r="D35" i="27"/>
  <c r="R34" i="27"/>
  <c r="Q34" i="27"/>
  <c r="P34" i="27"/>
  <c r="O34" i="27"/>
  <c r="N34" i="27"/>
  <c r="H34" i="27"/>
  <c r="G34" i="27"/>
  <c r="F34" i="27"/>
  <c r="E34" i="27"/>
  <c r="D34" i="27"/>
  <c r="R33" i="27"/>
  <c r="Q33" i="27"/>
  <c r="P33" i="27"/>
  <c r="O33" i="27"/>
  <c r="N33" i="27"/>
  <c r="H33" i="27"/>
  <c r="G33" i="27"/>
  <c r="F33" i="27"/>
  <c r="E33" i="27"/>
  <c r="D33" i="27"/>
  <c r="R32" i="27"/>
  <c r="Q32" i="27"/>
  <c r="P32" i="27"/>
  <c r="O32" i="27"/>
  <c r="N32" i="27"/>
  <c r="H32" i="27"/>
  <c r="G32" i="27"/>
  <c r="F32" i="27"/>
  <c r="E32" i="27"/>
  <c r="D32" i="27"/>
  <c r="U28" i="27"/>
  <c r="T28" i="27"/>
  <c r="S28" i="27"/>
  <c r="R28" i="27"/>
  <c r="Q28" i="27"/>
  <c r="P28" i="27"/>
  <c r="O28" i="27"/>
  <c r="N28" i="27"/>
  <c r="K28" i="27"/>
  <c r="J28" i="27"/>
  <c r="I28" i="27"/>
  <c r="H28" i="27"/>
  <c r="G28" i="27"/>
  <c r="F28" i="27"/>
  <c r="E28" i="27"/>
  <c r="D28" i="27"/>
  <c r="U27" i="27"/>
  <c r="T27" i="27"/>
  <c r="S27" i="27"/>
  <c r="R27" i="27"/>
  <c r="Q27" i="27"/>
  <c r="P27" i="27"/>
  <c r="O27" i="27"/>
  <c r="N27" i="27"/>
  <c r="K27" i="27"/>
  <c r="J27" i="27"/>
  <c r="I27" i="27"/>
  <c r="H27" i="27"/>
  <c r="G27" i="27"/>
  <c r="F27" i="27"/>
  <c r="E27" i="27"/>
  <c r="D27" i="27"/>
  <c r="U26" i="27"/>
  <c r="T26" i="27"/>
  <c r="S26" i="27"/>
  <c r="R26" i="27"/>
  <c r="Q26" i="27"/>
  <c r="P26" i="27"/>
  <c r="O26" i="27"/>
  <c r="N26" i="27"/>
  <c r="K26" i="27"/>
  <c r="J26" i="27"/>
  <c r="I26" i="27"/>
  <c r="H26" i="27"/>
  <c r="G26" i="27"/>
  <c r="F26" i="27"/>
  <c r="E26" i="27"/>
  <c r="D26" i="27"/>
  <c r="U25" i="27"/>
  <c r="T25" i="27"/>
  <c r="S25" i="27"/>
  <c r="R25" i="27"/>
  <c r="Q25" i="27"/>
  <c r="P25" i="27"/>
  <c r="O25" i="27"/>
  <c r="N25" i="27"/>
  <c r="K25" i="27"/>
  <c r="J25" i="27"/>
  <c r="I25" i="27"/>
  <c r="H25" i="27"/>
  <c r="G25" i="27"/>
  <c r="F25" i="27"/>
  <c r="E25" i="27"/>
  <c r="D25" i="27"/>
  <c r="U24" i="27"/>
  <c r="T24" i="27"/>
  <c r="S24" i="27"/>
  <c r="R24" i="27"/>
  <c r="Q24" i="27"/>
  <c r="P24" i="27"/>
  <c r="O24" i="27"/>
  <c r="N24" i="27"/>
  <c r="K24" i="27"/>
  <c r="J24" i="27"/>
  <c r="I24" i="27"/>
  <c r="H24" i="27"/>
  <c r="G24" i="27"/>
  <c r="F24" i="27"/>
  <c r="E24" i="27"/>
  <c r="D24" i="27"/>
  <c r="U23" i="27"/>
  <c r="T23" i="27"/>
  <c r="S23" i="27"/>
  <c r="R23" i="27"/>
  <c r="Q23" i="27"/>
  <c r="P23" i="27"/>
  <c r="O23" i="27"/>
  <c r="N23" i="27"/>
  <c r="K23" i="27"/>
  <c r="J23" i="27"/>
  <c r="I23" i="27"/>
  <c r="H23" i="27"/>
  <c r="G23" i="27"/>
  <c r="F23" i="27"/>
  <c r="E23" i="27"/>
  <c r="D23" i="27"/>
  <c r="U22" i="27"/>
  <c r="T22" i="27"/>
  <c r="S22" i="27"/>
  <c r="R22" i="27"/>
  <c r="Q22" i="27"/>
  <c r="P22" i="27"/>
  <c r="O22" i="27"/>
  <c r="N22" i="27"/>
  <c r="K22" i="27"/>
  <c r="J22" i="27"/>
  <c r="I22" i="27"/>
  <c r="H22" i="27"/>
  <c r="G22" i="27"/>
  <c r="F22" i="27"/>
  <c r="E22" i="27"/>
  <c r="D22" i="27"/>
  <c r="U21" i="27"/>
  <c r="T21" i="27"/>
  <c r="S21" i="27"/>
  <c r="R21" i="27"/>
  <c r="Q21" i="27"/>
  <c r="P21" i="27"/>
  <c r="O21" i="27"/>
  <c r="N21" i="27"/>
  <c r="K21" i="27"/>
  <c r="J21" i="27"/>
  <c r="I21" i="27"/>
  <c r="H21" i="27"/>
  <c r="G21" i="27"/>
  <c r="F21" i="27"/>
  <c r="E21" i="27"/>
  <c r="D21" i="27"/>
  <c r="U20" i="27"/>
  <c r="T20" i="27"/>
  <c r="S20" i="27"/>
  <c r="R20" i="27"/>
  <c r="Q20" i="27"/>
  <c r="P20" i="27"/>
  <c r="O20" i="27"/>
  <c r="N20" i="27"/>
  <c r="K20" i="27"/>
  <c r="J20" i="27"/>
  <c r="I20" i="27"/>
  <c r="H20" i="27"/>
  <c r="G20" i="27"/>
  <c r="F20" i="27"/>
  <c r="E20" i="27"/>
  <c r="D20" i="27"/>
  <c r="U19" i="27"/>
  <c r="T19" i="27"/>
  <c r="S19" i="27"/>
  <c r="R19" i="27"/>
  <c r="Q19" i="27"/>
  <c r="P19" i="27"/>
  <c r="O19" i="27"/>
  <c r="N19" i="27"/>
  <c r="K19" i="27"/>
  <c r="J19" i="27"/>
  <c r="I19" i="27"/>
  <c r="H19" i="27"/>
  <c r="G19" i="27"/>
  <c r="F19" i="27"/>
  <c r="E19" i="27"/>
  <c r="D19" i="27"/>
  <c r="U18" i="27"/>
  <c r="T18" i="27"/>
  <c r="S18" i="27"/>
  <c r="R18" i="27"/>
  <c r="Q18" i="27"/>
  <c r="P18" i="27"/>
  <c r="O18" i="27"/>
  <c r="N18" i="27"/>
  <c r="K18" i="27"/>
  <c r="J18" i="27"/>
  <c r="I18" i="27"/>
  <c r="H18" i="27"/>
  <c r="G18" i="27"/>
  <c r="F18" i="27"/>
  <c r="E18" i="27"/>
  <c r="D18" i="27"/>
  <c r="U17" i="27"/>
  <c r="T17" i="27"/>
  <c r="S17" i="27"/>
  <c r="R17" i="27"/>
  <c r="Q17" i="27"/>
  <c r="P17" i="27"/>
  <c r="O17" i="27"/>
  <c r="N17" i="27"/>
  <c r="K17" i="27"/>
  <c r="J17" i="27"/>
  <c r="I17" i="27"/>
  <c r="H17" i="27"/>
  <c r="G17" i="27"/>
  <c r="F17" i="27"/>
  <c r="E17" i="27"/>
  <c r="D17" i="27"/>
  <c r="U16" i="27"/>
  <c r="T16" i="27"/>
  <c r="S16" i="27"/>
  <c r="R16" i="27"/>
  <c r="Q16" i="27"/>
  <c r="P16" i="27"/>
  <c r="O16" i="27"/>
  <c r="N16" i="27"/>
  <c r="K16" i="27"/>
  <c r="J16" i="27"/>
  <c r="I16" i="27"/>
  <c r="H16" i="27"/>
  <c r="G16" i="27"/>
  <c r="F16" i="27"/>
  <c r="E16" i="27"/>
  <c r="D16" i="27"/>
  <c r="U15" i="27"/>
  <c r="T15" i="27"/>
  <c r="S15" i="27"/>
  <c r="R15" i="27"/>
  <c r="Q15" i="27"/>
  <c r="P15" i="27"/>
  <c r="O15" i="27"/>
  <c r="N15" i="27"/>
  <c r="K15" i="27"/>
  <c r="J15" i="27"/>
  <c r="I15" i="27"/>
  <c r="H15" i="27"/>
  <c r="G15" i="27"/>
  <c r="F15" i="27"/>
  <c r="E15" i="27"/>
  <c r="D15" i="27"/>
  <c r="U14" i="27"/>
  <c r="T14" i="27"/>
  <c r="S14" i="27"/>
  <c r="R14" i="27"/>
  <c r="Q14" i="27"/>
  <c r="P14" i="27"/>
  <c r="O14" i="27"/>
  <c r="N14" i="27"/>
  <c r="K14" i="27"/>
  <c r="J14" i="27"/>
  <c r="I14" i="27"/>
  <c r="H14" i="27"/>
  <c r="G14" i="27"/>
  <c r="F14" i="27"/>
  <c r="E14" i="27"/>
  <c r="D14" i="27"/>
  <c r="U13" i="27"/>
  <c r="T13" i="27"/>
  <c r="S13" i="27"/>
  <c r="R13" i="27"/>
  <c r="Q13" i="27"/>
  <c r="P13" i="27"/>
  <c r="O13" i="27"/>
  <c r="N13" i="27"/>
  <c r="K13" i="27"/>
  <c r="J13" i="27"/>
  <c r="I13" i="27"/>
  <c r="H13" i="27"/>
  <c r="G13" i="27"/>
  <c r="F13" i="27"/>
  <c r="E13" i="27"/>
  <c r="D13" i="27"/>
  <c r="U12" i="27"/>
  <c r="T12" i="27"/>
  <c r="S12" i="27"/>
  <c r="R12" i="27"/>
  <c r="Q12" i="27"/>
  <c r="P12" i="27"/>
  <c r="O12" i="27"/>
  <c r="N12" i="27"/>
  <c r="K12" i="27"/>
  <c r="J12" i="27"/>
  <c r="I12" i="27"/>
  <c r="H12" i="27"/>
  <c r="G12" i="27"/>
  <c r="F12" i="27"/>
  <c r="E12" i="27"/>
  <c r="D12" i="27"/>
  <c r="U11" i="27"/>
  <c r="T11" i="27"/>
  <c r="S11" i="27"/>
  <c r="R11" i="27"/>
  <c r="Q11" i="27"/>
  <c r="P11" i="27"/>
  <c r="O11" i="27"/>
  <c r="N11" i="27"/>
  <c r="K11" i="27"/>
  <c r="J11" i="27"/>
  <c r="I11" i="27"/>
  <c r="H11" i="27"/>
  <c r="G11" i="27"/>
  <c r="F11" i="27"/>
  <c r="E11" i="27"/>
  <c r="D11" i="27"/>
  <c r="U10" i="27"/>
  <c r="T10" i="27"/>
  <c r="S10" i="27"/>
  <c r="R10" i="27"/>
  <c r="Q10" i="27"/>
  <c r="P10" i="27"/>
  <c r="O10" i="27"/>
  <c r="N10" i="27"/>
  <c r="K10" i="27"/>
  <c r="J10" i="27"/>
  <c r="I10" i="27"/>
  <c r="H10" i="27"/>
  <c r="G10" i="27"/>
  <c r="F10" i="27"/>
  <c r="E10" i="27"/>
  <c r="D10" i="27"/>
  <c r="U9" i="27"/>
  <c r="T9" i="27"/>
  <c r="S9" i="27"/>
  <c r="R9" i="27"/>
  <c r="Q9" i="27"/>
  <c r="P9" i="27"/>
  <c r="O9" i="27"/>
  <c r="N9" i="27"/>
  <c r="K9" i="27"/>
  <c r="J9" i="27"/>
  <c r="I9" i="27"/>
  <c r="H9" i="27"/>
  <c r="G9" i="27"/>
  <c r="F9" i="27"/>
  <c r="E9" i="27"/>
  <c r="D9" i="27"/>
  <c r="U8" i="27"/>
  <c r="T8" i="27"/>
  <c r="S8" i="27"/>
  <c r="R8" i="27"/>
  <c r="Q8" i="27"/>
  <c r="P8" i="27"/>
  <c r="O8" i="27"/>
  <c r="N8" i="27"/>
  <c r="K8" i="27"/>
  <c r="J8" i="27"/>
  <c r="I8" i="27"/>
  <c r="H8" i="27"/>
  <c r="G8" i="27"/>
  <c r="F8" i="27"/>
  <c r="E8" i="27"/>
  <c r="D8" i="27"/>
  <c r="U37" i="26"/>
  <c r="T37" i="26"/>
  <c r="S37" i="26"/>
  <c r="R37" i="26"/>
  <c r="Q37" i="26"/>
  <c r="P37" i="26"/>
  <c r="O37" i="26"/>
  <c r="N37" i="26"/>
  <c r="K37" i="26"/>
  <c r="J37" i="26"/>
  <c r="I37" i="26"/>
  <c r="H37" i="26"/>
  <c r="G37" i="26"/>
  <c r="F37" i="26"/>
  <c r="E37" i="26"/>
  <c r="D37" i="26"/>
  <c r="U36" i="26"/>
  <c r="T36" i="26"/>
  <c r="S36" i="26"/>
  <c r="R36" i="26"/>
  <c r="Q36" i="26"/>
  <c r="P36" i="26"/>
  <c r="O36" i="26"/>
  <c r="N36" i="26"/>
  <c r="K36" i="26"/>
  <c r="J36" i="26"/>
  <c r="I36" i="26"/>
  <c r="H36" i="26"/>
  <c r="G36" i="26"/>
  <c r="F36" i="26"/>
  <c r="E36" i="26"/>
  <c r="D36" i="26"/>
  <c r="U35" i="26"/>
  <c r="T35" i="26"/>
  <c r="S35" i="26"/>
  <c r="R35" i="26"/>
  <c r="Q35" i="26"/>
  <c r="P35" i="26"/>
  <c r="O35" i="26"/>
  <c r="N35" i="26"/>
  <c r="K35" i="26"/>
  <c r="J35" i="26"/>
  <c r="I35" i="26"/>
  <c r="H35" i="26"/>
  <c r="G35" i="26"/>
  <c r="F35" i="26"/>
  <c r="E35" i="26"/>
  <c r="D35" i="26"/>
  <c r="U34" i="26"/>
  <c r="T34" i="26"/>
  <c r="S34" i="26"/>
  <c r="Q34" i="26"/>
  <c r="P34" i="26"/>
  <c r="O34" i="26"/>
  <c r="N34" i="26"/>
  <c r="K34" i="26"/>
  <c r="J34" i="26"/>
  <c r="I34" i="26"/>
  <c r="H34" i="26"/>
  <c r="G34" i="26"/>
  <c r="F34" i="26"/>
  <c r="E34" i="26"/>
  <c r="D34" i="26"/>
  <c r="U33" i="26"/>
  <c r="T33" i="26"/>
  <c r="S33" i="26"/>
  <c r="R33" i="26"/>
  <c r="Q33" i="26"/>
  <c r="P33" i="26"/>
  <c r="O33" i="26"/>
  <c r="N33" i="26"/>
  <c r="K33" i="26"/>
  <c r="J33" i="26"/>
  <c r="I33" i="26"/>
  <c r="H33" i="26"/>
  <c r="G33" i="26"/>
  <c r="F33" i="26"/>
  <c r="E33" i="26"/>
  <c r="D33" i="26"/>
  <c r="U32" i="26"/>
  <c r="T32" i="26"/>
  <c r="S32" i="26"/>
  <c r="R32" i="26"/>
  <c r="Q32" i="26"/>
  <c r="P32" i="26"/>
  <c r="O32" i="26"/>
  <c r="N32" i="26"/>
  <c r="K32" i="26"/>
  <c r="J32" i="26"/>
  <c r="I32" i="26"/>
  <c r="H32" i="26"/>
  <c r="G32" i="26"/>
  <c r="F32" i="26"/>
  <c r="E32" i="26"/>
  <c r="D32" i="26"/>
  <c r="U29" i="26"/>
  <c r="T29" i="26"/>
  <c r="S29" i="26"/>
  <c r="R29" i="26"/>
  <c r="Q29" i="26"/>
  <c r="P29" i="26"/>
  <c r="O29" i="26"/>
  <c r="N29" i="26"/>
  <c r="K29" i="26"/>
  <c r="J29" i="26"/>
  <c r="I29" i="26"/>
  <c r="H29" i="26"/>
  <c r="G29" i="26"/>
  <c r="F29" i="26"/>
  <c r="E29" i="26"/>
  <c r="D29" i="26"/>
  <c r="U28" i="26"/>
  <c r="T28" i="26"/>
  <c r="S28" i="26"/>
  <c r="R28" i="26"/>
  <c r="Q28" i="26"/>
  <c r="P28" i="26"/>
  <c r="O28" i="26"/>
  <c r="N28" i="26"/>
  <c r="K28" i="26"/>
  <c r="J28" i="26"/>
  <c r="I28" i="26"/>
  <c r="H28" i="26"/>
  <c r="G28" i="26"/>
  <c r="F28" i="26"/>
  <c r="E28" i="26"/>
  <c r="D28" i="26"/>
  <c r="U27" i="26"/>
  <c r="T27" i="26"/>
  <c r="S27" i="26"/>
  <c r="R27" i="26"/>
  <c r="Q27" i="26"/>
  <c r="P27" i="26"/>
  <c r="O27" i="26"/>
  <c r="N27" i="26"/>
  <c r="K27" i="26"/>
  <c r="J27" i="26"/>
  <c r="I27" i="26"/>
  <c r="H27" i="26"/>
  <c r="G27" i="26"/>
  <c r="F27" i="26"/>
  <c r="E27" i="26"/>
  <c r="D27" i="26"/>
  <c r="U26" i="26"/>
  <c r="T26" i="26"/>
  <c r="S26" i="26"/>
  <c r="R26" i="26"/>
  <c r="Q26" i="26"/>
  <c r="P26" i="26"/>
  <c r="O26" i="26"/>
  <c r="N26" i="26"/>
  <c r="K26" i="26"/>
  <c r="J26" i="26"/>
  <c r="I26" i="26"/>
  <c r="H26" i="26"/>
  <c r="G26" i="26"/>
  <c r="F26" i="26"/>
  <c r="E26" i="26"/>
  <c r="D26" i="26"/>
  <c r="U25" i="26"/>
  <c r="T25" i="26"/>
  <c r="S25" i="26"/>
  <c r="R25" i="26"/>
  <c r="Q25" i="26"/>
  <c r="P25" i="26"/>
  <c r="O25" i="26"/>
  <c r="N25" i="26"/>
  <c r="K25" i="26"/>
  <c r="J25" i="26"/>
  <c r="I25" i="26"/>
  <c r="H25" i="26"/>
  <c r="G25" i="26"/>
  <c r="F25" i="26"/>
  <c r="E25" i="26"/>
  <c r="D25" i="26"/>
  <c r="U24" i="26"/>
  <c r="T24" i="26"/>
  <c r="S24" i="26"/>
  <c r="R24" i="26"/>
  <c r="Q24" i="26"/>
  <c r="P24" i="26"/>
  <c r="O24" i="26"/>
  <c r="N24" i="26"/>
  <c r="K24" i="26"/>
  <c r="J24" i="26"/>
  <c r="I24" i="26"/>
  <c r="H24" i="26"/>
  <c r="G24" i="26"/>
  <c r="F24" i="26"/>
  <c r="E24" i="26"/>
  <c r="D24" i="26"/>
  <c r="U23" i="26"/>
  <c r="T23" i="26"/>
  <c r="S23" i="26"/>
  <c r="R23" i="26"/>
  <c r="Q23" i="26"/>
  <c r="P23" i="26"/>
  <c r="O23" i="26"/>
  <c r="N23" i="26"/>
  <c r="K23" i="26"/>
  <c r="J23" i="26"/>
  <c r="I23" i="26"/>
  <c r="H23" i="26"/>
  <c r="G23" i="26"/>
  <c r="F23" i="26"/>
  <c r="E23" i="26"/>
  <c r="D23" i="26"/>
  <c r="U20" i="26"/>
  <c r="T20" i="26"/>
  <c r="S20" i="26"/>
  <c r="R20" i="26"/>
  <c r="Q20" i="26"/>
  <c r="P20" i="26"/>
  <c r="O20" i="26"/>
  <c r="N20" i="26"/>
  <c r="K20" i="26"/>
  <c r="J20" i="26"/>
  <c r="I20" i="26"/>
  <c r="H20" i="26"/>
  <c r="G20" i="26"/>
  <c r="F20" i="26"/>
  <c r="E20" i="26"/>
  <c r="D20" i="26"/>
  <c r="U19" i="26"/>
  <c r="T19" i="26"/>
  <c r="S19" i="26"/>
  <c r="R19" i="26"/>
  <c r="Q19" i="26"/>
  <c r="P19" i="26"/>
  <c r="O19" i="26"/>
  <c r="N19" i="26"/>
  <c r="K19" i="26"/>
  <c r="J19" i="26"/>
  <c r="I19" i="26"/>
  <c r="H19" i="26"/>
  <c r="G19" i="26"/>
  <c r="F19" i="26"/>
  <c r="E19" i="26"/>
  <c r="D19" i="26"/>
  <c r="U18" i="26"/>
  <c r="T18" i="26"/>
  <c r="S18" i="26"/>
  <c r="R18" i="26"/>
  <c r="Q18" i="26"/>
  <c r="P18" i="26"/>
  <c r="O18" i="26"/>
  <c r="N18" i="26"/>
  <c r="K18" i="26"/>
  <c r="J18" i="26"/>
  <c r="I18" i="26"/>
  <c r="H18" i="26"/>
  <c r="G18" i="26"/>
  <c r="F18" i="26"/>
  <c r="E18" i="26"/>
  <c r="D18" i="26"/>
  <c r="U17" i="26"/>
  <c r="T17" i="26"/>
  <c r="S17" i="26"/>
  <c r="R17" i="26"/>
  <c r="Q17" i="26"/>
  <c r="P17" i="26"/>
  <c r="O17" i="26"/>
  <c r="N17" i="26"/>
  <c r="K17" i="26"/>
  <c r="J17" i="26"/>
  <c r="I17" i="26"/>
  <c r="H17" i="26"/>
  <c r="G17" i="26"/>
  <c r="F17" i="26"/>
  <c r="E17" i="26"/>
  <c r="D17" i="26"/>
  <c r="U16" i="26"/>
  <c r="T16" i="26"/>
  <c r="S16" i="26"/>
  <c r="R16" i="26"/>
  <c r="Q16" i="26"/>
  <c r="P16" i="26"/>
  <c r="O16" i="26"/>
  <c r="N16" i="26"/>
  <c r="K16" i="26"/>
  <c r="J16" i="26"/>
  <c r="I16" i="26"/>
  <c r="H16" i="26"/>
  <c r="G16" i="26"/>
  <c r="F16" i="26"/>
  <c r="E16" i="26"/>
  <c r="D16" i="26"/>
  <c r="U15" i="26"/>
  <c r="T15" i="26"/>
  <c r="S15" i="26"/>
  <c r="R15" i="26"/>
  <c r="Q15" i="26"/>
  <c r="P15" i="26"/>
  <c r="O15" i="26"/>
  <c r="N15" i="26"/>
  <c r="K15" i="26"/>
  <c r="J15" i="26"/>
  <c r="I15" i="26"/>
  <c r="H15" i="26"/>
  <c r="G15" i="26"/>
  <c r="F15" i="26"/>
  <c r="E15" i="26"/>
  <c r="D15" i="26"/>
  <c r="U14" i="26"/>
  <c r="T14" i="26"/>
  <c r="S14" i="26"/>
  <c r="R14" i="26"/>
  <c r="Q14" i="26"/>
  <c r="P14" i="26"/>
  <c r="O14" i="26"/>
  <c r="N14" i="26"/>
  <c r="K14" i="26"/>
  <c r="J14" i="26"/>
  <c r="I14" i="26"/>
  <c r="H14" i="26"/>
  <c r="G14" i="26"/>
  <c r="F14" i="26"/>
  <c r="E14" i="26"/>
  <c r="D14" i="26"/>
  <c r="U13" i="26"/>
  <c r="T13" i="26"/>
  <c r="S13" i="26"/>
  <c r="R13" i="26"/>
  <c r="Q13" i="26"/>
  <c r="P13" i="26"/>
  <c r="O13" i="26"/>
  <c r="N13" i="26"/>
  <c r="K13" i="26"/>
  <c r="J13" i="26"/>
  <c r="I13" i="26"/>
  <c r="H13" i="26"/>
  <c r="G13" i="26"/>
  <c r="F13" i="26"/>
  <c r="E13" i="26"/>
  <c r="D13" i="26"/>
  <c r="U12" i="26"/>
  <c r="T12" i="26"/>
  <c r="S12" i="26"/>
  <c r="R12" i="26"/>
  <c r="Q12" i="26"/>
  <c r="P12" i="26"/>
  <c r="O12" i="26"/>
  <c r="N12" i="26"/>
  <c r="K12" i="26"/>
  <c r="J12" i="26"/>
  <c r="I12" i="26"/>
  <c r="H12" i="26"/>
  <c r="G12" i="26"/>
  <c r="F12" i="26"/>
  <c r="E12" i="26"/>
  <c r="D12" i="26"/>
  <c r="U11" i="26"/>
  <c r="T11" i="26"/>
  <c r="S11" i="26"/>
  <c r="R11" i="26"/>
  <c r="Q11" i="26"/>
  <c r="P11" i="26"/>
  <c r="O11" i="26"/>
  <c r="N11" i="26"/>
  <c r="K11" i="26"/>
  <c r="J11" i="26"/>
  <c r="I11" i="26"/>
  <c r="H11" i="26"/>
  <c r="G11" i="26"/>
  <c r="F11" i="26"/>
  <c r="E11" i="26"/>
  <c r="D11" i="26"/>
  <c r="U10" i="26"/>
  <c r="T10" i="26"/>
  <c r="S10" i="26"/>
  <c r="R10" i="26"/>
  <c r="Q10" i="26"/>
  <c r="P10" i="26"/>
  <c r="O10" i="26"/>
  <c r="N10" i="26"/>
  <c r="K10" i="26"/>
  <c r="J10" i="26"/>
  <c r="I10" i="26"/>
  <c r="H10" i="26"/>
  <c r="G10" i="26"/>
  <c r="F10" i="26"/>
  <c r="E10" i="26"/>
  <c r="D10" i="26"/>
  <c r="U9" i="26"/>
  <c r="T9" i="26"/>
  <c r="S9" i="26"/>
  <c r="R9" i="26"/>
  <c r="Q9" i="26"/>
  <c r="P9" i="26"/>
  <c r="O9" i="26"/>
  <c r="N9" i="26"/>
  <c r="K9" i="26"/>
  <c r="J9" i="26"/>
  <c r="I9" i="26"/>
  <c r="H9" i="26"/>
  <c r="G9" i="26"/>
  <c r="F9" i="26"/>
  <c r="E9" i="26"/>
  <c r="D9" i="26"/>
  <c r="U8" i="26"/>
  <c r="T8" i="26"/>
  <c r="S8" i="26"/>
  <c r="R8" i="26"/>
  <c r="Q8" i="26"/>
  <c r="P8" i="26"/>
  <c r="O8" i="26"/>
  <c r="N8" i="26"/>
  <c r="K8" i="26"/>
  <c r="J8" i="26"/>
  <c r="I8" i="26"/>
  <c r="H8" i="26"/>
  <c r="G8" i="26"/>
  <c r="F8" i="26"/>
  <c r="E8" i="26"/>
  <c r="D8" i="26"/>
  <c r="U7" i="26"/>
  <c r="T7" i="26"/>
  <c r="S7" i="26"/>
  <c r="R7" i="26"/>
  <c r="Q7" i="26"/>
  <c r="P7" i="26"/>
  <c r="O7" i="26"/>
  <c r="N7" i="26"/>
  <c r="K7" i="26"/>
  <c r="J7" i="26"/>
  <c r="I7" i="26"/>
  <c r="H7" i="26"/>
  <c r="G7" i="26"/>
  <c r="F7" i="26"/>
  <c r="E7" i="26"/>
  <c r="D7" i="26"/>
  <c r="E13" i="33" l="1"/>
  <c r="E14" i="33"/>
  <c r="E15" i="33"/>
  <c r="E18" i="33"/>
  <c r="E19" i="33"/>
  <c r="E20" i="33"/>
  <c r="D45" i="34"/>
  <c r="D64" i="34"/>
  <c r="D63" i="34"/>
  <c r="D60" i="34"/>
  <c r="D61" i="34" s="1"/>
  <c r="D57" i="34"/>
  <c r="D58" i="34" s="1"/>
  <c r="D56" i="34"/>
  <c r="D55" i="34"/>
  <c r="D54" i="34"/>
  <c r="D52" i="34"/>
  <c r="D50" i="34"/>
  <c r="D46" i="34"/>
  <c r="D44" i="34"/>
  <c r="D43" i="34"/>
  <c r="D15" i="34"/>
  <c r="C3" i="34"/>
  <c r="C2" i="34"/>
  <c r="C1" i="34"/>
</calcChain>
</file>

<file path=xl/sharedStrings.xml><?xml version="1.0" encoding="utf-8"?>
<sst xmlns="http://schemas.openxmlformats.org/spreadsheetml/2006/main" count="1810" uniqueCount="1026">
  <si>
    <t>Standard control services</t>
  </si>
  <si>
    <t>Variable</t>
  </si>
  <si>
    <t>Unit</t>
  </si>
  <si>
    <t>Business address</t>
  </si>
  <si>
    <t xml:space="preserve">Revenue from Fixed Customer Charges </t>
  </si>
  <si>
    <t>Revenue from Energy Delivery charges where time of use is not a determinant</t>
  </si>
  <si>
    <t xml:space="preserve">Revenue from On–Peak Energy Delivery charges </t>
  </si>
  <si>
    <t>Revenue from Shoulder period Energy Delivery Charges</t>
  </si>
  <si>
    <t xml:space="preserve">Revenue from Off–Peak Energy Delivery charges </t>
  </si>
  <si>
    <t>Revenue from Contracted Maximum Demand charges</t>
  </si>
  <si>
    <t>Revenue from Measured Maximum Demand charges</t>
  </si>
  <si>
    <t>Revenue from other Sources</t>
  </si>
  <si>
    <t>Revenue from Other Customers</t>
  </si>
  <si>
    <t>Total revenue by chargeable quantity</t>
  </si>
  <si>
    <t>Variable_Code</t>
  </si>
  <si>
    <t>Scope of services</t>
  </si>
  <si>
    <t>Alternative control services</t>
  </si>
  <si>
    <t>Contents</t>
  </si>
  <si>
    <t>DNSP – trading name:</t>
  </si>
  <si>
    <t xml:space="preserve">DNSP – Australian business number: </t>
  </si>
  <si>
    <t>Address</t>
  </si>
  <si>
    <t>Suburb</t>
  </si>
  <si>
    <t>State</t>
  </si>
  <si>
    <t>Postcode</t>
  </si>
  <si>
    <t>Contact name/s</t>
  </si>
  <si>
    <t>Contact phone/s</t>
  </si>
  <si>
    <t>Contact email address/s</t>
  </si>
  <si>
    <t>STPIS</t>
  </si>
  <si>
    <t>Other</t>
  </si>
  <si>
    <t>Total revenue by customer class</t>
  </si>
  <si>
    <t>Total revenue of incentive schemes</t>
  </si>
  <si>
    <t>Regulatory year</t>
  </si>
  <si>
    <t xml:space="preserve">Revenue from residential Customers </t>
  </si>
  <si>
    <t>Revenue from unmetered supplies</t>
  </si>
  <si>
    <t>[Insert subsequent regulatory years  here]</t>
  </si>
  <si>
    <t>Revenue from metering charges</t>
  </si>
  <si>
    <t>Revenue from connection charges</t>
  </si>
  <si>
    <t>Revenue from public lighting charges</t>
  </si>
  <si>
    <t>Postal address (if different to business address)</t>
  </si>
  <si>
    <t>Revenue from controlled load customer charges</t>
  </si>
  <si>
    <t xml:space="preserve">Revenue from non-residential customers not on demand tariffs </t>
  </si>
  <si>
    <t xml:space="preserve">Revenue from non-residential low voltage demand tariff customers </t>
  </si>
  <si>
    <t xml:space="preserve">Revenue from non-residential high voltage demand tariff customers </t>
  </si>
  <si>
    <t>Economic benchmarking data template</t>
  </si>
  <si>
    <r>
      <t>United Energy and Multinet Gas</t>
    </r>
    <r>
      <rPr>
        <sz val="10"/>
        <color rgb="FFF58426"/>
        <rFont val="Arial"/>
        <family val="2"/>
      </rPr>
      <t xml:space="preserve"> </t>
    </r>
  </si>
  <si>
    <t>6 Nexus Court</t>
  </si>
  <si>
    <t>Mulgrave</t>
  </si>
  <si>
    <t>EBSS</t>
  </si>
  <si>
    <t>S-Factor True  up</t>
  </si>
  <si>
    <t>F-Factor</t>
  </si>
  <si>
    <t>Mathew Abraham</t>
  </si>
  <si>
    <t>Mount Waverley</t>
  </si>
  <si>
    <t>PO Box 449</t>
  </si>
  <si>
    <t xml:space="preserve">Total opex </t>
  </si>
  <si>
    <t>ED_OPX321_00001</t>
  </si>
  <si>
    <t>Opex for network services</t>
  </si>
  <si>
    <t>ED_OPX321_00002</t>
  </si>
  <si>
    <t>Opex for metering</t>
  </si>
  <si>
    <t>ED_OPX321_00003</t>
  </si>
  <si>
    <t>Opex for connection services</t>
  </si>
  <si>
    <t>ED_OPX321_00004</t>
  </si>
  <si>
    <t>Opex for public lighting</t>
  </si>
  <si>
    <t>ED_OPX321_00005</t>
  </si>
  <si>
    <t>Opex for amounts payable for easement levy or similar direct charges on DNSP</t>
  </si>
  <si>
    <t>ED_OPX321_00006</t>
  </si>
  <si>
    <t>Opex for transmission connection point planning</t>
  </si>
  <si>
    <t>ED_OPX322_00001</t>
  </si>
  <si>
    <t>ED_OPX322_00002</t>
  </si>
  <si>
    <t>ED_OPX322_00003</t>
  </si>
  <si>
    <t>ED_OPX322_00004</t>
  </si>
  <si>
    <t>ED_OPX322_00005</t>
  </si>
  <si>
    <t>ED_OPX322_00006</t>
  </si>
  <si>
    <t>End user costs (not standard control services)</t>
  </si>
  <si>
    <t>ED_OPX340_00001</t>
  </si>
  <si>
    <t>Opex for high voltage customers</t>
  </si>
  <si>
    <t>Network services</t>
  </si>
  <si>
    <t>For total asset base:</t>
  </si>
  <si>
    <t>Opening value</t>
  </si>
  <si>
    <t>Inflation addition</t>
  </si>
  <si>
    <t>Straight line depreciation</t>
  </si>
  <si>
    <t>Actual additions (recognised in RAB)</t>
  </si>
  <si>
    <t xml:space="preserve">Disposals </t>
  </si>
  <si>
    <t>For distribution substations and transformers:</t>
  </si>
  <si>
    <t>Zone substations and transformers</t>
  </si>
  <si>
    <t>For easements:</t>
  </si>
  <si>
    <t>For meters:</t>
  </si>
  <si>
    <t>For “other” asset items with long lives:</t>
  </si>
  <si>
    <t>For “other” asset items with short lives:</t>
  </si>
  <si>
    <t>Distribution substations including transformers</t>
  </si>
  <si>
    <t>Zone substations</t>
  </si>
  <si>
    <t xml:space="preserve">Easements </t>
  </si>
  <si>
    <t>Meters</t>
  </si>
  <si>
    <t>Other assets with long lives (please specify)</t>
  </si>
  <si>
    <t>Other assets with short lives (please specify)</t>
  </si>
  <si>
    <t>years</t>
  </si>
  <si>
    <t>“Other” assets with long lives</t>
  </si>
  <si>
    <t>“Other” assets with short lives</t>
  </si>
  <si>
    <t>Units</t>
  </si>
  <si>
    <t>Total energy delivered</t>
  </si>
  <si>
    <t>GWh</t>
  </si>
  <si>
    <t>Energy Delivery where time of use is not a determinant</t>
  </si>
  <si>
    <t>Energy Delivery at On-peak times</t>
  </si>
  <si>
    <t xml:space="preserve">Energy Delivery at Shoulder times </t>
  </si>
  <si>
    <t>Energy Delivery at Off-peak times</t>
  </si>
  <si>
    <t>Controlled load energy deliveries</t>
  </si>
  <si>
    <t>Energy Delivery to unmetered supplies</t>
  </si>
  <si>
    <t>Energy into DNSP network  at On-peak times</t>
  </si>
  <si>
    <t xml:space="preserve">Energy into DNSP network  at Shoulder times </t>
  </si>
  <si>
    <t>Energy into DNSP network  at Off-peak times</t>
  </si>
  <si>
    <t>Energy received from TNSP and other DNSPs not included in the above categories</t>
  </si>
  <si>
    <t>Energy into DNSP network  at On-peak times from non-residential embedded generation</t>
  </si>
  <si>
    <t>Energy into DNSP network  at Shoulder times from non-residential embedded generation</t>
  </si>
  <si>
    <t>Energy into DNSP network  at Off-peak times from non-residential embedded generation</t>
  </si>
  <si>
    <t>Energy received from embedded generation not included in above categories from non-residential embedded generation</t>
  </si>
  <si>
    <t>Energy into DNSP network  at On-peak times from residential embedded generation</t>
  </si>
  <si>
    <t>Energy into DNSP network  at Shoulder times from residential embedded generation</t>
  </si>
  <si>
    <t>Energy into DNSP network  at Off-peak times from residential embedded generation</t>
  </si>
  <si>
    <t>Energy received from embedded generation not included in above categories from residential embedded generation</t>
  </si>
  <si>
    <t>Residential customers energy deliveries</t>
  </si>
  <si>
    <t>Non-residential customers not on demand tariffs energy deliveries</t>
  </si>
  <si>
    <r>
      <t>Non-residential l</t>
    </r>
    <r>
      <rPr>
        <sz val="11"/>
        <rFont val="Calibri"/>
        <family val="2"/>
        <scheme val="minor"/>
      </rPr>
      <t>ow voltage demand tariff customers energy deliveries</t>
    </r>
  </si>
  <si>
    <r>
      <t>Non-residential h</t>
    </r>
    <r>
      <rPr>
        <sz val="11"/>
        <rFont val="Calibri"/>
        <family val="2"/>
        <scheme val="minor"/>
      </rPr>
      <t>igh voltage demand tariff customers energy deliveries</t>
    </r>
  </si>
  <si>
    <t>Other Customer Class Energy Deliveries</t>
  </si>
  <si>
    <t>Residential customer numbers</t>
  </si>
  <si>
    <t>number</t>
  </si>
  <si>
    <t>Non-residential customers not on demand tariff customer numbers</t>
  </si>
  <si>
    <t>Low voltage demand tariff customer numbers</t>
  </si>
  <si>
    <t>High voltage demand tariff customer numbers</t>
  </si>
  <si>
    <t>Unmetered Customer Numbers</t>
  </si>
  <si>
    <t>Other Customer Numbers</t>
  </si>
  <si>
    <t>Total customer numbers</t>
  </si>
  <si>
    <t>Customers on CBD network</t>
  </si>
  <si>
    <t>Customers on Urban network</t>
  </si>
  <si>
    <t>Customers on Short rural network</t>
  </si>
  <si>
    <t>Customers on Long rural network</t>
  </si>
  <si>
    <t>Critical Infrastructure</t>
  </si>
  <si>
    <t>High Density Commercial</t>
  </si>
  <si>
    <t>Urban</t>
  </si>
  <si>
    <t>High Density Rural</t>
  </si>
  <si>
    <t>Low Density Rural</t>
  </si>
  <si>
    <t>Number of unmetered connections reported in customer numbers in the economic benchmarking RIN</t>
  </si>
  <si>
    <t>Unmetered connections not reported in customer numbers in the economic benchmarking RIN</t>
  </si>
  <si>
    <t>Total unmetered connections</t>
  </si>
  <si>
    <t>Non-coincident Summated Raw System Annual Maximum Demand</t>
  </si>
  <si>
    <t xml:space="preserve">MW </t>
  </si>
  <si>
    <t>Non-coincident Summated Weather Adjusted System Annual Maximum Demand 10% POE</t>
  </si>
  <si>
    <t>Non-coincident Summated Weather Adjusted System Annual Maximum Demand 50% POE</t>
  </si>
  <si>
    <t>Coincident Raw System Annual Maximum Demand</t>
  </si>
  <si>
    <t>Coincident Weather Adjusted System Annual Maximum Demand 10% POE</t>
  </si>
  <si>
    <t>Coincident Weather Adjusted System Annual Maximum Demand 50% POE</t>
  </si>
  <si>
    <t>Non–coincident Summated Raw System Annual Maximum Demand</t>
  </si>
  <si>
    <t xml:space="preserve"> MVA</t>
  </si>
  <si>
    <t>Non–coincident Summated Weather Adjusted System Annual Maximum Demand 10% POE</t>
  </si>
  <si>
    <t>Non–coincident Summated Weather Adjusted System Annual Maximum Demand 50% POE</t>
  </si>
  <si>
    <t>MVA</t>
  </si>
  <si>
    <t>Average overall network power factor conversion between MVA and MW</t>
  </si>
  <si>
    <t>Factor</t>
  </si>
  <si>
    <t>Average power factor conversion for 11 kV lines</t>
  </si>
  <si>
    <t>Average power factor conversion for 22 kV lines</t>
  </si>
  <si>
    <t>Average power factor conversion for 33 kV lines</t>
  </si>
  <si>
    <t>Average power factor conversion for 66 kV lines</t>
  </si>
  <si>
    <t>Average power factor conversion for 132 kV lines</t>
  </si>
  <si>
    <t>Average power factor conversion for 110 kV lines</t>
  </si>
  <si>
    <t>Average power factor conversion for 44 kV lines</t>
  </si>
  <si>
    <t>Average power factor conversion for 7.6 kV lines</t>
  </si>
  <si>
    <t>Average power factor conversion for 6.6 kV lines</t>
  </si>
  <si>
    <t>Average power factor conversion for 3.3 kV lines</t>
  </si>
  <si>
    <t>Summated Chargeable Contracted Maximum Demand</t>
  </si>
  <si>
    <t xml:space="preserve">Summated Chargeable Measured Maximum Demand </t>
  </si>
  <si>
    <t>Circuit length</t>
  </si>
  <si>
    <t>Overhead low voltage distribution</t>
  </si>
  <si>
    <t>km</t>
  </si>
  <si>
    <t>Overhead 11 kV</t>
  </si>
  <si>
    <t>Overhead SWER</t>
  </si>
  <si>
    <t>Overhead 22 kV</t>
  </si>
  <si>
    <t>Overhead 33 kV</t>
  </si>
  <si>
    <t>Overhead 66 kV</t>
  </si>
  <si>
    <t>Overhead 132 kV</t>
  </si>
  <si>
    <t>Overhead 110 kV</t>
  </si>
  <si>
    <t>Overhead 220 kV</t>
  </si>
  <si>
    <t>Overhead 7.6 kV</t>
  </si>
  <si>
    <t>Overhead 2.2 kV</t>
  </si>
  <si>
    <t>Overhead 44 kV</t>
  </si>
  <si>
    <t>Total overhead circuit km</t>
  </si>
  <si>
    <t>Underground low voltage distribution</t>
  </si>
  <si>
    <t>Underground 11 kV</t>
  </si>
  <si>
    <t>Underground 22 kV</t>
  </si>
  <si>
    <t>Underground 33 kV</t>
  </si>
  <si>
    <t>Underground 66 kV</t>
  </si>
  <si>
    <t>Underground 132 kV</t>
  </si>
  <si>
    <t>Underground SWER</t>
  </si>
  <si>
    <t>Underground 7.6 kV</t>
  </si>
  <si>
    <t>Underground 5 kV</t>
  </si>
  <si>
    <t>Total underground circuit km</t>
  </si>
  <si>
    <t>Circuit Capacity MVA</t>
  </si>
  <si>
    <t>Overhead 6.6 kV</t>
  </si>
  <si>
    <t>Underground 6.6 kV</t>
  </si>
  <si>
    <t>Underground 12.7 kV (Assume SWER as per DPA0208)</t>
  </si>
  <si>
    <t>Distribution transformer capacity owned by utility</t>
  </si>
  <si>
    <t>Distribution transformer capacity owned by High Voltage Customers</t>
  </si>
  <si>
    <t>Cold spare capacity included in DPA0501</t>
  </si>
  <si>
    <t>Total installed capacity for first step transformation where there are two steps to reach distribution voltage</t>
  </si>
  <si>
    <t>Total installed capacity for second step transformation where there are two steps to reach distribution voltage</t>
  </si>
  <si>
    <t>Total zone substation transformer capacity where there is only a single step transformation to reach distribution voltage</t>
  </si>
  <si>
    <t xml:space="preserve">Total zone substation transformer  capacity </t>
  </si>
  <si>
    <t>Cold spare capacity of zone substation transformers included in DPA0604</t>
  </si>
  <si>
    <t>Distribution other - transformer capacity owned by utility</t>
  </si>
  <si>
    <t>Public lighting luminaires</t>
  </si>
  <si>
    <t>Number</t>
  </si>
  <si>
    <t>Public lighting poles</t>
  </si>
  <si>
    <t>Public lighting columns</t>
  </si>
  <si>
    <t>Whole of network unplanned SAIDI</t>
  </si>
  <si>
    <t>minutes/customer</t>
  </si>
  <si>
    <t>Whole of network unplanned SAIDI excluding excluded outages</t>
  </si>
  <si>
    <t>Whole of network unplanned SAIFI</t>
  </si>
  <si>
    <t>interruptions/customer</t>
  </si>
  <si>
    <t>Whole of network unplanned SAIFI excluding excluded outages</t>
  </si>
  <si>
    <t>Energy Not Supplied (planned)</t>
  </si>
  <si>
    <t>Energy Not Supplied (unplanned)</t>
  </si>
  <si>
    <t>Energy Not Supplied - Total</t>
  </si>
  <si>
    <t>System losses</t>
  </si>
  <si>
    <t>%</t>
  </si>
  <si>
    <t>Overall utilisation</t>
  </si>
  <si>
    <t>Customer density</t>
  </si>
  <si>
    <t>Customer / km</t>
  </si>
  <si>
    <t>Energy density</t>
  </si>
  <si>
    <t>MWh/customer</t>
  </si>
  <si>
    <t>Demand density</t>
  </si>
  <si>
    <t>Rural proportion</t>
  </si>
  <si>
    <t>Urban and CBD vegetation maintenance spans</t>
  </si>
  <si>
    <t>Number of spans</t>
  </si>
  <si>
    <t>Rural vegetation maintenance spans</t>
  </si>
  <si>
    <t>Total vegetation maintenance spans</t>
  </si>
  <si>
    <t>Total number of spans</t>
  </si>
  <si>
    <t>Average urban and CBD vegetation maintenance span cycle</t>
  </si>
  <si>
    <t>Years</t>
  </si>
  <si>
    <t>Average rural vegetation maintenance span cycle</t>
  </si>
  <si>
    <t>Average number of trees per urban and CBD vegetation maintenance span</t>
  </si>
  <si>
    <t>Trees</t>
  </si>
  <si>
    <t>Average number of trees per rural vegetation maintenance span</t>
  </si>
  <si>
    <t>Average number of defects per urban and CBD vegetation maintenance span</t>
  </si>
  <si>
    <t>Defects</t>
  </si>
  <si>
    <t>Average number of defects per rural vegetation maintenance span</t>
  </si>
  <si>
    <t>Tropical proportion</t>
  </si>
  <si>
    <t>Standard vehicle access</t>
  </si>
  <si>
    <t>Bushfire risk</t>
  </si>
  <si>
    <t>Route Line length</t>
  </si>
  <si>
    <t>Post code</t>
  </si>
  <si>
    <t>Materiality</t>
  </si>
  <si>
    <t>ED_OEF810_00001</t>
  </si>
  <si>
    <t>ED_OEF810_00002</t>
  </si>
  <si>
    <t>ED_OEF810_00003</t>
  </si>
  <si>
    <t>ED_OEF820_00001</t>
  </si>
  <si>
    <t>ED_OEF820_00002</t>
  </si>
  <si>
    <t>ED_OEF820_00003</t>
  </si>
  <si>
    <t>ED_OEF820_00004</t>
  </si>
  <si>
    <t>ED_OEF820_00005</t>
  </si>
  <si>
    <t>ED_OEF820_00006</t>
  </si>
  <si>
    <t>ED_OEF820_00007</t>
  </si>
  <si>
    <t>ED_OEF820_00008</t>
  </si>
  <si>
    <t>ED_OEF820_00009</t>
  </si>
  <si>
    <t>ED_OEF820_00010</t>
  </si>
  <si>
    <t>ED_OEF820_00011</t>
  </si>
  <si>
    <t>ED_OEF820_00012</t>
  </si>
  <si>
    <t>ED_OEF820_00013</t>
  </si>
  <si>
    <t>ED_OEF820_00014</t>
  </si>
  <si>
    <t>ED_OEF830_00001</t>
  </si>
  <si>
    <t>ED_QOS711_00001</t>
  </si>
  <si>
    <t>ED_QOS711_00002</t>
  </si>
  <si>
    <t>ED_QOS711_00003</t>
  </si>
  <si>
    <t>ED_QOS711_00004</t>
  </si>
  <si>
    <t>ED_QOS712_00001</t>
  </si>
  <si>
    <t>ED_QOS712_00002</t>
  </si>
  <si>
    <t>ED_QOS712_00003</t>
  </si>
  <si>
    <t>ED_QOS712_00004</t>
  </si>
  <si>
    <t>ED_QOS720_00001</t>
  </si>
  <si>
    <t>ED_QOS720_00002</t>
  </si>
  <si>
    <t>ED_QOS730_00001</t>
  </si>
  <si>
    <t>ED_QOS740_00001</t>
  </si>
  <si>
    <t>ED_PHA611_00001</t>
  </si>
  <si>
    <t>ED_PHA611_00002</t>
  </si>
  <si>
    <t>ED_PHA611_00003</t>
  </si>
  <si>
    <t>ED_PHA611_00004</t>
  </si>
  <si>
    <t>ED_PHA611_00005</t>
  </si>
  <si>
    <t>ED_PHA611_00006</t>
  </si>
  <si>
    <t>ED_PHA611_00007</t>
  </si>
  <si>
    <t>ED_PHA611_00008</t>
  </si>
  <si>
    <t>ED_PHA611_00009</t>
  </si>
  <si>
    <t>ED_PHA611_00010</t>
  </si>
  <si>
    <t>ED_PHA611_00011</t>
  </si>
  <si>
    <t>ED_PHA611_00012</t>
  </si>
  <si>
    <t>ED_PHA611_00013</t>
  </si>
  <si>
    <t>ED_PHA611_00014</t>
  </si>
  <si>
    <t>ED_PHA612_00001</t>
  </si>
  <si>
    <t>ED_PHA612_00002</t>
  </si>
  <si>
    <t>ED_PHA612_00003</t>
  </si>
  <si>
    <t>ED_PHA612_00004</t>
  </si>
  <si>
    <t>ED_PHA612_00005</t>
  </si>
  <si>
    <t>ED_PHA612_00006</t>
  </si>
  <si>
    <t>ED_PHA612_00007</t>
  </si>
  <si>
    <t>ED_PHA612_00008</t>
  </si>
  <si>
    <t>ED_PHA612_00009</t>
  </si>
  <si>
    <t>ED_PHA612_00010</t>
  </si>
  <si>
    <t>ED_PHA612_00011</t>
  </si>
  <si>
    <t>ED_PHA613_00001</t>
  </si>
  <si>
    <t>ED_PHA613_00002</t>
  </si>
  <si>
    <t>ED_PHA613_00003</t>
  </si>
  <si>
    <t>ED_PHA613_00004</t>
  </si>
  <si>
    <t>ED_PHA613_00005</t>
  </si>
  <si>
    <t>ED_PHA613_00006</t>
  </si>
  <si>
    <t>ED_PHA613_00007</t>
  </si>
  <si>
    <t>ED_PHA613_00008</t>
  </si>
  <si>
    <t>ED_PHA613_00009</t>
  </si>
  <si>
    <t>ED_PHA613_00010</t>
  </si>
  <si>
    <t>ED_PHA613_00011</t>
  </si>
  <si>
    <t>ED_PHA613_00012</t>
  </si>
  <si>
    <t>ED_PHA613_00013</t>
  </si>
  <si>
    <t>ED_PHA614_00001</t>
  </si>
  <si>
    <t>ED_PHA614_00002</t>
  </si>
  <si>
    <t>ED_PHA614_00003</t>
  </si>
  <si>
    <t>ED_PHA614_00004</t>
  </si>
  <si>
    <t>ED_PHA614_00005</t>
  </si>
  <si>
    <t>ED_PHA614_00006</t>
  </si>
  <si>
    <t>ED_PHA614_00007</t>
  </si>
  <si>
    <t>ED_PHA614_00008</t>
  </si>
  <si>
    <t>ED_PHA614_00009</t>
  </si>
  <si>
    <t>ED_PHA614_00010</t>
  </si>
  <si>
    <t>ED_PHA614_00011</t>
  </si>
  <si>
    <t>ED_PHA614_00012</t>
  </si>
  <si>
    <t>ED_PHA621_00001</t>
  </si>
  <si>
    <t>ED_PHA621_00002</t>
  </si>
  <si>
    <t>ED_PHA621_00003</t>
  </si>
  <si>
    <t>ED_PHA622_00001</t>
  </si>
  <si>
    <t>ED_PHA622_00002</t>
  </si>
  <si>
    <t>ED_PHA622_00003</t>
  </si>
  <si>
    <t>ED_PHA622_00004</t>
  </si>
  <si>
    <t>ED_PHA622_00005</t>
  </si>
  <si>
    <t>ED_PHA623_00001</t>
  </si>
  <si>
    <t>ED_PHA630_00001</t>
  </si>
  <si>
    <t>ED_PHA630_00002</t>
  </si>
  <si>
    <t>ED_PHA630_00003</t>
  </si>
  <si>
    <t>ED_OPD511_00001</t>
  </si>
  <si>
    <t>ED_OPD511_00002</t>
  </si>
  <si>
    <t>ED_OPD511_00003</t>
  </si>
  <si>
    <t>ED_OPD511_00004</t>
  </si>
  <si>
    <t>ED_OPD511_00005</t>
  </si>
  <si>
    <t>ED_OPD511_00006</t>
  </si>
  <si>
    <t>ED_OPD512_00001</t>
  </si>
  <si>
    <t>ED_OPD512_00002</t>
  </si>
  <si>
    <t>ED_OPD512_00003</t>
  </si>
  <si>
    <t>ED_OPD512_00004</t>
  </si>
  <si>
    <t>ED_OPD513_00001</t>
  </si>
  <si>
    <t>ED_OPD513_00002</t>
  </si>
  <si>
    <t>ED_OPD513_00003</t>
  </si>
  <si>
    <t>ED_OPD513_00004</t>
  </si>
  <si>
    <t>ED_OPD513_00005</t>
  </si>
  <si>
    <t>ED_OPD513_00006</t>
  </si>
  <si>
    <t>ED_OPD513_00007</t>
  </si>
  <si>
    <t>ED_OPD513_00008</t>
  </si>
  <si>
    <t>ED_OPD514_00001</t>
  </si>
  <si>
    <t>ED_OPD514_00002</t>
  </si>
  <si>
    <t>ED_OPD514_00003</t>
  </si>
  <si>
    <t>ED_OPD514_00004</t>
  </si>
  <si>
    <t>ED_OPD514_00005</t>
  </si>
  <si>
    <t>ED_OPD521_00001</t>
  </si>
  <si>
    <t>ED_OPD521_00002</t>
  </si>
  <si>
    <t>ED_OPD521_00003</t>
  </si>
  <si>
    <t>ED_OPD521_00004</t>
  </si>
  <si>
    <t>ED_OPD521_00005</t>
  </si>
  <si>
    <t>ED_OPD521_00006</t>
  </si>
  <si>
    <t>ED_OPD522_00001</t>
  </si>
  <si>
    <t>ED_OPD522_00002</t>
  </si>
  <si>
    <t>ED_OPD522_00003</t>
  </si>
  <si>
    <t>ED_OPD522_00004</t>
  </si>
  <si>
    <t>ED_OPD523_00001</t>
  </si>
  <si>
    <t>ED_OPD523_00002</t>
  </si>
  <si>
    <t>ED_OPD523_00003</t>
  </si>
  <si>
    <t>ED_OPD523_00004</t>
  </si>
  <si>
    <t>ED_OPD523_00005</t>
  </si>
  <si>
    <t>ED_OPD524_00001</t>
  </si>
  <si>
    <t>ED_OPD524_00002</t>
  </si>
  <si>
    <t>ED_OPD531_00001</t>
  </si>
  <si>
    <t>ED_OPD531_00002</t>
  </si>
  <si>
    <t>ED_OPD531_00003</t>
  </si>
  <si>
    <t>ED_OPD531_00004</t>
  </si>
  <si>
    <t>ED_OPD531_00005</t>
  </si>
  <si>
    <t>ED_OPD531_00006</t>
  </si>
  <si>
    <t>ED_OPD532_00001</t>
  </si>
  <si>
    <t>ED_OPD532_00002</t>
  </si>
  <si>
    <t>ED_OPD532_00003</t>
  </si>
  <si>
    <t>ED_OPD532_00004</t>
  </si>
  <si>
    <t>ED_OPD532_00005</t>
  </si>
  <si>
    <t>ED_OPD532_00006</t>
  </si>
  <si>
    <t>ED_OPD533_00001</t>
  </si>
  <si>
    <t>ED_OPD533_00002</t>
  </si>
  <si>
    <t>ED_OPD533_00003</t>
  </si>
  <si>
    <t>ED_OPD533_00004</t>
  </si>
  <si>
    <t>ED_OPD533_00005</t>
  </si>
  <si>
    <t>ED_OPD533_00006</t>
  </si>
  <si>
    <t>ED_OPD534_00001</t>
  </si>
  <si>
    <t>ED_OPD534_00002</t>
  </si>
  <si>
    <t>ED_OPD534_00003</t>
  </si>
  <si>
    <t>ED_OPD534_00004</t>
  </si>
  <si>
    <t>ED_OPD534_00005</t>
  </si>
  <si>
    <t>ED_OPD534_00006</t>
  </si>
  <si>
    <t>ED_OPD535_00001</t>
  </si>
  <si>
    <t>ED_OPD535_00002</t>
  </si>
  <si>
    <t>ED_OPD535_00003</t>
  </si>
  <si>
    <t>ED_OPD535_00004</t>
  </si>
  <si>
    <t>ED_OPD535_00005</t>
  </si>
  <si>
    <t>ED_OPD535_00006</t>
  </si>
  <si>
    <t>ED_OPD535_00007</t>
  </si>
  <si>
    <t>ED_OPD535_00008</t>
  </si>
  <si>
    <t>ED_OPD535_00009</t>
  </si>
  <si>
    <t>ED_OPD535_00010</t>
  </si>
  <si>
    <t>ED_OPD535_00011</t>
  </si>
  <si>
    <t>ED_OPD535_00012</t>
  </si>
  <si>
    <t>ED_OPD535_00013</t>
  </si>
  <si>
    <t>ED_OPD536_00001</t>
  </si>
  <si>
    <t>ED_OPD536_00002</t>
  </si>
  <si>
    <t>ED_OPD537_00001</t>
  </si>
  <si>
    <t>ED_OPD537_00002</t>
  </si>
  <si>
    <t>ED_RAB410_00001</t>
  </si>
  <si>
    <t>ED_RAB410_00002</t>
  </si>
  <si>
    <t>ED_RAB410_00003</t>
  </si>
  <si>
    <t>ED_RAB410_00005</t>
  </si>
  <si>
    <t>ED_RAB410_00006</t>
  </si>
  <si>
    <t>ED_RAB410_00007</t>
  </si>
  <si>
    <t>ED_RAB421_00001</t>
  </si>
  <si>
    <t>ED_RAB421_00002</t>
  </si>
  <si>
    <t>ED_RAB421_00003</t>
  </si>
  <si>
    <t>ED_RAB421_00005</t>
  </si>
  <si>
    <t>ED_RAB421_00006</t>
  </si>
  <si>
    <t>ED_RAB421_00007</t>
  </si>
  <si>
    <t>ED_RAB422_00001</t>
  </si>
  <si>
    <t>ED_RAB422_00002</t>
  </si>
  <si>
    <t>ED_RAB422_00003</t>
  </si>
  <si>
    <t>ED_RAB422_00005</t>
  </si>
  <si>
    <t>ED_RAB422_00006</t>
  </si>
  <si>
    <t>ED_RAB422_00007</t>
  </si>
  <si>
    <t>ED_RAB423_00001</t>
  </si>
  <si>
    <t>ED_RAB423_00002</t>
  </si>
  <si>
    <t>ED_RAB423_00003</t>
  </si>
  <si>
    <t>ED_RAB423_00005</t>
  </si>
  <si>
    <t>ED_RAB423_00006</t>
  </si>
  <si>
    <t>ED_RAB423_00007</t>
  </si>
  <si>
    <t>ED_RAB424_00001</t>
  </si>
  <si>
    <t>ED_RAB424_00002</t>
  </si>
  <si>
    <t>ED_RAB424_00003</t>
  </si>
  <si>
    <t>ED_RAB424_00005</t>
  </si>
  <si>
    <t>ED_RAB424_00006</t>
  </si>
  <si>
    <t>ED_RAB424_00007</t>
  </si>
  <si>
    <t>ED_RAB425_00001</t>
  </si>
  <si>
    <t>ED_RAB425_00002</t>
  </si>
  <si>
    <t>ED_RAB425_00003</t>
  </si>
  <si>
    <t>ED_RAB425_00005</t>
  </si>
  <si>
    <t>ED_RAB425_00006</t>
  </si>
  <si>
    <t>ED_RAB425_00007</t>
  </si>
  <si>
    <t>ED_RAB426_00001</t>
  </si>
  <si>
    <t>ED_RAB426_00002</t>
  </si>
  <si>
    <t>ED_RAB426_00003</t>
  </si>
  <si>
    <t>ED_RAB426_00005</t>
  </si>
  <si>
    <t>ED_RAB426_00006</t>
  </si>
  <si>
    <t>ED_RAB426_00007</t>
  </si>
  <si>
    <t>ED_RAB428_00001</t>
  </si>
  <si>
    <t>ED_RAB428_00002</t>
  </si>
  <si>
    <t>ED_RAB428_00003</t>
  </si>
  <si>
    <t>ED_RAB428_00005</t>
  </si>
  <si>
    <t>ED_RAB428_00006</t>
  </si>
  <si>
    <t>ED_RAB428_00007</t>
  </si>
  <si>
    <t>ED_RAB429_00001</t>
  </si>
  <si>
    <t>ED_RAB429_00002</t>
  </si>
  <si>
    <t>ED_RAB429_00003</t>
  </si>
  <si>
    <t>ED_RAB429_00005</t>
  </si>
  <si>
    <t>ED_RAB429_00006</t>
  </si>
  <si>
    <t>ED_RAB429_00007</t>
  </si>
  <si>
    <t>ED_RAB4210_00001</t>
  </si>
  <si>
    <t>ED_RAB4210_00002</t>
  </si>
  <si>
    <t>ED_RAB4210_00003</t>
  </si>
  <si>
    <t>ED_RAB4210_00005</t>
  </si>
  <si>
    <t>ED_RAB4210_00006</t>
  </si>
  <si>
    <t>ED_RAB4210_00007</t>
  </si>
  <si>
    <t>ED_RAB430_00001</t>
  </si>
  <si>
    <t>ED_RAB430_00002</t>
  </si>
  <si>
    <t>ED_RAB430_00003</t>
  </si>
  <si>
    <t>ED_RAB430_00004</t>
  </si>
  <si>
    <t>ED_RAB430_00005</t>
  </si>
  <si>
    <t>ED_RAB430_00006</t>
  </si>
  <si>
    <t>ED_RAB430_00007</t>
  </si>
  <si>
    <t>ED_RAB430_00008</t>
  </si>
  <si>
    <t>ED_RAB430_00009</t>
  </si>
  <si>
    <t>ED_RAB430_00010</t>
  </si>
  <si>
    <t>ED_RAB430_00011</t>
  </si>
  <si>
    <t>ED_RAB441_00001</t>
  </si>
  <si>
    <t>ED_RAB441_00002</t>
  </si>
  <si>
    <t>ED_RAB441_00003</t>
  </si>
  <si>
    <t>ED_RAB441_00004</t>
  </si>
  <si>
    <t>ED_RAB441_00005</t>
  </si>
  <si>
    <t>ED_RAB441_00006</t>
  </si>
  <si>
    <t>ED_RAB441_00007</t>
  </si>
  <si>
    <t>ED_RAB441_00008</t>
  </si>
  <si>
    <t>ED_RAB441_00009</t>
  </si>
  <si>
    <t>ED_RAB442_00001</t>
  </si>
  <si>
    <t>ED_RAB442_00002</t>
  </si>
  <si>
    <t>ED_RAB442_00003</t>
  </si>
  <si>
    <t>ED_RAB442_00004</t>
  </si>
  <si>
    <t>ED_RAB442_00005</t>
  </si>
  <si>
    <t>ED_RAB442_00006</t>
  </si>
  <si>
    <t>ED_RAB442_00007</t>
  </si>
  <si>
    <t>ED_RAB442_00008</t>
  </si>
  <si>
    <t>ED_RAB442_00009</t>
  </si>
  <si>
    <t>ED_OPX312_C9999</t>
  </si>
  <si>
    <t>ED_REV210_00001</t>
  </si>
  <si>
    <t>ED_REV210_00002</t>
  </si>
  <si>
    <t>ED_REV210_00003</t>
  </si>
  <si>
    <t>ED_REV210_00004</t>
  </si>
  <si>
    <t>ED_REV210_00005</t>
  </si>
  <si>
    <t>ED_REV210_00006</t>
  </si>
  <si>
    <t>ED_REV210_00007</t>
  </si>
  <si>
    <t>ED_REV210_00008</t>
  </si>
  <si>
    <t>ED_REV210_00009</t>
  </si>
  <si>
    <t>ED_REV210_00010</t>
  </si>
  <si>
    <t>ED_REV210_00011</t>
  </si>
  <si>
    <t>ED_REV210_00012</t>
  </si>
  <si>
    <t>ED_REV210_00013</t>
  </si>
  <si>
    <t>ED_REV220_00001</t>
  </si>
  <si>
    <t>ED_REV220_00002</t>
  </si>
  <si>
    <t>ED_REV220_00003</t>
  </si>
  <si>
    <t>ED_REV220_00004</t>
  </si>
  <si>
    <t>ED_REV220_00005</t>
  </si>
  <si>
    <t>ED_REV220_00006</t>
  </si>
  <si>
    <t>ED_REV230_00001</t>
  </si>
  <si>
    <t>ED_REV230_00002</t>
  </si>
  <si>
    <t>ED_REV230_00003</t>
  </si>
  <si>
    <t>ED_REV230_00004</t>
  </si>
  <si>
    <t>ED_REV230_00005</t>
  </si>
  <si>
    <t>ED_OPD510_99999</t>
  </si>
  <si>
    <t>Sector</t>
  </si>
  <si>
    <t>Electricity</t>
  </si>
  <si>
    <t>Segment</t>
  </si>
  <si>
    <t>Distribution</t>
  </si>
  <si>
    <t>Source</t>
  </si>
  <si>
    <t>Regulatory Year Ending</t>
  </si>
  <si>
    <t>Reporting Period Type</t>
  </si>
  <si>
    <t>RIN Type</t>
  </si>
  <si>
    <t>EB</t>
  </si>
  <si>
    <t>Security Classification</t>
  </si>
  <si>
    <t>Public</t>
  </si>
  <si>
    <t>Backcast or Actual</t>
  </si>
  <si>
    <t>Version</t>
  </si>
  <si>
    <t>Amendment Reason</t>
  </si>
  <si>
    <t>Table 3.7.1 Density factors</t>
  </si>
  <si>
    <t>Table 3.7.2 Terrain factors</t>
  </si>
  <si>
    <t>Table 3.7.3 Service area factors</t>
  </si>
  <si>
    <t>Table 3.7.4 Weather stations</t>
  </si>
  <si>
    <t>Table 3.6.1 Reliability</t>
  </si>
  <si>
    <t>Table 3.6.1.1 Inclusive of MEDs</t>
  </si>
  <si>
    <t>Table 3.6.1.2 Exclusive of MEDs</t>
  </si>
  <si>
    <t>Table 3.6.2 Energy not supplied</t>
  </si>
  <si>
    <t>Table 3.6.3 System losses</t>
  </si>
  <si>
    <t>Table 3.6.4 Capacity utilisation</t>
  </si>
  <si>
    <t>Table 3.5.1 Network Capacities Variables</t>
  </si>
  <si>
    <t>Table 3.5.1.1 Overhead network length of circuit at each voltage</t>
  </si>
  <si>
    <t>Table 3.5.1.2 Underground network circuit length at each voltage</t>
  </si>
  <si>
    <t>Table 3.5.1.3 Estimated overhead network weighted average MVA capacity by voltage class</t>
  </si>
  <si>
    <t>Table 3.5.1.4 Estimated underground network weighted average MVA capacity by voltage class</t>
  </si>
  <si>
    <t>Table 3.5.2.1 Distribution transformer total installed capacity</t>
  </si>
  <si>
    <t>Table 3.5.2.2 Zone substation transformer capacity</t>
  </si>
  <si>
    <t>Table 3.5.2.3 Distribution - other transformer capacity</t>
  </si>
  <si>
    <t>Table 3.4.1 Energy delivery</t>
  </si>
  <si>
    <t>Table 3.4.1.1 Energy grouping - delivery by chargeable quantity</t>
  </si>
  <si>
    <t>Table 3.4.1.2 Energy - received from TNSP and other DNSPs by time of receipt</t>
  </si>
  <si>
    <t>Table 3.4.1.3 Energy - received into DNSP system from embedded generation by time of receipt</t>
  </si>
  <si>
    <t>Table 3.4.1.4 Energy grouping  - customer type or class</t>
  </si>
  <si>
    <t>Table 3.4.2.1 Distribution customer numbers by customer type or class</t>
  </si>
  <si>
    <t>Table 3.4.2.2 Distribution customer numbers by location on the network</t>
  </si>
  <si>
    <t xml:space="preserve">Table 3.4.2.3 Distribution customer numbers by Aurora Feeder categories </t>
  </si>
  <si>
    <t>Table 3.4.2.4 Unmetered Supply</t>
  </si>
  <si>
    <t>Table 3.4.3.1 Annual system maximum demand characteristics at the zone substation level – MW measure</t>
  </si>
  <si>
    <t>Table 3.4.3.2 Annual system maximum demand characteristics at the transmission connection point – MW measure</t>
  </si>
  <si>
    <t>Table 3.4.3.3 Annual system maximum demand characteristics at the zone substation level – MVA measure</t>
  </si>
  <si>
    <t>Table 3.4.3.4 Annual system maximum demand characteristics at the transmission connection point – MVA measure</t>
  </si>
  <si>
    <t>Table 3.4.3.5 Power factor conversion between MVA and MW</t>
  </si>
  <si>
    <t>Table 3.4.3.6 Demand supplied (for customers charged on this basis) – MW measure</t>
  </si>
  <si>
    <t>Table 3.4.3.7 Demand supplied (for customers charged on this basis) – MVA measure</t>
  </si>
  <si>
    <t>Table 3.3.1 Regulatory Asset Base Values</t>
  </si>
  <si>
    <t>Table 3.3.2 Asset value roll forward</t>
  </si>
  <si>
    <t>Table 3.3.3 Total disaggregated RAB asset values</t>
  </si>
  <si>
    <t xml:space="preserve">Table 3.3.4 Asset lives  </t>
  </si>
  <si>
    <t>Table 3.3.4.1 Asset Lives – estimated service life of new assets</t>
  </si>
  <si>
    <t>Table 3.3.4.2 Asset Lives – estimated residual service life</t>
  </si>
  <si>
    <t>Table 3.2.1 Opex categories</t>
  </si>
  <si>
    <t>Table 3.2.1.1 Current opex categories  and cost allocations</t>
  </si>
  <si>
    <t>Table 3.2.1.2A Historical opex categories and cost allocations</t>
  </si>
  <si>
    <t>Table 3.2.1.2B Historical opex categories and cost allocations</t>
  </si>
  <si>
    <t>Table 3.2.1.2C Historical opex categories and cost allocations</t>
  </si>
  <si>
    <t>Table 3.2.2 Opex consistency</t>
  </si>
  <si>
    <t>Table 3.2.2.1  Opex consistency - current cost allocation approach</t>
  </si>
  <si>
    <t>Table 3.2.2.2  Opex consistency - historical cost allocation approaches</t>
  </si>
  <si>
    <t>Table 3.2.4 Opex for high voltage customers</t>
  </si>
  <si>
    <t>Table 3.1.1 Revenue grouping by chargeable quantity</t>
  </si>
  <si>
    <t>Table 3.1.2 Revenue grouping by Customer type or class</t>
  </si>
  <si>
    <t>Table 3.1.3 Revenue (penalties) allowed (deducted) through incentive schemes</t>
  </si>
  <si>
    <t>For overhead network assets less than 33 kV:</t>
  </si>
  <si>
    <t>For underground network assets less than 33 kV:</t>
  </si>
  <si>
    <t>For overhead network assets 33 kV and above:</t>
  </si>
  <si>
    <t>For underground network assets 33 kV and above:</t>
  </si>
  <si>
    <t>Overhead assets 33 kV and above (wires and towers / poles etc)</t>
  </si>
  <si>
    <t>Underground assets 33 kV and above (cables, ducts etc)</t>
  </si>
  <si>
    <t>Overhead network assets less than 33 kV (wires and poles)</t>
  </si>
  <si>
    <t>Underground network assets less than 33 kV (cables)</t>
  </si>
  <si>
    <t xml:space="preserve">Overhead network assets 33 kV and above (wires and towers / poles etc) </t>
  </si>
  <si>
    <t>Underground network assets 33 kV and above(cables, ducts etc)</t>
  </si>
  <si>
    <t>Underground network assets 33 kV and above (cables, ducts etc)</t>
  </si>
  <si>
    <t xml:space="preserve"> kVA / customer</t>
  </si>
  <si>
    <t>3.1 Revenue worksheet</t>
  </si>
  <si>
    <t>3.2 Opex worksheet</t>
  </si>
  <si>
    <t>3.3 Assets (RAB) worksheet</t>
  </si>
  <si>
    <t>3.4 Operational data worksheet</t>
  </si>
  <si>
    <t>Table 3.4.2 Customer numbers</t>
  </si>
  <si>
    <t>Table 3.4.3 System demand</t>
  </si>
  <si>
    <t>3.5 Physical Assets worksheet</t>
  </si>
  <si>
    <t>Table 3.5.2 Transformer Capacities Variables</t>
  </si>
  <si>
    <t>Table 3.5.3 Public lighting</t>
  </si>
  <si>
    <t>3.6 Quality of services worksheet</t>
  </si>
  <si>
    <t>3.7 Operating environment factors worksheet</t>
  </si>
  <si>
    <t>Average power factor conversion for SWER lines</t>
  </si>
  <si>
    <t>Average power factor conversion for low voltage distribution lines</t>
  </si>
  <si>
    <t>70064651029</t>
  </si>
  <si>
    <t>Calendar</t>
  </si>
  <si>
    <t>$000's</t>
  </si>
  <si>
    <t>United Energy</t>
  </si>
  <si>
    <t>Vic</t>
  </si>
  <si>
    <t>Reporting</t>
  </si>
  <si>
    <t>Consolidated</t>
  </si>
  <si>
    <t>CERBERUS</t>
  </si>
  <si>
    <t>no</t>
  </si>
  <si>
    <t>FRANKSTON</t>
  </si>
  <si>
    <t>SCORESBY</t>
  </si>
  <si>
    <t>ED_RAB410_00004</t>
  </si>
  <si>
    <t>ED_RAB421_00004</t>
  </si>
  <si>
    <t>ED_RAB422_00004</t>
  </si>
  <si>
    <t>ED_RAB423_00004</t>
  </si>
  <si>
    <t>ED_RAB424_00004</t>
  </si>
  <si>
    <t>ED_RAB425_00004</t>
  </si>
  <si>
    <t>ED_RAB426_00004</t>
  </si>
  <si>
    <t>ED_RAB427_00001</t>
  </si>
  <si>
    <t>ED_RAB427_00002</t>
  </si>
  <si>
    <t>ED_RAB427_00003</t>
  </si>
  <si>
    <t>ED_RAB427_00004</t>
  </si>
  <si>
    <t>ED_RAB427_00005</t>
  </si>
  <si>
    <t>ED_RAB428_00004</t>
  </si>
  <si>
    <t>ED_RAB429_00004</t>
  </si>
  <si>
    <t>ED_RAB4210_00004</t>
  </si>
  <si>
    <t>ED_RAB430_00012</t>
  </si>
  <si>
    <t>ED_RAB430_00013</t>
  </si>
  <si>
    <t>Closing value</t>
  </si>
  <si>
    <t>Data in these columns used for data validation and database purposes.</t>
  </si>
  <si>
    <t>Date last modified:</t>
  </si>
  <si>
    <t>14 April 2015</t>
  </si>
  <si>
    <t>merged cell C46/47</t>
  </si>
  <si>
    <t>17 April 2015</t>
  </si>
  <si>
    <t>adjusted dms_RYE to automate based on dms_Model (NB: EB &amp; CA refer to CRCP_y5)</t>
  </si>
  <si>
    <t>14 May 2015</t>
  </si>
  <si>
    <t>adapted this cover for use in CA &amp; EB RINs</t>
  </si>
  <si>
    <t>October 2015</t>
  </si>
  <si>
    <t>added full Trading Name for worksheet headings</t>
  </si>
  <si>
    <t>added new formulas for distinguishing RYE for RFM vs PTRM and Reset (set by ref to CRCP or FRCP) and EB &amp; CA (set by ref to CRY)</t>
  </si>
  <si>
    <t>USES NAMED RANGES FLAG</t>
  </si>
  <si>
    <t>yes</t>
  </si>
  <si>
    <t>dms_Defined_Names_Used</t>
  </si>
  <si>
    <t xml:space="preserve">dms_Model_List </t>
  </si>
  <si>
    <t xml:space="preserve">dms_Worksheet_List </t>
  </si>
  <si>
    <t>dms_RYE_Formula_Result</t>
  </si>
  <si>
    <t>ARR</t>
  </si>
  <si>
    <t>ANNUAL REPORTING STATEMENT</t>
  </si>
  <si>
    <t>CA</t>
  </si>
  <si>
    <t>CATEGORY ANALYSIS</t>
  </si>
  <si>
    <t>CAM/Service change Backcast</t>
  </si>
  <si>
    <t>REGULATORY REPORTING STATEMENT</t>
  </si>
  <si>
    <t>CPI</t>
  </si>
  <si>
    <t>ECONOMIC BENCHMARKING</t>
  </si>
  <si>
    <t>=LEFT(CRY,2)&amp;RIGHT(CRY,2)</t>
  </si>
  <si>
    <t>PTRM</t>
  </si>
  <si>
    <t>POST TAX REVENUE MODEL</t>
  </si>
  <si>
    <t>Reset</t>
  </si>
  <si>
    <t>RFM</t>
  </si>
  <si>
    <t>ROLL FORWARD MODEL</t>
  </si>
  <si>
    <t>WACC</t>
  </si>
  <si>
    <t>WEIGHTED AVERAGE COST OF CAPITAL</t>
  </si>
  <si>
    <t>dms_TradingName_List</t>
  </si>
  <si>
    <t>dms_TradingNameFull_List</t>
  </si>
  <si>
    <t>dms_ABN_List</t>
  </si>
  <si>
    <t>dms_JurisdictionList</t>
  </si>
  <si>
    <t>dms_Sector_List</t>
  </si>
  <si>
    <t>dms_Segment_List</t>
  </si>
  <si>
    <t>dms_FormControl_List</t>
  </si>
  <si>
    <t>dms_RPT_List</t>
  </si>
  <si>
    <t>dms_RPTMonth_List</t>
  </si>
  <si>
    <t>dms_CRCPlength_List</t>
  </si>
  <si>
    <t>dms_FRCPlength_List</t>
  </si>
  <si>
    <t>dms_663_List</t>
  </si>
  <si>
    <t>dms_DeterminationRef_List</t>
  </si>
  <si>
    <t>ActewAGL Distribution</t>
  </si>
  <si>
    <t>ACT</t>
  </si>
  <si>
    <t>Revenue cap</t>
  </si>
  <si>
    <t>December</t>
  </si>
  <si>
    <t>2014-19 Distribution Determination</t>
  </si>
  <si>
    <t>ActewAGL Distribution (Tx Assets)</t>
  </si>
  <si>
    <t>distribution determination</t>
  </si>
  <si>
    <t>AGN</t>
  </si>
  <si>
    <t>SA</t>
  </si>
  <si>
    <t>Gas</t>
  </si>
  <si>
    <t>Financial</t>
  </si>
  <si>
    <t>June</t>
  </si>
  <si>
    <t>Ausgrid</t>
  </si>
  <si>
    <t>NSW</t>
  </si>
  <si>
    <t>Ausgrid (Tx Assets)</t>
  </si>
  <si>
    <t>AusNet (D)</t>
  </si>
  <si>
    <t>AusNet Services (D)</t>
  </si>
  <si>
    <t>2016-20 Distribution Determination</t>
  </si>
  <si>
    <t>VIC</t>
  </si>
  <si>
    <t>AusNet (T)</t>
  </si>
  <si>
    <t>Transmission</t>
  </si>
  <si>
    <t>transmission determination</t>
  </si>
  <si>
    <t>Australian Distribution Co.</t>
  </si>
  <si>
    <t>-</t>
  </si>
  <si>
    <t>Australian Transmission Co.</t>
  </si>
  <si>
    <t>CitiPower</t>
  </si>
  <si>
    <t>Directlink</t>
  </si>
  <si>
    <t>Qld</t>
  </si>
  <si>
    <t>ElectraNet</t>
  </si>
  <si>
    <t>Endeavour Energy</t>
  </si>
  <si>
    <t>Energex</t>
  </si>
  <si>
    <t>2015-20 Distribution Determination</t>
  </si>
  <si>
    <t>Ergon Energy</t>
  </si>
  <si>
    <t>Essential Energy</t>
  </si>
  <si>
    <t>Jemena Electricity</t>
  </si>
  <si>
    <t>Murraylink</t>
  </si>
  <si>
    <t>Powercor Australia</t>
  </si>
  <si>
    <t>Powerlink</t>
  </si>
  <si>
    <t>Queensland Electricity Transmission Corporation Limited trading as Powerlink Queensland</t>
  </si>
  <si>
    <t>Qld,SA &amp;ACT Gas Reset</t>
  </si>
  <si>
    <t>?</t>
  </si>
  <si>
    <t>x</t>
  </si>
  <si>
    <t>n/a</t>
  </si>
  <si>
    <t>SA Power Networks</t>
  </si>
  <si>
    <t>TasNetworks (D)</t>
  </si>
  <si>
    <t>Tas</t>
  </si>
  <si>
    <t>TasNetworks (T)</t>
  </si>
  <si>
    <t>March</t>
  </si>
  <si>
    <t>TransGrid</t>
  </si>
  <si>
    <t>MULGRAVE</t>
  </si>
  <si>
    <t>3170</t>
  </si>
  <si>
    <t>MOUNT WAVERLEY</t>
  </si>
  <si>
    <t>Victorian DNSP Backcasting</t>
  </si>
  <si>
    <t xml:space="preserve">Victorian DNSP Reset </t>
  </si>
  <si>
    <t>dms_SourceList</t>
  </si>
  <si>
    <t>dms_FormControl_Choices</t>
  </si>
  <si>
    <t>dms_FRCPlength_Num_List</t>
  </si>
  <si>
    <t>dms_FinalYear_List</t>
  </si>
  <si>
    <t>dms_CRCPlength_Num_List</t>
  </si>
  <si>
    <t>dms_CFinalYear_List</t>
  </si>
  <si>
    <t>dms_0203_ProjectType</t>
  </si>
  <si>
    <t>After appeal</t>
  </si>
  <si>
    <t>FRCP_y1</t>
  </si>
  <si>
    <t>CRCP_y1</t>
  </si>
  <si>
    <t>New line on new route - single circuit</t>
  </si>
  <si>
    <t/>
  </si>
  <si>
    <t>Draft decision</t>
  </si>
  <si>
    <t>Revenue yield</t>
  </si>
  <si>
    <t>FRCP_y2</t>
  </si>
  <si>
    <t>CRCP_y2</t>
  </si>
  <si>
    <t>New line on new route - dual circuit</t>
  </si>
  <si>
    <t>Final decision</t>
  </si>
  <si>
    <t>Weighted average price cap</t>
  </si>
  <si>
    <t>FRCP_y3</t>
  </si>
  <si>
    <t>CRCP_y3</t>
  </si>
  <si>
    <t>New line on new route - other</t>
  </si>
  <si>
    <t>Pass through decision</t>
  </si>
  <si>
    <t>FRCP_y4</t>
  </si>
  <si>
    <t>CRCP_y4</t>
  </si>
  <si>
    <t>Line rebuild over existing route - single circuit</t>
  </si>
  <si>
    <t>PTRM annual update</t>
  </si>
  <si>
    <t>FRCP_y5</t>
  </si>
  <si>
    <t>CRCP_y5</t>
  </si>
  <si>
    <t>Line rebuild over existing route - dual circuit</t>
  </si>
  <si>
    <t>PTRM interim update 1</t>
  </si>
  <si>
    <t>FRCP_y6</t>
  </si>
  <si>
    <t>CRCP_y6</t>
  </si>
  <si>
    <t>Reconductor - Single circuit</t>
  </si>
  <si>
    <t>PTRM interim update 2</t>
  </si>
  <si>
    <t>FRCP_y7</t>
  </si>
  <si>
    <t>CRCP_y7</t>
  </si>
  <si>
    <t>Reconductor - Dual circuit</t>
  </si>
  <si>
    <t>PTRM interim update 3</t>
  </si>
  <si>
    <t>FRCP_y8</t>
  </si>
  <si>
    <t>CRCP_y8</t>
  </si>
  <si>
    <t>PTRM interim update 4</t>
  </si>
  <si>
    <t>FRCP_y9</t>
  </si>
  <si>
    <t>CRCP_y9</t>
  </si>
  <si>
    <t>Regulatory proposal</t>
  </si>
  <si>
    <t>FRCP_y10</t>
  </si>
  <si>
    <t>CRCP_y10</t>
  </si>
  <si>
    <t>Revised regulatory proposal</t>
  </si>
  <si>
    <t>RFM annual update</t>
  </si>
  <si>
    <t>WACC annual update</t>
  </si>
  <si>
    <t>dms_CRY_ListF</t>
  </si>
  <si>
    <t>dms_CRY_ListC</t>
  </si>
  <si>
    <t>2005-06</t>
  </si>
  <si>
    <t>2006-07</t>
  </si>
  <si>
    <t>2007-08</t>
  </si>
  <si>
    <t>2008</t>
  </si>
  <si>
    <t>2008-09</t>
  </si>
  <si>
    <t>2009</t>
  </si>
  <si>
    <t>2009-10</t>
  </si>
  <si>
    <t>2010</t>
  </si>
  <si>
    <t>2010-11</t>
  </si>
  <si>
    <t>2011</t>
  </si>
  <si>
    <t>2011-12</t>
  </si>
  <si>
    <t>2012</t>
  </si>
  <si>
    <t>2012-13</t>
  </si>
  <si>
    <t>2013</t>
  </si>
  <si>
    <t>2013-14</t>
  </si>
  <si>
    <t>2014</t>
  </si>
  <si>
    <t>2014-15</t>
  </si>
  <si>
    <t>2015</t>
  </si>
  <si>
    <t>2015-16</t>
  </si>
  <si>
    <t>2016</t>
  </si>
  <si>
    <t>2016-17</t>
  </si>
  <si>
    <t>2017</t>
  </si>
  <si>
    <t>2017-18</t>
  </si>
  <si>
    <t>2018</t>
  </si>
  <si>
    <t>2018-19</t>
  </si>
  <si>
    <t>2019-20</t>
  </si>
  <si>
    <t>2020</t>
  </si>
  <si>
    <t>HIDE THIS COLUMN</t>
  </si>
  <si>
    <t>BUSINESS &amp; OTHER DETAILS</t>
  </si>
  <si>
    <t>Instructions</t>
  </si>
  <si>
    <r>
      <t xml:space="preserve">Complete the following business details regulatory template </t>
    </r>
    <r>
      <rPr>
        <b/>
        <sz val="10"/>
        <color indexed="10"/>
        <rFont val="Arial"/>
        <family val="2"/>
      </rPr>
      <t>before</t>
    </r>
    <r>
      <rPr>
        <sz val="11"/>
        <color theme="1"/>
        <rFont val="Calibri"/>
        <family val="2"/>
        <scheme val="minor"/>
      </rPr>
      <t xml:space="preserve"> entering data or values in any other regulatory template. This regulatory template is linked to other cells within the spreadsheet and automatically generates column headings.</t>
    </r>
  </si>
  <si>
    <t>SUBMISSION PARTICULARS INPUT SHEETS</t>
  </si>
  <si>
    <t>ENTITY DETAILS</t>
  </si>
  <si>
    <t>Short name</t>
  </si>
  <si>
    <t>ACN / ABN</t>
  </si>
  <si>
    <t>Address 1</t>
  </si>
  <si>
    <t>Address 2</t>
  </si>
  <si>
    <t>p/code</t>
  </si>
  <si>
    <t>Postal address</t>
  </si>
  <si>
    <t>Current regulatory year</t>
  </si>
  <si>
    <t>Data quality (actual, estimate, public, consolidated)</t>
  </si>
  <si>
    <t>Amended RIN submission - amendment reason</t>
  </si>
  <si>
    <t>EBSS - First application of scheme in forthcoming period?</t>
  </si>
  <si>
    <t>No</t>
  </si>
  <si>
    <t>HIDE THIS</t>
  </si>
  <si>
    <t>dms_Sector</t>
  </si>
  <si>
    <t>=INDEX(dms_Sector_List,MATCH(dms_TradingName,dms_TradingName_List))</t>
  </si>
  <si>
    <t>dms_Segment</t>
  </si>
  <si>
    <t>=INDEX(dms_Segment_List,MATCH(dms_TradingName,dms_TradingName_List))</t>
  </si>
  <si>
    <t>dms_RYE</t>
  </si>
  <si>
    <t>=INDEX(dms_RYE_Formula_Result,MATCH(dms_Model,dms_Model_List))</t>
  </si>
  <si>
    <t>dms_RPT</t>
  </si>
  <si>
    <t>=INDEX(dms_RPT_List,MATCH(dms_TradingName,dms_TradingName_List))</t>
  </si>
  <si>
    <t>Model or RIN Type</t>
  </si>
  <si>
    <t>dms_Model</t>
  </si>
  <si>
    <t>dms_Classification</t>
  </si>
  <si>
    <t>Template - version no.</t>
  </si>
  <si>
    <t>dms_TemplateNumber</t>
  </si>
  <si>
    <t>Dollar $ real month</t>
  </si>
  <si>
    <t>dms_RPTMonth</t>
  </si>
  <si>
    <t>=INDEX(dms_RPTMonth_List,MATCH(dms_TradingName,dms_TradingName_List))</t>
  </si>
  <si>
    <t>Dollar $ real  (the last month before the FRCP_y1)</t>
  </si>
  <si>
    <t>dms_DollarReal</t>
  </si>
  <si>
    <t>=CONCATENATE(dms_RPTMonth),VALUE((LEFT(FRCP_y1,2))&amp;RIGHT(FRCP_y1,2))-1)</t>
  </si>
  <si>
    <t>Form of control</t>
  </si>
  <si>
    <t>dms_FormControl</t>
  </si>
  <si>
    <t>=INDEX(dms_FormControl_List,MATCH(dms_TradingName,dms_TradingName_List))</t>
  </si>
  <si>
    <t>RIN response - version no.</t>
  </si>
  <si>
    <t>dms_RINversion</t>
  </si>
  <si>
    <t>Jurisdiction</t>
  </si>
  <si>
    <t>dms_Jurisdiction</t>
  </si>
  <si>
    <t>=INDEX(dms_JurisdictionList,MATCH(dms_TradingName,dms_TradingName_List))</t>
  </si>
  <si>
    <t>Length of current reg control period</t>
  </si>
  <si>
    <t>dms_CRCPlength</t>
  </si>
  <si>
    <t>=INDEX(dms_CRCPlength_List,MATCH(dms_TradingName,dms_TradingName_List))</t>
  </si>
  <si>
    <t>Length of forthcoming reg control period</t>
  </si>
  <si>
    <t>dms_FRCPlength</t>
  </si>
  <si>
    <t>=INDEX(dms_FRCPlength_List,MATCH(dms_TradingName,dms_TradingName_List))</t>
  </si>
  <si>
    <t>FRCP length in years</t>
  </si>
  <si>
    <t>dms_FRCPlength_Num</t>
  </si>
  <si>
    <t>FRCP Final Year Reference</t>
  </si>
  <si>
    <t>dms_FRCP_FinalYear</t>
  </si>
  <si>
    <t>=INDEX(dms_FinalYear_List,MATCH(dms_FRCPlength_Num,dms_FRCPlength_Num_List))</t>
  </si>
  <si>
    <t>FRCP Final Year</t>
  </si>
  <si>
    <t>dms_FRCP_FinalYear_Num</t>
  </si>
  <si>
    <t>=INDIRECT(dms_FRCP_FinalYear)</t>
  </si>
  <si>
    <t>CRCP length in years</t>
  </si>
  <si>
    <t>dms_CRCPlength_Num</t>
  </si>
  <si>
    <t>CRCP Final Year Reference</t>
  </si>
  <si>
    <t>dms_CRCP_FinalYear</t>
  </si>
  <si>
    <t>=INDEX(dms_CFinalYear_List,MATCH(dms_CRCPlength_Num,dms_CRCPlength_Num_List))</t>
  </si>
  <si>
    <t>CRCP Final Year</t>
  </si>
  <si>
    <t>dms_CRCP_FinalYear_Num</t>
  </si>
  <si>
    <t>=INDIRECT(dms_CRCP_FinalYear)</t>
  </si>
  <si>
    <t>Table 6.6.3 - Public lighting repair - no. business days</t>
  </si>
  <si>
    <t>dms_663</t>
  </si>
  <si>
    <t>Distribution Determination Reference</t>
  </si>
  <si>
    <t xml:space="preserve">Backcast templates only - unit of measure </t>
  </si>
  <si>
    <t>$0s</t>
  </si>
  <si>
    <t>dms_Backcast_UOM</t>
  </si>
  <si>
    <r>
      <t xml:space="preserve">If the cover sheet is for </t>
    </r>
    <r>
      <rPr>
        <b/>
        <sz val="11"/>
        <color theme="5" tint="-0.249977111117893"/>
        <rFont val="Arial"/>
        <family val="2"/>
      </rPr>
      <t>Backcast</t>
    </r>
    <r>
      <rPr>
        <sz val="11"/>
        <color theme="5" tint="-0.249977111117893"/>
        <rFont val="Arial"/>
        <family val="2"/>
      </rPr>
      <t xml:space="preserve"> data ensure to apply </t>
    </r>
    <r>
      <rPr>
        <b/>
        <sz val="11"/>
        <color theme="5" tint="-0.249977111117893"/>
        <rFont val="Arial"/>
        <family val="2"/>
      </rPr>
      <t xml:space="preserve">dms_Backcast_UOM </t>
    </r>
    <r>
      <rPr>
        <sz val="11"/>
        <color theme="5" tint="-0.249977111117893"/>
        <rFont val="Arial"/>
        <family val="2"/>
      </rPr>
      <t>named range to this field. Otherwise, do not apply this named range.</t>
    </r>
  </si>
  <si>
    <t>EB/CA Unit of Measure for Monetary Values</t>
  </si>
  <si>
    <t>$0's</t>
  </si>
  <si>
    <t>dms_dollar_nom_UOM</t>
  </si>
  <si>
    <t>If the cover sheet is attached to an EB files make sure this field is set</t>
  </si>
  <si>
    <t>discard this record?</t>
  </si>
  <si>
    <t>NO</t>
  </si>
  <si>
    <t>dms_DISCARD</t>
  </si>
  <si>
    <t>If record is to be discarded from DB set this flag to YES</t>
  </si>
  <si>
    <t>DOPEX0101</t>
  </si>
  <si>
    <t>Routine</t>
  </si>
  <si>
    <t>$'000</t>
  </si>
  <si>
    <t>DOPEX0102</t>
  </si>
  <si>
    <t>Condition based</t>
  </si>
  <si>
    <t>DOPEX0103</t>
  </si>
  <si>
    <t>Emergency</t>
  </si>
  <si>
    <t>DOPEX0104</t>
  </si>
  <si>
    <t>SCADA/Network Control</t>
  </si>
  <si>
    <t>DOPEX0105</t>
  </si>
  <si>
    <t>Other - SCS (a)</t>
  </si>
  <si>
    <t>DOPEX0106</t>
  </si>
  <si>
    <t>Metering RBPC</t>
  </si>
  <si>
    <t>DOPEX0107</t>
  </si>
  <si>
    <t>Public Lighting</t>
  </si>
  <si>
    <t>DOPEX0108</t>
  </si>
  <si>
    <t>Alternative Control - Other</t>
  </si>
  <si>
    <t>DOPEX0109</t>
  </si>
  <si>
    <t>Negotaited Services</t>
  </si>
  <si>
    <t>DOPEX0110</t>
  </si>
  <si>
    <t>Network Operating Costs</t>
  </si>
  <si>
    <t>DOPEX0111</t>
  </si>
  <si>
    <t>Billing &amp; Revenue Collection</t>
  </si>
  <si>
    <t>DOPEX0112</t>
  </si>
  <si>
    <t>Advertising/Marketing</t>
  </si>
  <si>
    <t>DOPEX0113</t>
  </si>
  <si>
    <t>Customer Service</t>
  </si>
  <si>
    <t>DOPEX0114</t>
  </si>
  <si>
    <t>Regulatory</t>
  </si>
  <si>
    <t>DOPEX0115</t>
  </si>
  <si>
    <t>Regulatory Reset</t>
  </si>
  <si>
    <t>DOPEX0116</t>
  </si>
  <si>
    <t>IT</t>
  </si>
  <si>
    <t>DOPEX0117</t>
  </si>
  <si>
    <t>Licence fee</t>
  </si>
  <si>
    <t>DOPEX0118</t>
  </si>
  <si>
    <t>GSL payments</t>
  </si>
  <si>
    <t>DOPEX0119</t>
  </si>
  <si>
    <t>Non-network alternatives costs</t>
  </si>
  <si>
    <t>DOPEX0120</t>
  </si>
  <si>
    <t>Debt raising costs</t>
  </si>
  <si>
    <t>DOPEX0121</t>
  </si>
  <si>
    <t>Other - Standard Control Services (a,b)</t>
  </si>
  <si>
    <t>DOPEX0101A</t>
  </si>
  <si>
    <t>Subtransmission</t>
  </si>
  <si>
    <t>DOPEX0102A</t>
  </si>
  <si>
    <t>CBD</t>
  </si>
  <si>
    <t>DOPEX0103A</t>
  </si>
  <si>
    <t>DOPEX0104A</t>
  </si>
  <si>
    <t>Rural – short</t>
  </si>
  <si>
    <t>DOPEX0105A</t>
  </si>
  <si>
    <t>Rural – long</t>
  </si>
  <si>
    <t>DOPEX0106A</t>
  </si>
  <si>
    <t>Metering - excluded services</t>
  </si>
  <si>
    <t>DOPEX0107A</t>
  </si>
  <si>
    <t>METERING - RBPC</t>
  </si>
  <si>
    <t>DOPEX0108A</t>
  </si>
  <si>
    <t>DOPEX0109A</t>
  </si>
  <si>
    <t>SCADA/Network control</t>
  </si>
  <si>
    <t>DOPEX0110A</t>
  </si>
  <si>
    <t xml:space="preserve">Other </t>
  </si>
  <si>
    <t>DOPEX0111A</t>
  </si>
  <si>
    <t>Network operating costs</t>
  </si>
  <si>
    <t>DOPEX0112A</t>
  </si>
  <si>
    <t>Meter data services</t>
  </si>
  <si>
    <t>DOPEX0113A</t>
  </si>
  <si>
    <t>DOPEX0114A</t>
  </si>
  <si>
    <t>DOPEX0115A</t>
  </si>
  <si>
    <t>DOPEX0116A</t>
  </si>
  <si>
    <t>DOPEX0117A</t>
  </si>
  <si>
    <t>DOPEX0118A</t>
  </si>
  <si>
    <t>DOPEX0119A</t>
  </si>
  <si>
    <t>DOPEX0120A</t>
  </si>
  <si>
    <t>DOPEX0121A</t>
  </si>
  <si>
    <t>DOPEX0122A</t>
  </si>
  <si>
    <t>DOPEX0123A</t>
  </si>
  <si>
    <t>DOPEX0124A</t>
  </si>
  <si>
    <t>DOPEX0125A</t>
  </si>
  <si>
    <t>DOPEX0126A</t>
  </si>
  <si>
    <t>DOPEX0127A</t>
  </si>
  <si>
    <t>DOPEX0128A</t>
  </si>
  <si>
    <t>DOPEX0129A</t>
  </si>
  <si>
    <t>DOPEX0130A</t>
  </si>
  <si>
    <t>DOPEX0131A</t>
  </si>
  <si>
    <t>DOPEX0132A</t>
  </si>
  <si>
    <t>DOPEX0133A</t>
  </si>
  <si>
    <t>DOPEX0134A</t>
  </si>
  <si>
    <t>DOPEX0135A</t>
  </si>
  <si>
    <t>DOPEX0136A</t>
  </si>
  <si>
    <t>DOPEX0137A</t>
  </si>
  <si>
    <t>DOPEX0138A</t>
  </si>
  <si>
    <t>DOPEX0139A</t>
  </si>
  <si>
    <t>DOPEX0140A</t>
  </si>
  <si>
    <t>DOPEX0141A</t>
  </si>
  <si>
    <t>December 2013</t>
  </si>
  <si>
    <t>Submission Date</t>
  </si>
  <si>
    <t>dms_SubmissionDate</t>
  </si>
  <si>
    <t>CRCP Final Year Result</t>
  </si>
  <si>
    <t>dms_CRCP_FinalYear_Result</t>
  </si>
  <si>
    <t>value of capital contributions or contributed assets (included in the above)</t>
  </si>
  <si>
    <t>Overhead distribution assets</t>
  </si>
  <si>
    <t>Underground distribution assets</t>
  </si>
  <si>
    <t xml:space="preserve">                           -  </t>
  </si>
  <si>
    <t xml:space="preserve">                       -  </t>
  </si>
  <si>
    <t>see d15/87006- email dated 5 June 2015</t>
  </si>
  <si>
    <t>see d15/87006 - email dated 5 June 2015</t>
  </si>
  <si>
    <t>20190627 - update to 3.7.3 route length (D19/94949)</t>
  </si>
  <si>
    <t>20190628 - updated figures for 3.7.3 routh length D19/94949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</si>
</sst>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"/>
    <numFmt numFmtId="170" formatCode="0.0000"/>
    <numFmt numFmtId="171" formatCode="_-* #,##0.00_-;[Red]\(#,##0.00\)_-;_-* &quot;-&quot;??_-;_-@_-"/>
    <numFmt numFmtId="172" formatCode="#,##0.0;\(#,##0.0\)"/>
    <numFmt numFmtId="173" formatCode="#,##0;\(#,##0\)"/>
    <numFmt numFmtId="174" formatCode="#,##0.00;\(#,##0.00\)"/>
    <numFmt numFmtId="175" formatCode="dd/mm/yy"/>
    <numFmt numFmtId="176" formatCode="_(* #,##0.0_);_(* \(#,##0.0\);_(* &quot;-&quot;?_);@_)"/>
    <numFmt numFmtId="177" formatCode="mm/dd/yy"/>
    <numFmt numFmtId="178" formatCode="&quot;$&quot;#,##0\ ;\(&quot;$&quot;#,##0\)"/>
    <numFmt numFmtId="179" formatCode="0_);[Red]\(0\)"/>
    <numFmt numFmtId="180" formatCode="0.0%"/>
    <numFmt numFmtId="181" formatCode="#,##0.0_);\(#,##0.0\)"/>
    <numFmt numFmtId="182" formatCode="#,##0_ ;\-#,##0\ "/>
    <numFmt numFmtId="183" formatCode="#,##0_%_);\(#,##0\)_%;#,##0_%_);@_%_)"/>
    <numFmt numFmtId="184" formatCode="#,##0_ ;[Red]\(#,##0\)\ "/>
    <numFmt numFmtId="185" formatCode="0.00\ \ \x"/>
    <numFmt numFmtId="186" formatCode="0\ \ ;\(0\)\ \ \ "/>
    <numFmt numFmtId="187" formatCode="_-[$€-2]* #,##0.00_-;\-[$€-2]* #,##0.00_-;_-[$€-2]* &quot;-&quot;??_-"/>
    <numFmt numFmtId="188" formatCode="\£\ #,##0_);[Red]\(\£\ #,##0\)"/>
    <numFmt numFmtId="189" formatCode="\¥\ #,##0_);[Red]\(\¥\ #,##0\)"/>
    <numFmt numFmtId="190" formatCode="_(&quot;$&quot;#,##0.0_);\(&quot;$&quot;#,##0.0\);_(&quot;-&quot;_)"/>
    <numFmt numFmtId="191" formatCode="_)d\-mmm\-yy_);_)d\-mmm\-yy_);_)&quot;-&quot;_)"/>
    <numFmt numFmtId="192" formatCode="_(#,##0.0\x_);\(#,##0.0\x\);_(&quot;-&quot;_)"/>
    <numFmt numFmtId="193" formatCode="_(#,##0.0_);\(#,##0.0\);_(&quot;-&quot;_)"/>
    <numFmt numFmtId="194" formatCode="_(#,##0.0%_);\(#,##0.0%\);_(&quot;-&quot;_)"/>
    <numFmt numFmtId="195" formatCode="_(###0_);\(###0\);_(&quot;-&quot;_)"/>
    <numFmt numFmtId="196" formatCode="d/m/yy"/>
    <numFmt numFmtId="197" formatCode="_(###0_);\(###0\);_(###0_)"/>
    <numFmt numFmtId="198" formatCode="_)d/m/yy_)"/>
    <numFmt numFmtId="199" formatCode="_)d\-mmm\-yy_)"/>
    <numFmt numFmtId="200" formatCode="\•\ \ @"/>
    <numFmt numFmtId="201" formatCode="_(* #,##0.0_);_(* \(#,##0.0\);_(* &quot;-&quot;?_);_(@_)"/>
    <numFmt numFmtId="202" formatCode="00"/>
    <numFmt numFmtId="203" formatCode="mmm"/>
    <numFmt numFmtId="204" formatCode="mmm\.\ \'yy"/>
    <numFmt numFmtId="205" formatCode="[=0]&quot;OK&quot;;&quot;Error&quot;"/>
    <numFmt numFmtId="206" formatCode="0.0%_);\(0.0%\);0.0%_);@_%_)"/>
    <numFmt numFmtId="207" formatCode="_-* #,##0_)_-;* \(#,##0\)_-;_-* &quot;-&quot;??_-;_-@_-"/>
    <numFmt numFmtId="208" formatCode="&quot;CHF&quot;\ #,##0.00;&quot;CHF&quot;\ \-#,##0.00"/>
    <numFmt numFmtId="209" formatCode="&quot;error&quot;;&quot;error&quot;;&quot;ok&quot;"/>
    <numFmt numFmtId="210" formatCode="&quot;$&quot;#,\);\(&quot;$&quot;#,##0\)"/>
    <numFmt numFmtId="211" formatCode="_(* #,###_);_(* \(#,###\);_(* &quot;-&quot;??_);_(@_)"/>
    <numFmt numFmtId="212" formatCode="_(* #,###,_);_(* \(#,###,\);_(* \-??_);_(@_)"/>
    <numFmt numFmtId="213" formatCode="#,##0.0_);[Red]\(#,##0.0\)"/>
    <numFmt numFmtId="214" formatCode="_(* &quot;$&quot;#,###_);_(* &quot;$&quot;\(#,###\);_(* &quot;-&quot;??_);_(@_)"/>
    <numFmt numFmtId="215" formatCode="00000"/>
    <numFmt numFmtId="216" formatCode="#,##0.00_%_);\(#,##0.00\)_%;#,##0.00_%_);@_%_)"/>
    <numFmt numFmtId="217" formatCode="&quot;$&quot;#,##0_%_);\(&quot;$&quot;#,##0\)_%;&quot;$&quot;#,##0_%_);@_%_)"/>
    <numFmt numFmtId="218" formatCode="&quot;C$&quot;_-0.00"/>
    <numFmt numFmtId="219" formatCode="&quot;€&quot;_-0.00"/>
    <numFmt numFmtId="220" formatCode="&quot;P&quot;_-0.0"/>
    <numFmt numFmtId="221" formatCode="&quot;£&quot;_-0.00"/>
    <numFmt numFmtId="222" formatCode="&quot;US&quot;&quot;$&quot;_-0.00"/>
    <numFmt numFmtId="223" formatCode="\ \ _•\–\ \ \ \ @"/>
    <numFmt numFmtId="224" formatCode="m/d/yy_%_)"/>
    <numFmt numFmtId="225" formatCode="mmm\ yyyy"/>
    <numFmt numFmtId="226" formatCode="_-* #,##0\ _D_M_-;\-* #,##0\ _D_M_-;_-* &quot;-&quot;\ _D_M_-;_-@_-"/>
    <numFmt numFmtId="227" formatCode="_-* #,##0.00\ _D_M_-;\-* #,##0.00\ _D_M_-;_-* &quot;-&quot;??\ _D_M_-;_-@_-"/>
    <numFmt numFmtId="228" formatCode="0_%_);\(0\)_%;0_%_);@_%_)"/>
    <numFmt numFmtId="229" formatCode="&quot;ý&quot;;&quot;ý&quot;;&quot;þ&quot;"/>
    <numFmt numFmtId="230" formatCode="_(\ #,##0.0%_);_(\ \(#,##0.0%\);_(\ &quot; - &quot;\%_);_(@_)"/>
    <numFmt numFmtId="231" formatCode="#,##0_);\(#,##0\);&quot; - &quot;_);@_)"/>
    <numFmt numFmtId="232" formatCode="\ #,##0.00_);\(#,##0.00\);&quot; - &quot;_);@_)"/>
    <numFmt numFmtId="233" formatCode="0.00_);[Red]\(0.00\)"/>
    <numFmt numFmtId="234" formatCode="0.0000_);[Red]\(0.0000\)"/>
    <numFmt numFmtId="235" formatCode="_(* #,##0_);_(* \(#,##0\);_(* &quot;-&quot;??_);_(@_)"/>
    <numFmt numFmtId="236" formatCode="_(\ #,##0.0_);_(\ \(#,##0.0\);_(* &quot;-&quot;??_);_(@_)"/>
    <numFmt numFmtId="237" formatCode="0.0\%_);\(0.0\%\);0.0\%_);@_%_)"/>
    <numFmt numFmtId="238" formatCode="_-* #,##0.0_-;* \-#,##0.0_-;_-\ * &quot;-&quot;??_-;_-@_-"/>
    <numFmt numFmtId="239" formatCode="General_)"/>
    <numFmt numFmtId="240" formatCode="#,##0."/>
    <numFmt numFmtId="241" formatCode="\ ;\ ;"/>
    <numFmt numFmtId="242" formatCode="0.00%;_*\(0.00\)%"/>
    <numFmt numFmtId="243" formatCode="_(* #,##0_);_(* \(#,##0\);_(* &quot;-&quot;?_);_(@_)"/>
    <numFmt numFmtId="244" formatCode="#,##0,;[Red]\(#,##0,\)"/>
    <numFmt numFmtId="245" formatCode="_(#,##0_);[Red]\(#,##0\);_(\-_);"/>
    <numFmt numFmtId="246" formatCode="_(#,##0_);\(#,##0\);_(&quot;-&quot;_)"/>
    <numFmt numFmtId="247" formatCode="_(#,##0_);\(#,##0\);_(#,##0_)"/>
    <numFmt numFmtId="248" formatCode="?.?,,_);[Red]\(?.?,,\)"/>
    <numFmt numFmtId="249" formatCode="_(&quot;R$&quot;* #,##0_);_(&quot;R$&quot;* \(#,##0\);_(&quot;R$&quot;* &quot;-&quot;_);_(@_)"/>
    <numFmt numFmtId="250" formatCode="_(&quot;R$&quot;* #,##0.00_);_(&quot;R$&quot;* \(#,##0.00\);_(&quot;R$&quot;* &quot;-&quot;??_);_(@_)"/>
    <numFmt numFmtId="251" formatCode="_*\ #,##0.00_x"/>
    <numFmt numFmtId="252" formatCode="_-* #,##0.0_-;\(\ #,##0.0\)"/>
    <numFmt numFmtId="253" formatCode="_(* #,##0.00000_);_(* \(#,##0.00000\);_(* &quot;-&quot;??_);_(@_)"/>
    <numFmt numFmtId="254" formatCode="&quot;$&quot;#.##"/>
    <numFmt numFmtId="255" formatCode="0.00_)"/>
    <numFmt numFmtId="256" formatCode="&quot;Row &quot;###0"/>
    <numFmt numFmtId="257" formatCode="[&lt;1000]\ 0_);[&gt;1000]\ dd\-mmm\-yy;General"/>
    <numFmt numFmtId="258" formatCode="#,##0_*;\(#,##0\);0_*;@_)"/>
    <numFmt numFmtId="259" formatCode="#,##0_ ;\(#,##0\)_-;&quot;-&quot;"/>
    <numFmt numFmtId="260" formatCode="#,##0;[Red]\ \ \(#,##0\)"/>
    <numFmt numFmtId="261" formatCode=";;;&quot;[&quot;@&quot;]&quot;"/>
    <numFmt numFmtId="262" formatCode="_-* #,##0\ &quot;DM&quot;_-;\-* #,##0\ &quot;DM&quot;_-;_-* &quot;-&quot;\ &quot;DM&quot;_-;_-@_-"/>
    <numFmt numFmtId="263" formatCode="_-* #,##0.00\ &quot;DM&quot;_-;\-* #,##0.00\ &quot;DM&quot;_-;_-* &quot;-&quot;??\ &quot;DM&quot;_-;_-@_-"/>
    <numFmt numFmtId="264" formatCode="#&quot; Yr &quot;##&quot; Mth&quot;"/>
    <numFmt numFmtId="265" formatCode="#,##0.0"/>
    <numFmt numFmtId="266" formatCode="#,##0.00;[Red]\(#,##0.00\)"/>
    <numFmt numFmtId="267" formatCode="0.0"/>
    <numFmt numFmtId="268" formatCode="0.000"/>
    <numFmt numFmtId="269" formatCode="_-* #,##0_-;\-* #,##0_-;_-* &quot;-&quot;??_-;_-@_-"/>
    <numFmt numFmtId="270" formatCode="##\ ###\ ###\ ###\ ##0"/>
    <numFmt numFmtId="271" formatCode="\(0#\)\ ####\ ####"/>
    <numFmt numFmtId="272" formatCode="_([$€-2]* #,##0.00_);_([$€-2]* \(#,##0.00\);_([$€-2]* &quot;-&quot;??_)"/>
    <numFmt numFmtId="273" formatCode="#,##0.000_ ;[Red]\-#,##0.000\ "/>
    <numFmt numFmtId="274" formatCode="#,##0;[Red]\(#,##0.0\)"/>
    <numFmt numFmtId="275" formatCode="#,##0.0000_);[Red]\(#,##0.0000\)"/>
    <numFmt numFmtId="276" formatCode="_-* #,##0.0_-;\-* #,##0.0_-;_-* &quot;-&quot;_-;_-@_-"/>
    <numFmt numFmtId="277" formatCode="#,##0.00000"/>
  </numFmts>
  <fonts count="26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58426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8"/>
      <name val="Times New Roman"/>
      <family val="1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MS Sans Serif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Garamond"/>
    </font>
    <font>
      <sz val="10"/>
      <name val="Arial Narrow"/>
      <family val="2"/>
    </font>
    <font>
      <sz val="10"/>
      <name val="Times New Roman"/>
      <family val="1"/>
    </font>
    <font>
      <sz val="10"/>
      <name val="Helvetica"/>
    </font>
    <font>
      <sz val="10"/>
      <color indexed="12"/>
      <name val="Helvetica"/>
    </font>
    <font>
      <sz val="9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9"/>
      <name val="GillSans"/>
    </font>
    <font>
      <sz val="9"/>
      <name val="GillSans Light"/>
    </font>
    <font>
      <b/>
      <sz val="8.5"/>
      <name val="Univers 65"/>
      <family val="2"/>
    </font>
    <font>
      <sz val="12"/>
      <color indexed="14"/>
      <name val="Arial"/>
      <family val="2"/>
    </font>
    <font>
      <sz val="8"/>
      <name val="Palatino"/>
      <family val="1"/>
    </font>
    <font>
      <sz val="8.5"/>
      <name val="Univers 55"/>
      <family val="2"/>
    </font>
    <font>
      <sz val="10"/>
      <color indexed="18"/>
      <name val="Times New Roman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i/>
      <sz val="8"/>
      <name val="Helv"/>
    </font>
    <font>
      <sz val="9"/>
      <color indexed="10"/>
      <name val="Arial"/>
      <family val="2"/>
    </font>
    <font>
      <sz val="10"/>
      <name val="Arial"/>
      <family val="2"/>
    </font>
    <font>
      <sz val="10"/>
      <name val="Helv"/>
    </font>
    <font>
      <sz val="12"/>
      <name val="Times New Roman"/>
      <family val="1"/>
    </font>
    <font>
      <sz val="11"/>
      <name val="‚l‚r ‚oƒSƒVƒbƒN"/>
      <family val="3"/>
      <charset val="128"/>
    </font>
    <font>
      <sz val="10"/>
      <name val="Geneva"/>
      <family val="2"/>
    </font>
    <font>
      <sz val="13"/>
      <name val="Times New Roman"/>
      <family val="1"/>
    </font>
    <font>
      <sz val="11"/>
      <color indexed="9"/>
      <name val="Calibri"/>
      <family val="2"/>
    </font>
    <font>
      <sz val="11"/>
      <color theme="0"/>
      <name val="Calibri"/>
      <family val="2"/>
      <charset val="238"/>
      <scheme val="minor"/>
    </font>
    <font>
      <i/>
      <sz val="11"/>
      <color theme="0" tint="-0.34998626667073579"/>
      <name val="Calibri"/>
      <family val="2"/>
      <scheme val="minor"/>
    </font>
    <font>
      <sz val="10"/>
      <color indexed="12"/>
      <name val="Arial Narrow"/>
      <family val="2"/>
    </font>
    <font>
      <sz val="9"/>
      <color theme="8" tint="-0.499984740745262"/>
      <name val="Arial"/>
      <family val="2"/>
    </font>
    <font>
      <sz val="8"/>
      <name val="Calibri"/>
      <family val="2"/>
      <scheme val="minor"/>
    </font>
    <font>
      <sz val="11"/>
      <color indexed="20"/>
      <name val="Calibri"/>
      <family val="2"/>
    </font>
    <font>
      <b/>
      <sz val="12"/>
      <color indexed="32"/>
      <name val="Tahoma"/>
      <family val="2"/>
    </font>
    <font>
      <b/>
      <sz val="12"/>
      <name val="Times New Roman"/>
      <family val="1"/>
    </font>
    <font>
      <b/>
      <sz val="14"/>
      <color indexed="17"/>
      <name val="Arial"/>
      <family val="2"/>
    </font>
    <font>
      <sz val="8"/>
      <color indexed="8"/>
      <name val="Arial Narrow"/>
      <family val="2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sz val="8"/>
      <name val="Tahoma"/>
      <family val="2"/>
    </font>
    <font>
      <b/>
      <sz val="10"/>
      <color indexed="17"/>
      <name val="Arial Narrow"/>
      <family val="2"/>
    </font>
    <font>
      <b/>
      <sz val="11"/>
      <color indexed="9"/>
      <name val="Calibri"/>
      <family val="2"/>
    </font>
    <font>
      <sz val="12"/>
      <color indexed="8"/>
      <name val="Times New Roman"/>
      <family val="1"/>
    </font>
    <font>
      <sz val="10"/>
      <name val="Palatino"/>
      <family val="1"/>
    </font>
    <font>
      <sz val="8"/>
      <color indexed="8"/>
      <name val="Arial"/>
      <family val="2"/>
    </font>
    <font>
      <sz val="10"/>
      <name val="Verdana"/>
      <family val="2"/>
    </font>
    <font>
      <sz val="8"/>
      <color indexed="8"/>
      <name val="Tahoma"/>
      <family val="2"/>
    </font>
    <font>
      <sz val="9"/>
      <color theme="0" tint="-0.499984740745262"/>
      <name val="Arial"/>
      <family val="2"/>
    </font>
    <font>
      <sz val="10"/>
      <name val="MS Serif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2"/>
      <name val="Tms Rmn"/>
    </font>
    <font>
      <sz val="11"/>
      <name val="Book Antiqua"/>
      <family val="1"/>
    </font>
    <font>
      <sz val="11"/>
      <color indexed="12"/>
      <name val="Book Antiqua"/>
      <family val="1"/>
    </font>
    <font>
      <sz val="10"/>
      <color indexed="12"/>
      <name val="Arial"/>
      <family val="2"/>
    </font>
    <font>
      <sz val="10"/>
      <color indexed="50"/>
      <name val="Arial"/>
      <family val="2"/>
    </font>
    <font>
      <b/>
      <sz val="9"/>
      <color theme="1"/>
      <name val="Arial"/>
      <family val="2"/>
    </font>
    <font>
      <sz val="10"/>
      <color indexed="23"/>
      <name val="Arial"/>
      <family val="2"/>
    </font>
    <font>
      <b/>
      <sz val="8"/>
      <name val="Arial"/>
      <family val="2"/>
      <charset val="238"/>
    </font>
    <font>
      <sz val="10"/>
      <color indexed="16"/>
      <name val="MS Serif"/>
      <family val="1"/>
    </font>
    <font>
      <sz val="11"/>
      <color theme="0"/>
      <name val="Wingdings"/>
      <charset val="2"/>
    </font>
    <font>
      <i/>
      <sz val="11"/>
      <color indexed="23"/>
      <name val="Calibri"/>
      <family val="2"/>
    </font>
    <font>
      <b/>
      <sz val="10"/>
      <color indexed="32"/>
      <name val="Arial Narrow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8"/>
      <color indexed="12"/>
      <name val="Arial Narrow"/>
      <family val="2"/>
    </font>
    <font>
      <sz val="11"/>
      <color indexed="17"/>
      <name val="Calibri"/>
      <family val="2"/>
    </font>
    <font>
      <sz val="6"/>
      <color indexed="16"/>
      <name val="Palatino"/>
      <family val="1"/>
    </font>
    <font>
      <b/>
      <sz val="20"/>
      <name val="Tahoma"/>
      <family val="2"/>
    </font>
    <font>
      <b/>
      <sz val="10"/>
      <name val="Tahoma"/>
      <family val="2"/>
    </font>
    <font>
      <sz val="6"/>
      <name val="Palatino"/>
      <family val="1"/>
    </font>
    <font>
      <b/>
      <sz val="10"/>
      <name val="Times"/>
      <family val="1"/>
    </font>
    <font>
      <b/>
      <sz val="15"/>
      <color indexed="31"/>
      <name val="Calibri"/>
      <family val="2"/>
    </font>
    <font>
      <b/>
      <sz val="10"/>
      <color indexed="60"/>
      <name val="Arial"/>
      <family val="2"/>
    </font>
    <font>
      <b/>
      <sz val="15"/>
      <color indexed="56"/>
      <name val="Calibri"/>
      <family val="2"/>
    </font>
    <font>
      <sz val="10"/>
      <name val="Helvetica-Black"/>
    </font>
    <font>
      <b/>
      <sz val="12"/>
      <color theme="0"/>
      <name val="Arial"/>
      <family val="2"/>
    </font>
    <font>
      <b/>
      <sz val="10"/>
      <name val="Cambria"/>
      <family val="2"/>
      <scheme val="major"/>
    </font>
    <font>
      <sz val="28"/>
      <name val="Helvetica-Black"/>
    </font>
    <font>
      <b/>
      <sz val="13"/>
      <color indexed="31"/>
      <name val="Calibri"/>
      <family val="2"/>
    </font>
    <font>
      <b/>
      <sz val="13"/>
      <color theme="8" tint="-0.499984740745262"/>
      <name val="Arial"/>
      <family val="2"/>
    </font>
    <font>
      <b/>
      <sz val="9"/>
      <name val="Cambria"/>
      <family val="2"/>
      <scheme val="major"/>
    </font>
    <font>
      <sz val="18"/>
      <name val="Palatino"/>
      <family val="1"/>
    </font>
    <font>
      <b/>
      <sz val="11"/>
      <color indexed="31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2"/>
      <color theme="1" tint="0.34998626667073579"/>
      <name val="Arial"/>
      <family val="2"/>
    </font>
    <font>
      <b/>
      <sz val="8"/>
      <name val="Cambria"/>
      <family val="2"/>
      <scheme val="major"/>
    </font>
    <font>
      <i/>
      <sz val="14"/>
      <name val="Palatino"/>
      <family val="1"/>
    </font>
    <font>
      <sz val="8"/>
      <name val="Cambria"/>
      <family val="2"/>
      <scheme val="major"/>
    </font>
    <font>
      <sz val="10"/>
      <name val="ITCCentury BookCond"/>
    </font>
    <font>
      <b/>
      <sz val="12"/>
      <color indexed="8"/>
      <name val="Arial"/>
      <family val="2"/>
    </font>
    <font>
      <b/>
      <sz val="9"/>
      <color indexed="16"/>
      <name val="SwitzerlandCondensed"/>
    </font>
    <font>
      <u/>
      <sz val="10"/>
      <color indexed="12"/>
      <name val="Arial"/>
      <family val="2"/>
    </font>
    <font>
      <b/>
      <u/>
      <sz val="9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b/>
      <u/>
      <sz val="8"/>
      <color indexed="56"/>
      <name val="Calibri"/>
      <family val="2"/>
      <scheme val="minor"/>
    </font>
    <font>
      <b/>
      <u/>
      <sz val="10"/>
      <color indexed="56"/>
      <name val="Calibri"/>
      <family val="2"/>
      <scheme val="minor"/>
    </font>
    <font>
      <b/>
      <u/>
      <sz val="9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9"/>
      <color indexed="10"/>
      <name val="Times New Roman"/>
      <family val="1"/>
    </font>
    <font>
      <sz val="11"/>
      <color indexed="62"/>
      <name val="Calibri"/>
      <family val="2"/>
    </font>
    <font>
      <b/>
      <sz val="8"/>
      <color indexed="23"/>
      <name val="Arial"/>
      <family val="2"/>
    </font>
    <font>
      <b/>
      <sz val="9"/>
      <color indexed="9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9"/>
      <color indexed="63"/>
      <name val="Tahoma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8"/>
      <name val="Calibri"/>
      <family val="2"/>
      <scheme val="minor"/>
    </font>
    <font>
      <sz val="8"/>
      <name val="Helv"/>
    </font>
    <font>
      <b/>
      <sz val="10"/>
      <name val="Arial"/>
      <family val="2"/>
      <charset val="238"/>
    </font>
    <font>
      <sz val="11"/>
      <name val="굴림체"/>
      <family val="3"/>
      <charset val="129"/>
    </font>
    <font>
      <sz val="14"/>
      <color theme="8" tint="-0.499984740745262"/>
      <name val="Arial"/>
      <family val="2"/>
    </font>
    <font>
      <b/>
      <sz val="12"/>
      <name val="Cambria"/>
      <family val="2"/>
      <scheme val="major"/>
    </font>
    <font>
      <sz val="10"/>
      <name val="Frutiger 45 Light"/>
    </font>
    <font>
      <sz val="11"/>
      <color indexed="60"/>
      <name val="Calibri"/>
      <family val="2"/>
    </font>
    <font>
      <sz val="9"/>
      <color indexed="12"/>
      <name val="Times New Roman"/>
      <family val="1"/>
    </font>
    <font>
      <sz val="12"/>
      <name val="Helv"/>
    </font>
    <font>
      <sz val="11"/>
      <color indexed="8"/>
      <name val="Calibri"/>
      <family val="2"/>
      <charset val="238"/>
    </font>
    <font>
      <sz val="8"/>
      <color theme="1"/>
      <name val="Tahoma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sz val="10"/>
      <color indexed="57"/>
      <name val="Arial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9"/>
      <name val="Arial"/>
      <family val="2"/>
      <charset val="238"/>
    </font>
    <font>
      <sz val="10"/>
      <color indexed="16"/>
      <name val="Helvetica-Black"/>
    </font>
    <font>
      <b/>
      <sz val="8"/>
      <name val="Calibri"/>
      <family val="2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9"/>
      <name val="Tahoma"/>
      <family val="2"/>
    </font>
    <font>
      <b/>
      <sz val="8"/>
      <color indexed="8"/>
      <name val="Tahoma"/>
      <family val="2"/>
    </font>
    <font>
      <b/>
      <sz val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2"/>
      <name val="Tahoma"/>
      <family val="2"/>
    </font>
    <font>
      <b/>
      <sz val="13"/>
      <color indexed="8"/>
      <name val="Tahoma"/>
      <family val="2"/>
    </font>
    <font>
      <b/>
      <sz val="13"/>
      <name val="Cambria"/>
      <family val="2"/>
      <scheme val="major"/>
    </font>
    <font>
      <b/>
      <sz val="13"/>
      <name val="Tahoma"/>
      <family val="2"/>
    </font>
    <font>
      <b/>
      <sz val="14"/>
      <color indexed="8"/>
      <name val="Tahoma"/>
      <family val="2"/>
    </font>
    <font>
      <b/>
      <sz val="14"/>
      <name val="Cambria"/>
      <family val="2"/>
      <scheme val="major"/>
    </font>
    <font>
      <b/>
      <sz val="14"/>
      <name val="Tahoma"/>
      <family val="2"/>
    </font>
    <font>
      <b/>
      <u/>
      <sz val="10"/>
      <color indexed="56"/>
      <name val="Tahoma"/>
      <family val="2"/>
    </font>
    <font>
      <b/>
      <u/>
      <sz val="9"/>
      <color indexed="56"/>
      <name val="Tahoma"/>
      <family val="2"/>
    </font>
    <font>
      <sz val="8"/>
      <color indexed="56"/>
      <name val="Tahoma"/>
      <family val="2"/>
    </font>
    <font>
      <i/>
      <sz val="11"/>
      <color theme="0" tint="-0.499984740745262"/>
      <name val="Calibri"/>
      <family val="2"/>
      <scheme val="minor"/>
    </font>
    <font>
      <b/>
      <u/>
      <sz val="12"/>
      <name val="Helv"/>
    </font>
    <font>
      <i/>
      <sz val="9"/>
      <color theme="8" tint="-0.499984740745262"/>
      <name val="Arial"/>
      <family val="2"/>
    </font>
    <font>
      <b/>
      <i/>
      <sz val="8"/>
      <name val="Arial"/>
      <family val="2"/>
    </font>
    <font>
      <b/>
      <sz val="13"/>
      <name val="Arial"/>
      <family val="2"/>
    </font>
    <font>
      <sz val="9"/>
      <color indexed="48"/>
      <name val="Arial"/>
      <family val="2"/>
    </font>
    <font>
      <b/>
      <sz val="9"/>
      <color indexed="8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6"/>
      <color theme="8" tint="-0.499984740745262"/>
      <name val="Arial"/>
      <family val="2"/>
    </font>
    <font>
      <i/>
      <sz val="8"/>
      <color indexed="23"/>
      <name val="Arial"/>
      <family val="2"/>
    </font>
    <font>
      <b/>
      <sz val="11"/>
      <color indexed="18"/>
      <name val="Arial"/>
      <family val="2"/>
    </font>
    <font>
      <b/>
      <sz val="11"/>
      <color indexed="9"/>
      <name val="Arial"/>
      <family val="2"/>
    </font>
    <font>
      <b/>
      <sz val="8"/>
      <color indexed="8"/>
      <name val="Helv"/>
    </font>
    <font>
      <u/>
      <sz val="10"/>
      <name val="Arial"/>
      <family val="2"/>
    </font>
    <font>
      <sz val="9"/>
      <name val="Helvetica-Black"/>
    </font>
    <font>
      <b/>
      <sz val="9"/>
      <color theme="0"/>
      <name val="Arial"/>
      <family val="2"/>
    </font>
    <font>
      <b/>
      <sz val="18"/>
      <color indexed="31"/>
      <name val="Cambria"/>
      <family val="2"/>
    </font>
    <font>
      <b/>
      <sz val="18"/>
      <color indexed="56"/>
      <name val="Cambria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b/>
      <sz val="16"/>
      <name val="AT*Carleton"/>
      <charset val="2"/>
    </font>
    <font>
      <sz val="11"/>
      <color indexed="10"/>
      <name val="Calibri"/>
      <family val="2"/>
    </font>
    <font>
      <sz val="9"/>
      <color rgb="FFFF0000"/>
      <name val="Arial"/>
      <family val="2"/>
    </font>
    <font>
      <i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b/>
      <i/>
      <sz val="11"/>
      <color theme="9" tint="-0.249977111117893"/>
      <name val="Calibri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theme="0" tint="-0.34998626667073579"/>
      <name val="Arial"/>
      <family val="2"/>
    </font>
    <font>
      <sz val="10"/>
      <color theme="7" tint="-0.249977111117893"/>
      <name val="Arial"/>
      <family val="2"/>
    </font>
    <font>
      <b/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6"/>
      <color theme="0" tint="-4.9989318521683403E-2"/>
      <name val="Arial"/>
      <family val="2"/>
    </font>
    <font>
      <sz val="16"/>
      <color indexed="51"/>
      <name val="Arial"/>
      <family val="2"/>
    </font>
    <font>
      <sz val="10"/>
      <color indexed="51"/>
      <name val="Arial"/>
      <family val="2"/>
    </font>
    <font>
      <b/>
      <sz val="10"/>
      <color theme="0" tint="-4.9989318521683403E-2"/>
      <name val="Arial"/>
      <family val="2"/>
    </font>
    <font>
      <b/>
      <sz val="10"/>
      <color indexed="51"/>
      <name val="Arial"/>
      <family val="2"/>
    </font>
    <font>
      <sz val="10"/>
      <color rgb="FFFFCC00"/>
      <name val="Arial"/>
      <family val="2"/>
    </font>
    <font>
      <b/>
      <sz val="10"/>
      <color rgb="FFFFCC00"/>
      <name val="Arial"/>
      <family val="2"/>
    </font>
    <font>
      <sz val="10"/>
      <color rgb="FFFFFFFF"/>
      <name val="Arial"/>
      <family val="2"/>
    </font>
    <font>
      <b/>
      <sz val="11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0" tint="-0.499984740745262"/>
      <name val="Arial"/>
      <family val="2"/>
    </font>
    <font>
      <sz val="11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sz val="10"/>
      <name val="Helv"/>
      <charset val="204"/>
    </font>
    <font>
      <sz val="14"/>
      <name val="System"/>
      <family val="2"/>
    </font>
    <font>
      <b/>
      <sz val="12"/>
      <color theme="0"/>
      <name val="Calibri"/>
      <family val="2"/>
      <scheme val="minor"/>
    </font>
    <font>
      <sz val="10"/>
      <color theme="1" tint="0.34998626667073579"/>
      <name val="Arial"/>
      <family val="2"/>
    </font>
    <font>
      <sz val="11"/>
      <color theme="4" tint="-0.249977111117893"/>
      <name val="Calibri"/>
      <family val="2"/>
      <scheme val="minor"/>
    </font>
  </fonts>
  <fills count="10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rgb="FFFFFF99"/>
        <bgColor indexed="64"/>
      </patternFill>
    </fill>
    <fill>
      <patternFill patternType="solid">
        <fgColor indexed="45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6" tint="-0.499984740745262"/>
        <bgColor indexed="64"/>
      </patternFill>
    </fill>
    <fill>
      <patternFill patternType="solid">
        <fgColor indexed="42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theme="0" tint="-0.24994659260841701"/>
        <bgColor indexed="64"/>
      </patternFill>
    </fill>
    <fill>
      <patternFill patternType="mediumGray">
        <fgColor indexed="1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24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52"/>
      </left>
      <right style="thin">
        <color indexed="52"/>
      </right>
      <top/>
      <bottom/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auto="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medium">
        <color auto="1"/>
      </bottom>
      <diagonal/>
    </border>
  </borders>
  <cellStyleXfs count="2295">
    <xf numFmtId="0" fontId="0" fillId="0" borderId="0"/>
    <xf numFmtId="166" fontId="7" fillId="2" borderId="0" applyNumberFormat="0" applyFont="0" applyBorder="0" applyAlignment="0">
      <alignment horizontal="right"/>
    </xf>
    <xf numFmtId="0" fontId="11" fillId="0" borderId="0" applyNumberFormat="0" applyFill="0" applyBorder="0" applyAlignment="0" applyProtection="0"/>
    <xf numFmtId="166" fontId="4" fillId="3" borderId="0" applyFont="0" applyBorder="0" applyAlignment="0">
      <alignment horizontal="right"/>
      <protection locked="0"/>
    </xf>
    <xf numFmtId="0" fontId="4" fillId="4" borderId="0"/>
    <xf numFmtId="0" fontId="4" fillId="0" borderId="0"/>
    <xf numFmtId="166" fontId="4" fillId="2" borderId="0" applyNumberFormat="0" applyFont="0" applyBorder="0" applyAlignment="0">
      <alignment horizontal="right"/>
    </xf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13" fillId="0" borderId="0" applyNumberFormat="0" applyFill="0" applyBorder="0" applyAlignment="0" applyProtection="0"/>
    <xf numFmtId="0" fontId="16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30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30" fillId="36" borderId="0" applyNumberFormat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4" fillId="4" borderId="0"/>
    <xf numFmtId="0" fontId="4" fillId="4" borderId="0"/>
    <xf numFmtId="0" fontId="32" fillId="0" borderId="0" applyFill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6" fontId="4" fillId="3" borderId="0" applyFont="0" applyBorder="0" applyAlignment="0">
      <alignment horizontal="right"/>
      <protection locked="0"/>
    </xf>
    <xf numFmtId="166" fontId="4" fillId="3" borderId="0" applyFont="0" applyBorder="0" applyAlignment="0">
      <alignment horizontal="right"/>
      <protection locked="0"/>
    </xf>
    <xf numFmtId="171" fontId="35" fillId="0" borderId="0"/>
    <xf numFmtId="171" fontId="35" fillId="0" borderId="0"/>
    <xf numFmtId="171" fontId="35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5" fillId="0" borderId="0"/>
    <xf numFmtId="175" fontId="46" fillId="0" borderId="0" applyFont="0" applyFill="0" applyBorder="0" applyAlignment="0" applyProtection="0"/>
    <xf numFmtId="42" fontId="47" fillId="0" borderId="0" applyFont="0" applyFill="0" applyBorder="0" applyAlignment="0" applyProtection="0"/>
    <xf numFmtId="0" fontId="48" fillId="0" borderId="0" applyNumberFormat="0" applyFill="0" applyBorder="0" applyAlignment="0"/>
    <xf numFmtId="0" fontId="49" fillId="0" borderId="0" applyNumberFormat="0" applyFill="0" applyBorder="0" applyAlignment="0">
      <protection locked="0"/>
    </xf>
    <xf numFmtId="176" fontId="50" fillId="0" borderId="0" applyAlignment="0" applyProtection="0"/>
    <xf numFmtId="49" fontId="51" fillId="0" borderId="33" applyNumberFormat="0" applyAlignment="0" applyProtection="0">
      <alignment horizontal="left" wrapText="1"/>
    </xf>
    <xf numFmtId="49" fontId="52" fillId="0" borderId="0" applyAlignment="0" applyProtection="0">
      <alignment horizontal="left"/>
    </xf>
    <xf numFmtId="41" fontId="4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5" fillId="0" borderId="0"/>
    <xf numFmtId="0" fontId="56" fillId="0" borderId="0"/>
    <xf numFmtId="180" fontId="57" fillId="0" borderId="0"/>
    <xf numFmtId="0" fontId="35" fillId="2" borderId="0"/>
    <xf numFmtId="181" fontId="58" fillId="0" borderId="0"/>
    <xf numFmtId="182" fontId="59" fillId="0" borderId="0"/>
    <xf numFmtId="171" fontId="4" fillId="0" borderId="0"/>
    <xf numFmtId="183" fontId="59" fillId="0" borderId="0" applyFill="0" applyBorder="0"/>
    <xf numFmtId="180" fontId="60" fillId="0" borderId="0"/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184" fontId="61" fillId="0" borderId="31"/>
    <xf numFmtId="0" fontId="40" fillId="0" borderId="6">
      <alignment horizontal="center"/>
    </xf>
    <xf numFmtId="3" fontId="53" fillId="0" borderId="0" applyFont="0" applyFill="0" applyBorder="0" applyAlignment="0" applyProtection="0"/>
    <xf numFmtId="0" fontId="53" fillId="44" borderId="0" applyNumberFormat="0" applyFont="0" applyBorder="0" applyAlignment="0" applyProtection="0"/>
    <xf numFmtId="185" fontId="4" fillId="0" borderId="0"/>
    <xf numFmtId="0" fontId="4" fillId="45" borderId="0" applyNumberFormat="0" applyFont="0" applyBorder="0" applyAlignment="0" applyProtection="0"/>
    <xf numFmtId="0" fontId="4" fillId="46" borderId="0" applyNumberFormat="0" applyFont="0" applyBorder="0" applyAlignment="0" applyProtection="0"/>
    <xf numFmtId="0" fontId="4" fillId="4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4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34" fillId="0" borderId="0"/>
    <xf numFmtId="0" fontId="8" fillId="0" borderId="0"/>
    <xf numFmtId="15" fontId="4" fillId="0" borderId="0"/>
    <xf numFmtId="10" fontId="4" fillId="0" borderId="0"/>
    <xf numFmtId="0" fontId="62" fillId="42" borderId="14" applyBorder="0" applyProtection="0">
      <alignment horizontal="centerContinuous" vertical="center"/>
    </xf>
    <xf numFmtId="0" fontId="64" fillId="0" borderId="0">
      <alignment horizontal="left"/>
    </xf>
    <xf numFmtId="0" fontId="64" fillId="0" borderId="29" applyFill="0" applyBorder="0" applyProtection="0">
      <alignment horizontal="left" vertical="top"/>
    </xf>
    <xf numFmtId="49" fontId="4" fillId="0" borderId="0" applyFont="0" applyFill="0" applyBorder="0" applyAlignment="0" applyProtection="0"/>
    <xf numFmtId="0" fontId="65" fillId="0" borderId="0"/>
    <xf numFmtId="0" fontId="66" fillId="0" borderId="0"/>
    <xf numFmtId="0" fontId="66" fillId="0" borderId="0"/>
    <xf numFmtId="0" fontId="65" fillId="0" borderId="0"/>
    <xf numFmtId="181" fontId="67" fillId="0" borderId="0"/>
    <xf numFmtId="0" fontId="65" fillId="0" borderId="0"/>
    <xf numFmtId="186" fontId="68" fillId="0" borderId="14" applyBorder="0" applyProtection="0">
      <alignment horizontal="right"/>
    </xf>
    <xf numFmtId="0" fontId="4" fillId="0" borderId="0" applyFill="0"/>
    <xf numFmtId="9" fontId="4" fillId="0" borderId="0" applyFont="0" applyFill="0" applyBorder="0" applyAlignment="0" applyProtection="0"/>
    <xf numFmtId="0" fontId="70" fillId="0" borderId="0"/>
    <xf numFmtId="187" fontId="4" fillId="0" borderId="0"/>
    <xf numFmtId="171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38" fontId="71" fillId="0" borderId="0" applyFont="0" applyFill="0" applyBorder="0" applyAlignment="0" applyProtection="0">
      <alignment horizontal="right"/>
      <protection locked="0"/>
    </xf>
    <xf numFmtId="0" fontId="4" fillId="0" borderId="0"/>
    <xf numFmtId="187" fontId="4" fillId="0" borderId="0"/>
    <xf numFmtId="187" fontId="4" fillId="0" borderId="0"/>
    <xf numFmtId="18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35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7" fontId="4" fillId="0" borderId="0"/>
    <xf numFmtId="187" fontId="4" fillId="0" borderId="0"/>
    <xf numFmtId="18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0" fontId="4" fillId="0" borderId="0"/>
    <xf numFmtId="18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35" fillId="0" borderId="0"/>
    <xf numFmtId="0" fontId="4" fillId="0" borderId="0"/>
    <xf numFmtId="0" fontId="4" fillId="0" borderId="0"/>
    <xf numFmtId="171" fontId="35" fillId="0" borderId="0"/>
    <xf numFmtId="171" fontId="35" fillId="0" borderId="0"/>
    <xf numFmtId="174" fontId="4" fillId="0" borderId="0"/>
    <xf numFmtId="188" fontId="72" fillId="0" borderId="0" applyFont="0" applyFill="0" applyBorder="0" applyAlignment="0" applyProtection="0"/>
    <xf numFmtId="189" fontId="72" fillId="0" borderId="0" applyFont="0" applyFill="0" applyBorder="0" applyAlignment="0" applyProtection="0"/>
    <xf numFmtId="187" fontId="4" fillId="0" borderId="0"/>
    <xf numFmtId="187" fontId="4" fillId="0" borderId="0"/>
    <xf numFmtId="187" fontId="4" fillId="0" borderId="0"/>
    <xf numFmtId="187" fontId="73" fillId="0" borderId="0"/>
    <xf numFmtId="6" fontId="74" fillId="0" borderId="0" applyFont="0" applyFill="0" applyBorder="0" applyAlignment="0" applyProtection="0"/>
    <xf numFmtId="6" fontId="74" fillId="0" borderId="0" applyFont="0" applyFill="0" applyBorder="0" applyAlignment="0" applyProtection="0"/>
    <xf numFmtId="0" fontId="15" fillId="46" borderId="0" applyNumberFormat="0" applyBorder="0" applyAlignment="0" applyProtection="0"/>
    <xf numFmtId="0" fontId="15" fillId="48" borderId="0" applyNumberFormat="0" applyBorder="0" applyAlignment="0" applyProtection="0"/>
    <xf numFmtId="0" fontId="15" fillId="45" borderId="0" applyNumberFormat="0" applyBorder="0" applyAlignment="0" applyProtection="0"/>
    <xf numFmtId="0" fontId="15" fillId="46" borderId="0" applyNumberFormat="0" applyBorder="0" applyAlignment="0" applyProtection="0"/>
    <xf numFmtId="0" fontId="15" fillId="49" borderId="0" applyNumberFormat="0" applyBorder="0" applyAlignment="0" applyProtection="0"/>
    <xf numFmtId="0" fontId="15" fillId="48" borderId="0" applyNumberFormat="0" applyBorder="0" applyAlignment="0" applyProtection="0"/>
    <xf numFmtId="0" fontId="75" fillId="0" borderId="0">
      <alignment horizontal="center" vertical="center"/>
    </xf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50" borderId="0" applyNumberFormat="0" applyBorder="0" applyAlignment="0" applyProtection="0"/>
    <xf numFmtId="0" fontId="15" fillId="47" borderId="0" applyNumberFormat="0" applyBorder="0" applyAlignment="0" applyProtection="0"/>
    <xf numFmtId="0" fontId="15" fillId="51" borderId="0" applyNumberFormat="0" applyBorder="0" applyAlignment="0" applyProtection="0"/>
    <xf numFmtId="0" fontId="15" fillId="48" borderId="0" applyNumberFormat="0" applyBorder="0" applyAlignment="0" applyProtection="0"/>
    <xf numFmtId="0" fontId="76" fillId="52" borderId="0" applyNumberFormat="0" applyBorder="0" applyAlignment="0" applyProtection="0"/>
    <xf numFmtId="0" fontId="77" fillId="16" borderId="0" applyNumberFormat="0" applyBorder="0" applyAlignment="0" applyProtection="0"/>
    <xf numFmtId="0" fontId="76" fillId="48" borderId="0" applyNumberFormat="0" applyBorder="0" applyAlignment="0" applyProtection="0"/>
    <xf numFmtId="0" fontId="76" fillId="50" borderId="0" applyNumberFormat="0" applyBorder="0" applyAlignment="0" applyProtection="0"/>
    <xf numFmtId="0" fontId="76" fillId="47" borderId="0" applyNumberFormat="0" applyBorder="0" applyAlignment="0" applyProtection="0"/>
    <xf numFmtId="0" fontId="76" fillId="52" borderId="0" applyNumberFormat="0" applyBorder="0" applyAlignment="0" applyProtection="0"/>
    <xf numFmtId="0" fontId="76" fillId="48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76" fillId="54" borderId="0" applyNumberFormat="0" applyBorder="0" applyAlignment="0" applyProtection="0"/>
    <xf numFmtId="0" fontId="76" fillId="52" borderId="0" applyNumberFormat="0" applyBorder="0" applyAlignment="0" applyProtection="0"/>
    <xf numFmtId="0" fontId="15" fillId="55" borderId="0" applyNumberFormat="0" applyBorder="0" applyAlignment="0" applyProtection="0"/>
    <xf numFmtId="0" fontId="15" fillId="40" borderId="0" applyNumberFormat="0" applyBorder="0" applyAlignment="0" applyProtection="0"/>
    <xf numFmtId="0" fontId="76" fillId="56" borderId="0" applyNumberFormat="0" applyBorder="0" applyAlignment="0" applyProtection="0"/>
    <xf numFmtId="0" fontId="76" fillId="57" borderId="0" applyNumberFormat="0" applyBorder="0" applyAlignment="0" applyProtection="0"/>
    <xf numFmtId="0" fontId="15" fillId="55" borderId="0" applyNumberFormat="0" applyBorder="0" applyAlignment="0" applyProtection="0"/>
    <xf numFmtId="0" fontId="15" fillId="58" borderId="0" applyNumberFormat="0" applyBorder="0" applyAlignment="0" applyProtection="0"/>
    <xf numFmtId="0" fontId="76" fillId="40" borderId="0" applyNumberFormat="0" applyBorder="0" applyAlignment="0" applyProtection="0"/>
    <xf numFmtId="0" fontId="76" fillId="59" borderId="0" applyNumberFormat="0" applyBorder="0" applyAlignment="0" applyProtection="0"/>
    <xf numFmtId="0" fontId="15" fillId="53" borderId="0" applyNumberFormat="0" applyBorder="0" applyAlignment="0" applyProtection="0"/>
    <xf numFmtId="0" fontId="15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60" borderId="0" applyNumberFormat="0" applyBorder="0" applyAlignment="0" applyProtection="0"/>
    <xf numFmtId="0" fontId="15" fillId="61" borderId="0" applyNumberFormat="0" applyBorder="0" applyAlignment="0" applyProtection="0"/>
    <xf numFmtId="0" fontId="15" fillId="53" borderId="0" applyNumberFormat="0" applyBorder="0" applyAlignment="0" applyProtection="0"/>
    <xf numFmtId="0" fontId="76" fillId="54" borderId="0" applyNumberFormat="0" applyBorder="0" applyAlignment="0" applyProtection="0"/>
    <xf numFmtId="0" fontId="76" fillId="52" borderId="0" applyNumberFormat="0" applyBorder="0" applyAlignment="0" applyProtection="0"/>
    <xf numFmtId="0" fontId="15" fillId="55" borderId="0" applyNumberFormat="0" applyBorder="0" applyAlignment="0" applyProtection="0"/>
    <xf numFmtId="0" fontId="15" fillId="62" borderId="0" applyNumberFormat="0" applyBorder="0" applyAlignment="0" applyProtection="0"/>
    <xf numFmtId="0" fontId="76" fillId="62" borderId="0" applyNumberFormat="0" applyBorder="0" applyAlignment="0" applyProtection="0"/>
    <xf numFmtId="0" fontId="76" fillId="63" borderId="0" applyNumberFormat="0" applyBorder="0" applyAlignment="0" applyProtection="0"/>
    <xf numFmtId="0" fontId="77" fillId="33" borderId="0" applyNumberFormat="0" applyBorder="0" applyAlignment="0" applyProtection="0"/>
    <xf numFmtId="49" fontId="39" fillId="2" borderId="0"/>
    <xf numFmtId="0" fontId="78" fillId="0" borderId="0" applyNumberFormat="0" applyFill="0" applyBorder="0"/>
    <xf numFmtId="15" fontId="79" fillId="0" borderId="34" applyNumberFormat="0" applyFont="0" applyAlignment="0" applyProtection="0">
      <alignment horizontal="center"/>
    </xf>
    <xf numFmtId="0" fontId="80" fillId="64" borderId="35" applyNumberFormat="0" applyAlignment="0">
      <protection locked="0"/>
    </xf>
    <xf numFmtId="190" fontId="81" fillId="0" borderId="36">
      <alignment vertical="center"/>
      <protection locked="0"/>
    </xf>
    <xf numFmtId="190" fontId="81" fillId="0" borderId="36">
      <alignment vertical="center"/>
      <protection locked="0"/>
    </xf>
    <xf numFmtId="190" fontId="81" fillId="0" borderId="36">
      <alignment vertical="center"/>
      <protection locked="0"/>
    </xf>
    <xf numFmtId="191" fontId="81" fillId="0" borderId="36">
      <alignment vertical="center"/>
      <protection locked="0"/>
    </xf>
    <xf numFmtId="191" fontId="81" fillId="0" borderId="36">
      <alignment vertical="center"/>
      <protection locked="0"/>
    </xf>
    <xf numFmtId="191" fontId="81" fillId="0" borderId="36">
      <alignment vertical="center"/>
      <protection locked="0"/>
    </xf>
    <xf numFmtId="191" fontId="81" fillId="0" borderId="36">
      <alignment vertical="center"/>
      <protection locked="0"/>
    </xf>
    <xf numFmtId="0" fontId="81" fillId="0" borderId="36">
      <alignment vertical="center"/>
      <protection locked="0"/>
    </xf>
    <xf numFmtId="0" fontId="81" fillId="0" borderId="36">
      <alignment vertical="center"/>
      <protection locked="0"/>
    </xf>
    <xf numFmtId="0" fontId="81" fillId="0" borderId="36">
      <alignment vertical="center"/>
      <protection locked="0"/>
    </xf>
    <xf numFmtId="0" fontId="81" fillId="0" borderId="36">
      <alignment vertical="center"/>
      <protection locked="0"/>
    </xf>
    <xf numFmtId="192" fontId="81" fillId="0" borderId="36">
      <alignment vertical="center"/>
      <protection locked="0"/>
    </xf>
    <xf numFmtId="192" fontId="81" fillId="0" borderId="36">
      <alignment vertical="center"/>
      <protection locked="0"/>
    </xf>
    <xf numFmtId="192" fontId="81" fillId="0" borderId="36">
      <alignment vertical="center"/>
      <protection locked="0"/>
    </xf>
    <xf numFmtId="193" fontId="81" fillId="0" borderId="36">
      <alignment vertical="center"/>
      <protection locked="0"/>
    </xf>
    <xf numFmtId="193" fontId="81" fillId="0" borderId="36">
      <alignment vertical="center"/>
      <protection locked="0"/>
    </xf>
    <xf numFmtId="193" fontId="81" fillId="0" borderId="36">
      <alignment vertical="center"/>
      <protection locked="0"/>
    </xf>
    <xf numFmtId="193" fontId="81" fillId="0" borderId="36">
      <alignment vertical="center"/>
      <protection locked="0"/>
    </xf>
    <xf numFmtId="194" fontId="81" fillId="0" borderId="36">
      <alignment vertical="center"/>
      <protection locked="0"/>
    </xf>
    <xf numFmtId="194" fontId="81" fillId="0" borderId="36">
      <alignment vertical="center"/>
      <protection locked="0"/>
    </xf>
    <xf numFmtId="194" fontId="81" fillId="0" borderId="36">
      <alignment vertical="center"/>
      <protection locked="0"/>
    </xf>
    <xf numFmtId="194" fontId="81" fillId="0" borderId="36">
      <alignment vertical="center"/>
      <protection locked="0"/>
    </xf>
    <xf numFmtId="195" fontId="81" fillId="0" borderId="36">
      <alignment vertical="center"/>
      <protection locked="0"/>
    </xf>
    <xf numFmtId="195" fontId="81" fillId="0" borderId="36">
      <alignment vertical="center"/>
      <protection locked="0"/>
    </xf>
    <xf numFmtId="195" fontId="81" fillId="0" borderId="36">
      <alignment vertical="center"/>
      <protection locked="0"/>
    </xf>
    <xf numFmtId="190" fontId="35" fillId="0" borderId="37">
      <alignment horizontal="center" vertical="center"/>
      <protection locked="0"/>
    </xf>
    <xf numFmtId="190" fontId="35" fillId="0" borderId="37">
      <alignment horizontal="center" vertical="center"/>
      <protection locked="0"/>
    </xf>
    <xf numFmtId="190" fontId="35" fillId="0" borderId="37">
      <alignment horizontal="center" vertical="center"/>
      <protection locked="0"/>
    </xf>
    <xf numFmtId="196" fontId="35" fillId="0" borderId="37">
      <alignment horizontal="center" vertical="center"/>
      <protection locked="0"/>
    </xf>
    <xf numFmtId="15" fontId="35" fillId="0" borderId="37">
      <alignment horizontal="center" vertical="center"/>
      <protection locked="0"/>
    </xf>
    <xf numFmtId="15" fontId="35" fillId="0" borderId="37">
      <alignment horizontal="center" vertical="center"/>
      <protection locked="0"/>
    </xf>
    <xf numFmtId="192" fontId="35" fillId="0" borderId="37">
      <alignment horizontal="center" vertical="center"/>
      <protection locked="0"/>
    </xf>
    <xf numFmtId="192" fontId="35" fillId="0" borderId="37">
      <alignment horizontal="center" vertical="center"/>
      <protection locked="0"/>
    </xf>
    <xf numFmtId="192" fontId="35" fillId="0" borderId="37">
      <alignment horizontal="center" vertical="center"/>
      <protection locked="0"/>
    </xf>
    <xf numFmtId="193" fontId="35" fillId="0" borderId="37">
      <alignment horizontal="center" vertical="center"/>
      <protection locked="0"/>
    </xf>
    <xf numFmtId="193" fontId="35" fillId="0" borderId="37">
      <alignment horizontal="center" vertical="center"/>
      <protection locked="0"/>
    </xf>
    <xf numFmtId="193" fontId="35" fillId="0" borderId="37">
      <alignment horizontal="center" vertical="center"/>
      <protection locked="0"/>
    </xf>
    <xf numFmtId="194" fontId="35" fillId="0" borderId="37">
      <alignment horizontal="center" vertical="center"/>
      <protection locked="0"/>
    </xf>
    <xf numFmtId="194" fontId="35" fillId="0" borderId="37">
      <alignment horizontal="center" vertical="center"/>
      <protection locked="0"/>
    </xf>
    <xf numFmtId="194" fontId="35" fillId="0" borderId="37">
      <alignment horizontal="center" vertical="center"/>
      <protection locked="0"/>
    </xf>
    <xf numFmtId="197" fontId="35" fillId="0" borderId="37">
      <alignment horizontal="center" vertical="center"/>
      <protection locked="0"/>
    </xf>
    <xf numFmtId="197" fontId="35" fillId="0" borderId="37">
      <alignment horizontal="center" vertical="center"/>
      <protection locked="0"/>
    </xf>
    <xf numFmtId="197" fontId="35" fillId="0" borderId="37">
      <alignment horizontal="center" vertical="center"/>
      <protection locked="0"/>
    </xf>
    <xf numFmtId="187" fontId="35" fillId="0" borderId="37">
      <alignment vertical="center"/>
      <protection locked="0"/>
    </xf>
    <xf numFmtId="0" fontId="35" fillId="0" borderId="37">
      <alignment vertical="center"/>
      <protection locked="0"/>
    </xf>
    <xf numFmtId="0" fontId="35" fillId="0" borderId="37">
      <alignment vertical="center"/>
      <protection locked="0"/>
    </xf>
    <xf numFmtId="0" fontId="35" fillId="0" borderId="37">
      <alignment vertical="center"/>
      <protection locked="0"/>
    </xf>
    <xf numFmtId="0" fontId="35" fillId="0" borderId="37">
      <alignment vertical="center"/>
      <protection locked="0"/>
    </xf>
    <xf numFmtId="190" fontId="35" fillId="0" borderId="37">
      <alignment horizontal="right" vertical="center"/>
      <protection locked="0"/>
    </xf>
    <xf numFmtId="190" fontId="35" fillId="0" borderId="37">
      <alignment horizontal="right" vertical="center"/>
      <protection locked="0"/>
    </xf>
    <xf numFmtId="190" fontId="35" fillId="0" borderId="37">
      <alignment horizontal="right" vertical="center"/>
      <protection locked="0"/>
    </xf>
    <xf numFmtId="198" fontId="35" fillId="0" borderId="37">
      <alignment horizontal="right" vertical="center"/>
      <protection locked="0"/>
    </xf>
    <xf numFmtId="199" fontId="35" fillId="0" borderId="37">
      <alignment horizontal="right" vertical="center"/>
      <protection locked="0"/>
    </xf>
    <xf numFmtId="199" fontId="35" fillId="0" borderId="37">
      <alignment horizontal="right" vertical="center"/>
      <protection locked="0"/>
    </xf>
    <xf numFmtId="192" fontId="35" fillId="0" borderId="37">
      <alignment horizontal="right" vertical="center"/>
      <protection locked="0"/>
    </xf>
    <xf numFmtId="192" fontId="35" fillId="0" borderId="37">
      <alignment horizontal="right" vertical="center"/>
      <protection locked="0"/>
    </xf>
    <xf numFmtId="192" fontId="35" fillId="0" borderId="37">
      <alignment horizontal="right" vertical="center"/>
      <protection locked="0"/>
    </xf>
    <xf numFmtId="193" fontId="35" fillId="0" borderId="37">
      <alignment horizontal="right" vertical="center"/>
      <protection locked="0"/>
    </xf>
    <xf numFmtId="193" fontId="35" fillId="0" borderId="37">
      <alignment horizontal="right" vertical="center"/>
      <protection locked="0"/>
    </xf>
    <xf numFmtId="193" fontId="35" fillId="0" borderId="37">
      <alignment horizontal="right" vertical="center"/>
      <protection locked="0"/>
    </xf>
    <xf numFmtId="194" fontId="35" fillId="0" borderId="37">
      <alignment horizontal="right" vertical="center"/>
      <protection locked="0"/>
    </xf>
    <xf numFmtId="194" fontId="35" fillId="0" borderId="37">
      <alignment horizontal="right" vertical="center"/>
      <protection locked="0"/>
    </xf>
    <xf numFmtId="194" fontId="35" fillId="0" borderId="37">
      <alignment horizontal="right" vertical="center"/>
      <protection locked="0"/>
    </xf>
    <xf numFmtId="197" fontId="35" fillId="0" borderId="37">
      <alignment horizontal="right" vertical="center"/>
      <protection locked="0"/>
    </xf>
    <xf numFmtId="197" fontId="35" fillId="0" borderId="37">
      <alignment horizontal="right" vertical="center"/>
      <protection locked="0"/>
    </xf>
    <xf numFmtId="197" fontId="35" fillId="0" borderId="37">
      <alignment horizontal="right" vertical="center"/>
      <protection locked="0"/>
    </xf>
    <xf numFmtId="0" fontId="82" fillId="65" borderId="0" applyNumberFormat="0" applyBorder="0" applyAlignment="0" applyProtection="0"/>
    <xf numFmtId="187" fontId="83" fillId="66" borderId="0">
      <alignment vertical="center"/>
    </xf>
    <xf numFmtId="0" fontId="46" fillId="67" borderId="38"/>
    <xf numFmtId="187" fontId="84" fillId="0" borderId="14" applyNumberFormat="0" applyFill="0" applyAlignment="0" applyProtection="0"/>
    <xf numFmtId="0" fontId="84" fillId="0" borderId="14" applyNumberFormat="0" applyFill="0" applyAlignment="0" applyProtection="0"/>
    <xf numFmtId="0" fontId="84" fillId="0" borderId="14" applyNumberFormat="0" applyFill="0" applyAlignment="0" applyProtection="0"/>
    <xf numFmtId="0" fontId="84" fillId="0" borderId="14" applyNumberFormat="0" applyFill="0" applyAlignment="0" applyProtection="0"/>
    <xf numFmtId="0" fontId="84" fillId="0" borderId="14" applyNumberFormat="0" applyFill="0" applyAlignment="0" applyProtection="0"/>
    <xf numFmtId="0" fontId="84" fillId="0" borderId="14" applyNumberFormat="0" applyFill="0" applyAlignment="0" applyProtection="0"/>
    <xf numFmtId="0" fontId="84" fillId="0" borderId="14" applyNumberFormat="0" applyFill="0" applyAlignment="0" applyProtection="0"/>
    <xf numFmtId="187" fontId="84" fillId="0" borderId="14" applyNumberFormat="0" applyFill="0" applyAlignment="0" applyProtection="0"/>
    <xf numFmtId="5" fontId="40" fillId="0" borderId="17" applyAlignment="0" applyProtection="0"/>
    <xf numFmtId="164" fontId="40" fillId="0" borderId="17" applyAlignment="0" applyProtection="0"/>
    <xf numFmtId="164" fontId="40" fillId="0" borderId="17" applyAlignment="0" applyProtection="0"/>
    <xf numFmtId="187" fontId="37" fillId="0" borderId="6" applyNumberFormat="0" applyFont="0" applyFill="0" applyAlignment="0" applyProtection="0"/>
    <xf numFmtId="187" fontId="37" fillId="0" borderId="39" applyNumberFormat="0" applyFont="0" applyFill="0" applyAlignment="0" applyProtection="0"/>
    <xf numFmtId="0" fontId="37" fillId="0" borderId="39" applyNumberFormat="0" applyFont="0" applyFill="0" applyAlignment="0" applyProtection="0"/>
    <xf numFmtId="0" fontId="37" fillId="0" borderId="39" applyNumberFormat="0" applyFont="0" applyFill="0" applyAlignment="0" applyProtection="0"/>
    <xf numFmtId="0" fontId="37" fillId="0" borderId="39" applyNumberFormat="0" applyFont="0" applyFill="0" applyAlignment="0" applyProtection="0"/>
    <xf numFmtId="164" fontId="40" fillId="0" borderId="17" applyAlignment="0" applyProtection="0"/>
    <xf numFmtId="0" fontId="85" fillId="0" borderId="0" applyFill="0" applyBorder="0" applyAlignment="0" applyProtection="0"/>
    <xf numFmtId="200" fontId="72" fillId="0" borderId="0" applyFont="0" applyFill="0" applyBorder="0" applyAlignment="0" applyProtection="0"/>
    <xf numFmtId="201" fontId="4" fillId="0" borderId="0" applyFill="0" applyBorder="0" applyAlignment="0"/>
    <xf numFmtId="202" fontId="4" fillId="0" borderId="0" applyFill="0" applyBorder="0" applyAlignment="0"/>
    <xf numFmtId="203" fontId="4" fillId="0" borderId="0" applyFill="0" applyBorder="0" applyAlignment="0"/>
    <xf numFmtId="204" fontId="4" fillId="0" borderId="0" applyFill="0" applyBorder="0" applyAlignment="0"/>
    <xf numFmtId="0" fontId="38" fillId="0" borderId="0" applyFill="0" applyBorder="0" applyAlignment="0"/>
    <xf numFmtId="201" fontId="4" fillId="0" borderId="0" applyFill="0" applyBorder="0" applyAlignment="0"/>
    <xf numFmtId="0" fontId="38" fillId="0" borderId="0" applyFill="0" applyBorder="0" applyAlignment="0"/>
    <xf numFmtId="202" fontId="4" fillId="0" borderId="0" applyFill="0" applyBorder="0" applyAlignment="0"/>
    <xf numFmtId="205" fontId="86" fillId="0" borderId="0" applyBorder="0" applyProtection="0">
      <alignment horizontal="right" vertical="center"/>
    </xf>
    <xf numFmtId="187" fontId="87" fillId="68" borderId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0" fontId="88" fillId="46" borderId="40" applyNumberFormat="0" applyAlignment="0" applyProtection="0"/>
    <xf numFmtId="206" fontId="59" fillId="0" borderId="0" applyFill="0" applyBorder="0" applyAlignment="0"/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207" fontId="4" fillId="0" borderId="0" applyFill="0" applyBorder="0" applyProtection="0"/>
    <xf numFmtId="207" fontId="4" fillId="0" borderId="0" applyFill="0" applyBorder="0" applyProtection="0"/>
    <xf numFmtId="187" fontId="35" fillId="0" borderId="0" applyNumberFormat="0" applyFont="0" applyFill="0" applyBorder="0">
      <alignment horizontal="center" vertical="center"/>
      <protection locked="0"/>
    </xf>
    <xf numFmtId="0" fontId="35" fillId="0" borderId="0" applyNumberFormat="0" applyFont="0" applyFill="0" applyBorder="0">
      <alignment horizontal="center" vertical="center"/>
      <protection locked="0"/>
    </xf>
    <xf numFmtId="0" fontId="89" fillId="0" borderId="0" applyNumberFormat="0" applyFont="0" applyFill="0" applyBorder="0">
      <alignment horizontal="center" vertical="center"/>
      <protection locked="0"/>
    </xf>
    <xf numFmtId="208" fontId="47" fillId="0" borderId="0"/>
    <xf numFmtId="190" fontId="35" fillId="0" borderId="0" applyFill="0" applyBorder="0">
      <alignment horizontal="center" vertical="center"/>
    </xf>
    <xf numFmtId="190" fontId="35" fillId="0" borderId="0" applyFill="0" applyBorder="0">
      <alignment horizontal="center" vertical="center"/>
    </xf>
    <xf numFmtId="190" fontId="35" fillId="0" borderId="0" applyFill="0" applyBorder="0">
      <alignment horizontal="center" vertical="center"/>
    </xf>
    <xf numFmtId="196" fontId="35" fillId="0" borderId="0" applyFill="0" applyBorder="0">
      <alignment horizontal="center" vertical="center"/>
    </xf>
    <xf numFmtId="15" fontId="35" fillId="0" borderId="0" applyFill="0" applyBorder="0">
      <alignment horizontal="center" vertical="center"/>
    </xf>
    <xf numFmtId="15" fontId="35" fillId="0" borderId="0" applyFill="0" applyBorder="0">
      <alignment horizontal="center" vertical="center"/>
    </xf>
    <xf numFmtId="192" fontId="35" fillId="0" borderId="0" applyFill="0" applyBorder="0">
      <alignment horizontal="center" vertical="center"/>
    </xf>
    <xf numFmtId="192" fontId="35" fillId="0" borderId="0" applyFill="0" applyBorder="0">
      <alignment horizontal="center" vertical="center"/>
    </xf>
    <xf numFmtId="192" fontId="35" fillId="0" borderId="0" applyFill="0" applyBorder="0">
      <alignment horizontal="center" vertical="center"/>
    </xf>
    <xf numFmtId="193" fontId="35" fillId="0" borderId="0" applyFill="0" applyBorder="0">
      <alignment horizontal="center" vertical="center"/>
    </xf>
    <xf numFmtId="193" fontId="35" fillId="0" borderId="0" applyFill="0" applyBorder="0">
      <alignment horizontal="center" vertical="center"/>
    </xf>
    <xf numFmtId="193" fontId="35" fillId="0" borderId="0" applyFill="0" applyBorder="0">
      <alignment horizontal="center" vertical="center"/>
    </xf>
    <xf numFmtId="194" fontId="35" fillId="0" borderId="0" applyFill="0" applyBorder="0">
      <alignment horizontal="center" vertical="center"/>
    </xf>
    <xf numFmtId="194" fontId="35" fillId="0" borderId="0" applyFill="0" applyBorder="0">
      <alignment horizontal="center" vertical="center"/>
    </xf>
    <xf numFmtId="194" fontId="35" fillId="0" borderId="0" applyFill="0" applyBorder="0">
      <alignment horizontal="center" vertical="center"/>
    </xf>
    <xf numFmtId="197" fontId="35" fillId="0" borderId="0" applyFill="0" applyBorder="0">
      <alignment horizontal="center" vertical="center"/>
    </xf>
    <xf numFmtId="197" fontId="35" fillId="0" borderId="0" applyFill="0" applyBorder="0">
      <alignment horizontal="center" vertical="center"/>
    </xf>
    <xf numFmtId="197" fontId="35" fillId="0" borderId="0" applyFill="0" applyBorder="0">
      <alignment horizontal="center" vertical="center"/>
    </xf>
    <xf numFmtId="209" fontId="90" fillId="0" borderId="41" applyProtection="0">
      <alignment horizontal="center"/>
    </xf>
    <xf numFmtId="0" fontId="91" fillId="69" borderId="42" applyNumberFormat="0" applyAlignment="0" applyProtection="0"/>
    <xf numFmtId="0" fontId="4" fillId="0" borderId="0"/>
    <xf numFmtId="0" fontId="92" fillId="0" borderId="43">
      <protection locked="0"/>
    </xf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1" fontId="4" fillId="0" borderId="0" applyFont="0" applyFill="0" applyBorder="0" applyAlignment="0" applyProtection="0">
      <alignment horizontal="center"/>
    </xf>
    <xf numFmtId="212" fontId="4" fillId="0" borderId="0" applyFont="0" applyFill="0" applyBorder="0" applyAlignment="0" applyProtection="0">
      <alignment horizontal="center"/>
    </xf>
    <xf numFmtId="213" fontId="4" fillId="0" borderId="0" applyFont="0" applyFill="0" applyBorder="0" applyAlignment="0" applyProtection="0">
      <alignment horizontal="center"/>
    </xf>
    <xf numFmtId="201" fontId="4" fillId="0" borderId="0" applyFont="0" applyFill="0" applyBorder="0" applyAlignment="0" applyProtection="0"/>
    <xf numFmtId="181" fontId="93" fillId="0" borderId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9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70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97" fillId="0" borderId="44" applyNumberFormat="0" applyAlignment="0">
      <alignment horizontal="center"/>
    </xf>
    <xf numFmtId="187" fontId="98" fillId="0" borderId="0" applyNumberFormat="0" applyAlignment="0">
      <alignment horizontal="left"/>
    </xf>
    <xf numFmtId="0" fontId="99" fillId="0" borderId="0">
      <alignment horizontal="left"/>
    </xf>
    <xf numFmtId="0" fontId="100" fillId="0" borderId="0"/>
    <xf numFmtId="0" fontId="101" fillId="0" borderId="0">
      <alignment horizontal="left"/>
    </xf>
    <xf numFmtId="214" fontId="4" fillId="0" borderId="0" applyFill="0" applyBorder="0" applyAlignment="0" applyProtection="0">
      <alignment horizontal="center"/>
    </xf>
    <xf numFmtId="8" fontId="102" fillId="0" borderId="1"/>
    <xf numFmtId="20" fontId="4" fillId="0" borderId="0" applyFont="0" applyFill="0" applyBorder="0" applyAlignment="0" applyProtection="0"/>
    <xf numFmtId="215" fontId="103" fillId="0" borderId="0" applyFont="0" applyFill="0" applyBorder="0" applyAlignment="0" applyProtection="0"/>
    <xf numFmtId="206" fontId="59" fillId="0" borderId="0" applyFill="0" applyBorder="0">
      <protection locked="0"/>
    </xf>
    <xf numFmtId="202" fontId="4" fillId="0" borderId="0" applyFont="0" applyFill="0" applyBorder="0" applyAlignment="0" applyProtection="0"/>
    <xf numFmtId="216" fontId="59" fillId="0" borderId="0" applyFill="0" applyBorder="0"/>
    <xf numFmtId="216" fontId="59" fillId="0" borderId="0" applyFill="0" applyBorder="0">
      <protection locked="0"/>
    </xf>
    <xf numFmtId="165" fontId="104" fillId="0" borderId="45">
      <protection locked="0"/>
    </xf>
    <xf numFmtId="217" fontId="59" fillId="0" borderId="0" applyFont="0" applyFill="0" applyBorder="0" applyAlignment="0" applyProtection="0">
      <alignment horizontal="right"/>
    </xf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4" fontId="35" fillId="0" borderId="0" applyFont="0" applyFill="0" applyBorder="0" applyAlignment="0" applyProtection="0"/>
    <xf numFmtId="218" fontId="105" fillId="0" borderId="0" applyFont="0" applyFill="0" applyBorder="0" applyAlignment="0" applyProtection="0">
      <protection locked="0"/>
    </xf>
    <xf numFmtId="218" fontId="105" fillId="0" borderId="0" applyFont="0" applyFill="0" applyBorder="0" applyAlignment="0" applyProtection="0">
      <protection locked="0"/>
    </xf>
    <xf numFmtId="219" fontId="4" fillId="0" borderId="0" applyFont="0" applyFill="0" applyBorder="0" applyAlignment="0" applyProtection="0"/>
    <xf numFmtId="220" fontId="4" fillId="0" borderId="0" applyFont="0" applyFill="0" applyBorder="0" applyAlignment="0" applyProtection="0">
      <protection locked="0"/>
    </xf>
    <xf numFmtId="220" fontId="4" fillId="0" borderId="0" applyFont="0" applyFill="0" applyBorder="0" applyAlignment="0" applyProtection="0">
      <protection locked="0"/>
    </xf>
    <xf numFmtId="221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8" fontId="71" fillId="0" borderId="0" applyFill="0" applyBorder="0">
      <alignment horizontal="right"/>
    </xf>
    <xf numFmtId="190" fontId="81" fillId="0" borderId="0" applyFill="0" applyBorder="0">
      <alignment vertical="center"/>
    </xf>
    <xf numFmtId="203" fontId="4" fillId="0" borderId="0" applyFont="0" applyFill="0" applyBorder="0" applyAlignment="0" applyProtection="0"/>
    <xf numFmtId="223" fontId="72" fillId="0" borderId="0" applyFont="0" applyFill="0" applyBorder="0" applyAlignment="0" applyProtection="0"/>
    <xf numFmtId="38" fontId="106" fillId="70" borderId="28"/>
    <xf numFmtId="38" fontId="106" fillId="70" borderId="28"/>
    <xf numFmtId="38" fontId="106" fillId="70" borderId="28"/>
    <xf numFmtId="177" fontId="4" fillId="0" borderId="0" applyFont="0" applyFill="0" applyBorder="0" applyAlignment="0" applyProtection="0"/>
    <xf numFmtId="224" fontId="59" fillId="0" borderId="0" applyFont="0" applyFill="0" applyBorder="0" applyAlignment="0" applyProtection="0"/>
    <xf numFmtId="225" fontId="107" fillId="0" borderId="0" applyFill="0" applyBorder="0" applyProtection="0">
      <alignment horizontal="center"/>
    </xf>
    <xf numFmtId="14" fontId="38" fillId="0" borderId="0" applyFill="0" applyBorder="0" applyAlignment="0"/>
    <xf numFmtId="15" fontId="105" fillId="0" borderId="0" applyFill="0" applyBorder="0">
      <protection locked="0"/>
    </xf>
    <xf numFmtId="15" fontId="105" fillId="0" borderId="0" applyFill="0" applyBorder="0">
      <protection locked="0"/>
    </xf>
    <xf numFmtId="191" fontId="81" fillId="0" borderId="0" applyFill="0" applyBorder="0">
      <alignment vertical="center"/>
    </xf>
    <xf numFmtId="15" fontId="105" fillId="0" borderId="0" applyFont="0" applyFill="0" applyBorder="0" applyAlignment="0" applyProtection="0">
      <protection locked="0"/>
    </xf>
    <xf numFmtId="1" fontId="4" fillId="0" borderId="0" applyFill="0" applyBorder="0">
      <alignment horizontal="right"/>
    </xf>
    <xf numFmtId="2" fontId="4" fillId="0" borderId="0" applyFill="0" applyBorder="0">
      <alignment horizontal="right"/>
    </xf>
    <xf numFmtId="2" fontId="105" fillId="0" borderId="0" applyFill="0" applyBorder="0">
      <protection locked="0"/>
    </xf>
    <xf numFmtId="2" fontId="105" fillId="0" borderId="0" applyFill="0" applyBorder="0">
      <protection locked="0"/>
    </xf>
    <xf numFmtId="2" fontId="4" fillId="0" borderId="0" applyFill="0" applyBorder="0">
      <alignment horizontal="right"/>
    </xf>
    <xf numFmtId="170" fontId="4" fillId="0" borderId="0" applyFill="0" applyBorder="0">
      <alignment horizontal="right"/>
    </xf>
    <xf numFmtId="170" fontId="105" fillId="0" borderId="0" applyFill="0" applyBorder="0">
      <protection locked="0"/>
    </xf>
    <xf numFmtId="170" fontId="105" fillId="0" borderId="0" applyFill="0" applyBorder="0">
      <protection locked="0"/>
    </xf>
    <xf numFmtId="170" fontId="4" fillId="0" borderId="0" applyFill="0" applyBorder="0">
      <alignment horizontal="right"/>
    </xf>
    <xf numFmtId="226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49" fontId="108" fillId="0" borderId="0" applyFill="0" applyBorder="0" applyProtection="0">
      <alignment horizontal="left"/>
    </xf>
    <xf numFmtId="9" fontId="4" fillId="0" borderId="0"/>
    <xf numFmtId="228" fontId="59" fillId="0" borderId="46" applyNumberFormat="0" applyFont="0" applyFill="0" applyAlignment="0" applyProtection="0"/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09" fillId="0" borderId="0" applyNumberFormat="0"/>
    <xf numFmtId="201" fontId="4" fillId="0" borderId="0" applyFill="0" applyBorder="0" applyAlignment="0"/>
    <xf numFmtId="202" fontId="4" fillId="0" borderId="0" applyFill="0" applyBorder="0" applyAlignment="0"/>
    <xf numFmtId="201" fontId="4" fillId="0" borderId="0" applyFill="0" applyBorder="0" applyAlignment="0"/>
    <xf numFmtId="0" fontId="105" fillId="0" borderId="0" applyFill="0" applyBorder="0" applyAlignment="0"/>
    <xf numFmtId="202" fontId="4" fillId="0" borderId="0" applyFill="0" applyBorder="0" applyAlignment="0"/>
    <xf numFmtId="187" fontId="110" fillId="0" borderId="0" applyNumberFormat="0" applyAlignment="0">
      <alignment horizontal="left"/>
    </xf>
    <xf numFmtId="229" fontId="111" fillId="74" borderId="47">
      <alignment horizontal="center"/>
      <protection locked="0"/>
    </xf>
    <xf numFmtId="0" fontId="4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87" fontId="72" fillId="0" borderId="0" applyNumberFormat="0" applyFill="0" applyBorder="0" applyAlignment="0" applyProtection="0"/>
    <xf numFmtId="230" fontId="46" fillId="0" borderId="0" applyBorder="0">
      <alignment horizontal="right" vertical="top"/>
    </xf>
    <xf numFmtId="231" fontId="46" fillId="0" borderId="0" applyFill="0" applyBorder="0">
      <alignment horizontal="right" vertical="top"/>
    </xf>
    <xf numFmtId="232" fontId="46" fillId="0" borderId="0" applyFill="0" applyBorder="0">
      <alignment horizontal="right" vertical="top"/>
    </xf>
    <xf numFmtId="0" fontId="113" fillId="0" borderId="48">
      <alignment horizontal="right" wrapText="1"/>
    </xf>
    <xf numFmtId="0" fontId="46" fillId="0" borderId="0" applyFill="0" applyBorder="0">
      <alignment horizontal="left" vertical="top" wrapText="1"/>
    </xf>
    <xf numFmtId="179" fontId="71" fillId="0" borderId="0" applyFill="0" applyBorder="0">
      <alignment horizontal="right"/>
    </xf>
    <xf numFmtId="233" fontId="71" fillId="0" borderId="0" applyFill="0" applyBorder="0">
      <alignment horizontal="right"/>
    </xf>
    <xf numFmtId="234" fontId="71" fillId="0" borderId="0" applyFill="0" applyBorder="0">
      <alignment horizontal="right"/>
    </xf>
    <xf numFmtId="179" fontId="4" fillId="0" borderId="0" applyFont="0" applyFill="0" applyBorder="0" applyAlignment="0" applyProtection="0"/>
    <xf numFmtId="0" fontId="114" fillId="0" borderId="0">
      <alignment horizontal="left"/>
    </xf>
    <xf numFmtId="0" fontId="115" fillId="0" borderId="0">
      <alignment horizontal="left"/>
    </xf>
    <xf numFmtId="0" fontId="64" fillId="0" borderId="0" applyFill="0" applyBorder="0" applyProtection="0">
      <alignment horizontal="left"/>
    </xf>
    <xf numFmtId="0" fontId="64" fillId="0" borderId="0">
      <alignment horizontal="left"/>
    </xf>
    <xf numFmtId="187" fontId="64" fillId="0" borderId="0" applyFill="0" applyBorder="0" applyProtection="0">
      <alignment horizontal="left"/>
    </xf>
    <xf numFmtId="235" fontId="103" fillId="0" borderId="0" applyFont="0" applyFill="0" applyBorder="0" applyAlignment="0" applyProtection="0"/>
    <xf numFmtId="187" fontId="4" fillId="0" borderId="0" applyFont="0" applyFill="0" applyBorder="0" applyAlignment="0" applyProtection="0">
      <alignment horizontal="center"/>
    </xf>
    <xf numFmtId="236" fontId="116" fillId="0" borderId="49" applyNumberFormat="0">
      <alignment horizontal="right" vertical="center"/>
      <protection locked="0"/>
    </xf>
    <xf numFmtId="0" fontId="35" fillId="0" borderId="0"/>
    <xf numFmtId="0" fontId="117" fillId="75" borderId="0" applyNumberFormat="0" applyBorder="0" applyAlignment="0" applyProtection="0"/>
    <xf numFmtId="38" fontId="35" fillId="2" borderId="0" applyNumberFormat="0" applyBorder="0" applyAlignment="0" applyProtection="0"/>
    <xf numFmtId="38" fontId="35" fillId="2" borderId="0" applyNumberFormat="0" applyBorder="0" applyAlignment="0" applyProtection="0"/>
    <xf numFmtId="237" fontId="59" fillId="0" borderId="0" applyFont="0" applyFill="0" applyBorder="0" applyAlignment="0" applyProtection="0">
      <alignment horizontal="right"/>
    </xf>
    <xf numFmtId="3" fontId="105" fillId="52" borderId="0" applyFill="0" applyBorder="0" applyAlignment="0" applyProtection="0"/>
    <xf numFmtId="0" fontId="118" fillId="0" borderId="0" applyProtection="0">
      <alignment horizontal="right"/>
    </xf>
    <xf numFmtId="238" fontId="119" fillId="0" borderId="0"/>
    <xf numFmtId="238" fontId="120" fillId="0" borderId="0"/>
    <xf numFmtId="0" fontId="120" fillId="0" borderId="0">
      <alignment horizontal="right"/>
    </xf>
    <xf numFmtId="0" fontId="121" fillId="0" borderId="0">
      <alignment horizontal="left"/>
    </xf>
    <xf numFmtId="187" fontId="118" fillId="0" borderId="0" applyProtection="0">
      <alignment horizontal="right"/>
    </xf>
    <xf numFmtId="0" fontId="34" fillId="0" borderId="32" applyNumberFormat="0" applyAlignment="0" applyProtection="0">
      <alignment horizontal="left" vertical="center"/>
    </xf>
    <xf numFmtId="187" fontId="34" fillId="0" borderId="32" applyNumberFormat="0" applyAlignment="0" applyProtection="0">
      <alignment horizontal="left" vertical="center"/>
    </xf>
    <xf numFmtId="0" fontId="34" fillId="0" borderId="32" applyNumberFormat="0" applyAlignment="0" applyProtection="0">
      <alignment horizontal="left" vertical="center"/>
    </xf>
    <xf numFmtId="0" fontId="34" fillId="0" borderId="12">
      <alignment horizontal="left" vertical="center"/>
    </xf>
    <xf numFmtId="187" fontId="34" fillId="0" borderId="12">
      <alignment horizontal="left" vertical="center"/>
    </xf>
    <xf numFmtId="0" fontId="34" fillId="0" borderId="12">
      <alignment horizontal="left" vertical="center"/>
    </xf>
    <xf numFmtId="239" fontId="122" fillId="0" borderId="0">
      <alignment horizontal="left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123" fillId="0" borderId="50" applyNumberFormat="0" applyFill="0" applyAlignment="0" applyProtection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187" fontId="124" fillId="0" borderId="0" applyBorder="0">
      <alignment vertical="center"/>
    </xf>
    <xf numFmtId="0" fontId="6" fillId="0" borderId="0" applyFill="0" applyBorder="0">
      <alignment vertical="center"/>
    </xf>
    <xf numFmtId="0" fontId="125" fillId="0" borderId="51" applyNumberFormat="0" applyFill="0" applyAlignment="0" applyProtection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0" fontId="126" fillId="0" borderId="0">
      <alignment horizontal="left"/>
    </xf>
    <xf numFmtId="240" fontId="127" fillId="37" borderId="19"/>
    <xf numFmtId="0" fontId="127" fillId="37" borderId="19" applyNumberFormat="0" applyProtection="0"/>
    <xf numFmtId="0" fontId="128" fillId="0" borderId="0" applyFill="0" applyBorder="0">
      <alignment vertical="center"/>
    </xf>
    <xf numFmtId="0" fontId="129" fillId="0" borderId="29">
      <alignment horizontal="left" vertical="top"/>
    </xf>
    <xf numFmtId="0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187" fontId="6" fillId="0" borderId="14" applyNumberFormat="0"/>
    <xf numFmtId="187" fontId="6" fillId="0" borderId="14" applyNumberFormat="0"/>
    <xf numFmtId="187" fontId="6" fillId="0" borderId="14" applyNumberFormat="0"/>
    <xf numFmtId="187" fontId="6" fillId="0" borderId="14" applyNumberFormat="0"/>
    <xf numFmtId="187" fontId="6" fillId="0" borderId="14" applyNumberFormat="0"/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130" fillId="0" borderId="52" applyNumberFormat="0" applyFill="0" applyAlignment="0" applyProtection="0"/>
    <xf numFmtId="0" fontId="44" fillId="0" borderId="0" applyFill="0" applyBorder="0">
      <alignment vertical="center"/>
    </xf>
    <xf numFmtId="187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93" fillId="0" borderId="0">
      <alignment horizontal="left"/>
    </xf>
    <xf numFmtId="0" fontId="131" fillId="0" borderId="0" applyNumberFormat="0" applyFill="0" applyAlignment="0" applyProtection="0"/>
    <xf numFmtId="0" fontId="132" fillId="0" borderId="0" applyFill="0" applyBorder="0">
      <alignment vertical="center"/>
    </xf>
    <xf numFmtId="0" fontId="133" fillId="0" borderId="29">
      <alignment horizontal="left" vertical="top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134" fillId="0" borderId="53" applyNumberFormat="0" applyFill="0" applyAlignment="0" applyProtection="0"/>
    <xf numFmtId="0" fontId="41" fillId="0" borderId="0" applyFill="0" applyBorder="0">
      <alignment vertical="center"/>
    </xf>
    <xf numFmtId="0" fontId="135" fillId="0" borderId="53" applyNumberFormat="0" applyFill="0" applyAlignment="0" applyProtection="0"/>
    <xf numFmtId="0" fontId="135" fillId="0" borderId="53" applyNumberFormat="0" applyFill="0" applyAlignment="0" applyProtection="0"/>
    <xf numFmtId="187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136" fillId="0" borderId="54" applyNumberFormat="0" applyFill="0" applyAlignment="0" applyProtection="0"/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137" fillId="0" borderId="0" applyNumberFormat="0" applyFill="0" applyAlignment="0" applyProtection="0"/>
    <xf numFmtId="0" fontId="138" fillId="0" borderId="0" applyFill="0" applyBorder="0">
      <alignment vertical="center"/>
    </xf>
    <xf numFmtId="0" fontId="139" fillId="0" borderId="0">
      <alignment horizontal="left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134" fillId="0" borderId="0" applyNumberFormat="0" applyFill="0" applyBorder="0" applyAlignment="0" applyProtection="0"/>
    <xf numFmtId="0" fontId="35" fillId="0" borderId="0" applyFill="0" applyBorder="0">
      <alignment vertical="center"/>
    </xf>
    <xf numFmtId="187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136" fillId="0" borderId="0" applyNumberFormat="0" applyFill="0" applyBorder="0" applyAlignment="0" applyProtection="0"/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140" fillId="0" borderId="0" applyFill="0" applyBorder="0">
      <alignment vertical="center"/>
    </xf>
    <xf numFmtId="187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187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0" fontId="6" fillId="0" borderId="14" applyNumberFormat="0"/>
    <xf numFmtId="5" fontId="141" fillId="0" borderId="0">
      <alignment horizontal="left"/>
    </xf>
    <xf numFmtId="38" fontId="8" fillId="0" borderId="0"/>
    <xf numFmtId="0" fontId="42" fillId="0" borderId="0"/>
    <xf numFmtId="0" fontId="142" fillId="0" borderId="0"/>
    <xf numFmtId="0" fontId="8" fillId="0" borderId="0">
      <alignment horizontal="left"/>
    </xf>
    <xf numFmtId="187" fontId="8" fillId="0" borderId="0">
      <alignment horizontal="left"/>
    </xf>
    <xf numFmtId="187" fontId="8" fillId="0" borderId="0">
      <alignment horizontal="left"/>
    </xf>
    <xf numFmtId="181" fontId="6" fillId="0" borderId="0" applyProtection="0"/>
    <xf numFmtId="241" fontId="33" fillId="0" borderId="0" applyAlignment="0">
      <alignment horizontal="right"/>
      <protection hidden="1"/>
    </xf>
    <xf numFmtId="0" fontId="143" fillId="0" borderId="6" applyBorder="0"/>
    <xf numFmtId="0" fontId="1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45" fillId="0" borderId="0" applyNumberFormat="0" applyFill="0" applyBorder="0">
      <alignment horizontal="left"/>
      <protection locked="0"/>
    </xf>
    <xf numFmtId="187" fontId="146" fillId="0" borderId="0" applyFill="0" applyBorder="0">
      <alignment horizontal="center" vertical="center"/>
      <protection locked="0"/>
    </xf>
    <xf numFmtId="0" fontId="146" fillId="0" borderId="0" applyFill="0" applyBorder="0">
      <alignment horizontal="center" vertical="center"/>
    </xf>
    <xf numFmtId="187" fontId="146" fillId="0" borderId="0" applyFill="0" applyBorder="0">
      <alignment horizontal="center" vertical="center"/>
      <protection locked="0"/>
    </xf>
    <xf numFmtId="0" fontId="146" fillId="0" borderId="0" applyFill="0" applyBorder="0">
      <alignment horizontal="center" vertical="center"/>
    </xf>
    <xf numFmtId="187" fontId="147" fillId="0" borderId="0" applyFill="0" applyBorder="0">
      <alignment horizontal="left" vertical="center"/>
      <protection locked="0"/>
    </xf>
    <xf numFmtId="0" fontId="148" fillId="0" borderId="0" applyFill="0" applyBorder="0">
      <alignment vertical="center"/>
    </xf>
    <xf numFmtId="0" fontId="149" fillId="0" borderId="0" applyFill="0" applyBorder="0">
      <alignment vertical="center"/>
    </xf>
    <xf numFmtId="0" fontId="150" fillId="0" borderId="0" applyFill="0" applyBorder="0">
      <alignment vertical="center"/>
    </xf>
    <xf numFmtId="0" fontId="151" fillId="0" borderId="0" applyFill="0" applyBorder="0">
      <alignment vertical="center"/>
    </xf>
    <xf numFmtId="0" fontId="151" fillId="0" borderId="0" applyFill="0" applyBorder="0">
      <alignment vertical="center"/>
    </xf>
    <xf numFmtId="201" fontId="4" fillId="39" borderId="0" applyFont="0" applyBorder="0">
      <alignment horizontal="right"/>
    </xf>
    <xf numFmtId="180" fontId="4" fillId="39" borderId="0" applyFont="0" applyBorder="0" applyAlignment="0"/>
    <xf numFmtId="201" fontId="4" fillId="39" borderId="0" applyFont="0" applyBorder="0">
      <alignment horizontal="right"/>
    </xf>
    <xf numFmtId="0" fontId="4" fillId="0" borderId="0" applyFill="0"/>
    <xf numFmtId="236" fontId="116" fillId="40" borderId="55" applyBorder="0">
      <alignment horizontal="left" vertical="center" wrapText="1" indent="1"/>
    </xf>
    <xf numFmtId="181" fontId="36" fillId="0" borderId="56" applyProtection="0"/>
    <xf numFmtId="181" fontId="36" fillId="0" borderId="56" applyProtection="0"/>
    <xf numFmtId="181" fontId="36" fillId="0" borderId="56" applyProtection="0"/>
    <xf numFmtId="242" fontId="152" fillId="0" borderId="56">
      <alignment horizontal="right"/>
      <protection locked="0"/>
    </xf>
    <xf numFmtId="10" fontId="35" fillId="39" borderId="47" applyNumberFormat="0" applyBorder="0" applyAlignment="0" applyProtection="0"/>
    <xf numFmtId="10" fontId="35" fillId="39" borderId="47" applyNumberFormat="0" applyBorder="0" applyAlignment="0" applyProtection="0"/>
    <xf numFmtId="9" fontId="105" fillId="0" borderId="0" applyNumberFormat="0" applyBorder="0">
      <protection locked="0"/>
    </xf>
    <xf numFmtId="9" fontId="105" fillId="0" borderId="0" applyNumberFormat="0" applyBorder="0">
      <protection locked="0"/>
    </xf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0" fontId="153" fillId="48" borderId="40" applyNumberFormat="0" applyAlignment="0" applyProtection="0"/>
    <xf numFmtId="9" fontId="105" fillId="0" borderId="0" applyNumberFormat="0" applyBorder="0">
      <protection locked="0"/>
    </xf>
    <xf numFmtId="9" fontId="105" fillId="0" borderId="0" applyNumberFormat="0" applyBorder="0">
      <protection locked="0"/>
    </xf>
    <xf numFmtId="9" fontId="105" fillId="0" borderId="0" applyNumberFormat="0" applyBorder="0">
      <protection locked="0"/>
    </xf>
    <xf numFmtId="9" fontId="105" fillId="0" borderId="0" applyNumberFormat="0" applyBorder="0">
      <protection locked="0"/>
    </xf>
    <xf numFmtId="9" fontId="105" fillId="0" borderId="0" applyNumberFormat="0" applyBorder="0">
      <protection locked="0"/>
    </xf>
    <xf numFmtId="9" fontId="105" fillId="0" borderId="0" applyNumberFormat="0" applyBorder="0">
      <protection locked="0"/>
    </xf>
    <xf numFmtId="9" fontId="105" fillId="0" borderId="0" applyNumberFormat="0" applyBorder="0">
      <protection locked="0"/>
    </xf>
    <xf numFmtId="0" fontId="36" fillId="0" borderId="56">
      <protection locked="0"/>
    </xf>
    <xf numFmtId="0" fontId="36" fillId="0" borderId="56">
      <protection locked="0"/>
    </xf>
    <xf numFmtId="0" fontId="36" fillId="0" borderId="56">
      <protection locked="0"/>
    </xf>
    <xf numFmtId="166" fontId="4" fillId="76" borderId="0" applyFont="0" applyBorder="0" applyAlignment="0">
      <alignment horizontal="right"/>
      <protection locked="0"/>
    </xf>
    <xf numFmtId="10" fontId="4" fillId="76" borderId="0" applyFont="0" applyBorder="0">
      <alignment horizontal="right"/>
      <protection locked="0"/>
    </xf>
    <xf numFmtId="166" fontId="4" fillId="76" borderId="0" applyFont="0" applyBorder="0" applyAlignment="0">
      <alignment horizontal="right"/>
      <protection locked="0"/>
    </xf>
    <xf numFmtId="3" fontId="4" fillId="77" borderId="0" applyFont="0" applyBorder="0">
      <protection locked="0"/>
    </xf>
    <xf numFmtId="180" fontId="44" fillId="77" borderId="0" applyBorder="0" applyAlignment="0">
      <protection locked="0"/>
    </xf>
    <xf numFmtId="243" fontId="4" fillId="41" borderId="0" applyFont="0" applyBorder="0">
      <alignment horizontal="right"/>
      <protection locked="0"/>
    </xf>
    <xf numFmtId="243" fontId="4" fillId="41" borderId="0" applyFont="0" applyBorder="0">
      <alignment horizontal="right"/>
      <protection locked="0"/>
    </xf>
    <xf numFmtId="166" fontId="4" fillId="39" borderId="0" applyFont="0" applyBorder="0">
      <alignment horizontal="right"/>
      <protection locked="0"/>
    </xf>
    <xf numFmtId="166" fontId="4" fillId="39" borderId="0" applyFont="0" applyBorder="0">
      <alignment horizontal="right"/>
      <protection locked="0"/>
    </xf>
    <xf numFmtId="166" fontId="4" fillId="39" borderId="0" applyFont="0" applyBorder="0">
      <alignment horizontal="right"/>
      <protection locked="0"/>
    </xf>
    <xf numFmtId="166" fontId="4" fillId="39" borderId="0" applyFont="0" applyBorder="0">
      <alignment horizontal="right"/>
      <protection locked="0"/>
    </xf>
    <xf numFmtId="1" fontId="35" fillId="0" borderId="0"/>
    <xf numFmtId="41" fontId="50" fillId="78" borderId="57" applyNumberFormat="0" applyAlignment="0"/>
    <xf numFmtId="244" fontId="154" fillId="0" borderId="0"/>
    <xf numFmtId="180" fontId="155" fillId="38" borderId="0" applyBorder="0" applyAlignment="0"/>
    <xf numFmtId="38" fontId="156" fillId="0" borderId="0"/>
    <xf numFmtId="38" fontId="157" fillId="0" borderId="0"/>
    <xf numFmtId="38" fontId="158" fillId="0" borderId="0"/>
    <xf numFmtId="38" fontId="159" fillId="0" borderId="0"/>
    <xf numFmtId="0" fontId="160" fillId="0" borderId="0"/>
    <xf numFmtId="0" fontId="160" fillId="0" borderId="0"/>
    <xf numFmtId="187" fontId="160" fillId="0" borderId="0"/>
    <xf numFmtId="187" fontId="161" fillId="2" borderId="0"/>
    <xf numFmtId="41" fontId="16" fillId="0" borderId="58" applyNumberFormat="0" applyFont="0" applyFill="0" applyAlignment="0"/>
    <xf numFmtId="245" fontId="16" fillId="0" borderId="17" applyNumberFormat="0" applyFont="0" applyFill="0" applyAlignment="0" applyProtection="0"/>
    <xf numFmtId="187" fontId="35" fillId="2" borderId="0"/>
    <xf numFmtId="187" fontId="35" fillId="2" borderId="0"/>
    <xf numFmtId="201" fontId="4" fillId="0" borderId="0" applyFill="0" applyBorder="0" applyAlignment="0"/>
    <xf numFmtId="202" fontId="4" fillId="0" borderId="0" applyFill="0" applyBorder="0" applyAlignment="0"/>
    <xf numFmtId="201" fontId="4" fillId="0" borderId="0" applyFill="0" applyBorder="0" applyAlignment="0"/>
    <xf numFmtId="0" fontId="162" fillId="0" borderId="0" applyFill="0" applyBorder="0" applyAlignment="0"/>
    <xf numFmtId="202" fontId="4" fillId="0" borderId="0" applyFill="0" applyBorder="0" applyAlignment="0"/>
    <xf numFmtId="0" fontId="163" fillId="0" borderId="59" applyNumberFormat="0" applyFill="0" applyAlignment="0" applyProtection="0"/>
    <xf numFmtId="204" fontId="4" fillId="0" borderId="0"/>
    <xf numFmtId="201" fontId="50" fillId="2" borderId="30" applyFont="0" applyBorder="0" applyAlignment="0"/>
    <xf numFmtId="180" fontId="44" fillId="2" borderId="0" applyFont="0" applyBorder="0" applyAlignment="0"/>
    <xf numFmtId="15" fontId="71" fillId="0" borderId="0" applyFill="0" applyBorder="0">
      <alignment horizontal="right"/>
    </xf>
    <xf numFmtId="187" fontId="41" fillId="0" borderId="1" applyFill="0">
      <alignment horizontal="center" vertical="center"/>
    </xf>
    <xf numFmtId="0" fontId="41" fillId="0" borderId="1" applyFill="0">
      <alignment horizontal="center" vertical="center"/>
    </xf>
    <xf numFmtId="0" fontId="164" fillId="0" borderId="1" applyFill="0">
      <alignment horizontal="center" vertical="center"/>
    </xf>
    <xf numFmtId="0" fontId="41" fillId="0" borderId="1" applyFill="0">
      <alignment horizontal="center" vertical="center"/>
    </xf>
    <xf numFmtId="187" fontId="35" fillId="0" borderId="1" applyFill="0">
      <alignment horizontal="center" vertical="center"/>
    </xf>
    <xf numFmtId="0" fontId="35" fillId="0" borderId="1" applyFill="0">
      <alignment horizontal="center" vertical="center"/>
    </xf>
    <xf numFmtId="0" fontId="81" fillId="0" borderId="1" applyFill="0">
      <alignment horizontal="center" vertical="center"/>
    </xf>
    <xf numFmtId="0" fontId="35" fillId="0" borderId="1" applyFill="0">
      <alignment horizontal="center" vertical="center"/>
    </xf>
    <xf numFmtId="246" fontId="35" fillId="0" borderId="1" applyFill="0">
      <alignment horizontal="center" vertical="center"/>
    </xf>
    <xf numFmtId="246" fontId="35" fillId="0" borderId="1" applyFill="0">
      <alignment horizontal="center" vertical="center"/>
    </xf>
    <xf numFmtId="247" fontId="81" fillId="0" borderId="1" applyFill="0">
      <alignment horizontal="center" vertical="center"/>
    </xf>
    <xf numFmtId="246" fontId="35" fillId="0" borderId="1" applyFill="0">
      <alignment horizontal="center" vertical="center"/>
    </xf>
    <xf numFmtId="0" fontId="165" fillId="0" borderId="0" applyNumberFormat="0" applyFill="0" applyBorder="0" applyAlignment="0" applyProtection="0">
      <alignment horizontal="right"/>
    </xf>
    <xf numFmtId="0" fontId="166" fillId="0" borderId="0" applyNumberFormat="0"/>
    <xf numFmtId="8" fontId="74" fillId="0" borderId="0" applyFont="0" applyFill="0" applyBorder="0" applyAlignment="0" applyProtection="0"/>
    <xf numFmtId="41" fontId="167" fillId="0" borderId="0" applyFont="0" applyFill="0" applyBorder="0" applyAlignment="0" applyProtection="0"/>
    <xf numFmtId="248" fontId="71" fillId="0" borderId="0" applyFill="0" applyBorder="0">
      <alignment horizontal="right"/>
    </xf>
    <xf numFmtId="8" fontId="74" fillId="0" borderId="0" applyFont="0" applyFill="0" applyBorder="0" applyAlignment="0" applyProtection="0"/>
    <xf numFmtId="187" fontId="34" fillId="0" borderId="0" applyFill="0" applyBorder="0">
      <alignment horizontal="left" vertical="center"/>
    </xf>
    <xf numFmtId="0" fontId="168" fillId="0" borderId="0" applyNumberFormat="0" applyFill="0" applyBorder="0" applyProtection="0"/>
    <xf numFmtId="0" fontId="169" fillId="0" borderId="0" applyFill="0" applyBorder="0">
      <alignment vertical="center"/>
    </xf>
    <xf numFmtId="249" fontId="4" fillId="0" borderId="0" applyFont="0" applyFill="0" applyBorder="0" applyAlignment="0" applyProtection="0"/>
    <xf numFmtId="250" fontId="4" fillId="0" borderId="0" applyFont="0" applyFill="0" applyBorder="0" applyAlignment="0" applyProtection="0"/>
    <xf numFmtId="251" fontId="170" fillId="0" borderId="0" applyFont="0" applyFill="0" applyBorder="0" applyAlignment="0" applyProtection="0"/>
    <xf numFmtId="192" fontId="81" fillId="0" borderId="0" applyFill="0" applyBorder="0">
      <alignment vertical="center"/>
    </xf>
    <xf numFmtId="0" fontId="171" fillId="50" borderId="0" applyNumberFormat="0" applyBorder="0" applyAlignment="0" applyProtection="0"/>
    <xf numFmtId="252" fontId="172" fillId="0" borderId="56">
      <alignment horizontal="right"/>
      <protection locked="0"/>
    </xf>
    <xf numFmtId="0" fontId="173" fillId="0" borderId="0"/>
    <xf numFmtId="0" fontId="173" fillId="0" borderId="0"/>
    <xf numFmtId="0" fontId="173" fillId="0" borderId="0"/>
    <xf numFmtId="0" fontId="173" fillId="0" borderId="0"/>
    <xf numFmtId="0" fontId="4" fillId="4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6" fillId="0" borderId="0">
      <alignment horizontal="left" vertical="center" indent="1"/>
    </xf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15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/>
    <xf numFmtId="0" fontId="4" fillId="4" borderId="0"/>
    <xf numFmtId="0" fontId="4" fillId="0" borderId="0" applyFill="0"/>
    <xf numFmtId="0" fontId="4" fillId="4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3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4" borderId="0"/>
    <xf numFmtId="0" fontId="4" fillId="0" borderId="0"/>
    <xf numFmtId="171" fontId="4" fillId="0" borderId="0"/>
    <xf numFmtId="171" fontId="4" fillId="0" borderId="0"/>
    <xf numFmtId="171" fontId="4" fillId="0" borderId="0"/>
    <xf numFmtId="0" fontId="3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5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1" fontId="4" fillId="0" borderId="0"/>
    <xf numFmtId="171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1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1" fontId="4" fillId="0" borderId="0"/>
    <xf numFmtId="171" fontId="4" fillId="0" borderId="0"/>
    <xf numFmtId="0" fontId="15" fillId="0" borderId="0"/>
    <xf numFmtId="0" fontId="15" fillId="0" borderId="0"/>
    <xf numFmtId="171" fontId="4" fillId="0" borderId="0"/>
    <xf numFmtId="171" fontId="4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/>
    <xf numFmtId="0" fontId="35" fillId="0" borderId="0"/>
    <xf numFmtId="0" fontId="175" fillId="0" borderId="0"/>
    <xf numFmtId="0" fontId="4" fillId="0" borderId="0"/>
    <xf numFmtId="0" fontId="17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4" fillId="4" borderId="0"/>
    <xf numFmtId="171" fontId="4" fillId="0" borderId="0"/>
    <xf numFmtId="171" fontId="4" fillId="0" borderId="0"/>
    <xf numFmtId="0" fontId="174" fillId="0" borderId="0"/>
    <xf numFmtId="0" fontId="17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171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4" fillId="0" borderId="0"/>
    <xf numFmtId="171" fontId="4" fillId="0" borderId="0"/>
    <xf numFmtId="171" fontId="4" fillId="0" borderId="0"/>
    <xf numFmtId="171" fontId="4" fillId="0" borderId="0"/>
    <xf numFmtId="0" fontId="17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4" borderId="0"/>
    <xf numFmtId="0" fontId="4" fillId="0" borderId="0"/>
    <xf numFmtId="171" fontId="4" fillId="0" borderId="0"/>
    <xf numFmtId="0" fontId="81" fillId="0" borderId="0" applyFill="0" applyBorder="0">
      <alignment vertical="center"/>
    </xf>
    <xf numFmtId="171" fontId="4" fillId="0" borderId="0"/>
    <xf numFmtId="171" fontId="4" fillId="0" borderId="0"/>
    <xf numFmtId="0" fontId="15" fillId="0" borderId="0"/>
    <xf numFmtId="0" fontId="15" fillId="0" borderId="0"/>
    <xf numFmtId="171" fontId="4" fillId="0" borderId="0"/>
    <xf numFmtId="171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4" fillId="0" borderId="0"/>
    <xf numFmtId="0" fontId="174" fillId="0" borderId="0"/>
    <xf numFmtId="0" fontId="174" fillId="0" borderId="0"/>
    <xf numFmtId="0" fontId="15" fillId="0" borderId="0"/>
    <xf numFmtId="0" fontId="35" fillId="0" borderId="0"/>
    <xf numFmtId="0" fontId="4" fillId="4" borderId="0"/>
    <xf numFmtId="171" fontId="4" fillId="0" borderId="0"/>
    <xf numFmtId="0" fontId="17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16" fillId="0" borderId="0"/>
    <xf numFmtId="0" fontId="16" fillId="0" borderId="0"/>
    <xf numFmtId="0" fontId="46" fillId="0" borderId="0" applyFont="0" applyFill="0" applyBorder="0" applyAlignment="0" applyProtection="0"/>
    <xf numFmtId="0" fontId="176" fillId="0" borderId="0"/>
    <xf numFmtId="171" fontId="16" fillId="0" borderId="0"/>
    <xf numFmtId="171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171" fontId="4" fillId="0" borderId="0"/>
    <xf numFmtId="171" fontId="4" fillId="0" borderId="0"/>
    <xf numFmtId="171" fontId="4" fillId="0" borderId="0"/>
    <xf numFmtId="0" fontId="15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174" fillId="0" borderId="0"/>
    <xf numFmtId="0" fontId="15" fillId="0" borderId="0"/>
    <xf numFmtId="0" fontId="15" fillId="0" borderId="0"/>
    <xf numFmtId="0" fontId="15" fillId="0" borderId="0"/>
    <xf numFmtId="0" fontId="17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4" fillId="0" borderId="0"/>
    <xf numFmtId="0" fontId="174" fillId="0" borderId="0"/>
    <xf numFmtId="0" fontId="4" fillId="0" borderId="0"/>
    <xf numFmtId="171" fontId="4" fillId="0" borderId="0"/>
    <xf numFmtId="171" fontId="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35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1" fontId="4" fillId="0" borderId="0"/>
    <xf numFmtId="0" fontId="35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0" fontId="15" fillId="0" borderId="0"/>
    <xf numFmtId="0" fontId="15" fillId="0" borderId="0"/>
    <xf numFmtId="171" fontId="4" fillId="0" borderId="0"/>
    <xf numFmtId="0" fontId="3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89" fillId="0" borderId="0"/>
    <xf numFmtId="0" fontId="17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1" fontId="4" fillId="0" borderId="0"/>
    <xf numFmtId="171" fontId="4" fillId="0" borderId="0"/>
    <xf numFmtId="171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4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4" fillId="4" borderId="0"/>
    <xf numFmtId="0" fontId="16" fillId="0" borderId="0"/>
    <xf numFmtId="171" fontId="4" fillId="0" borderId="0"/>
    <xf numFmtId="171" fontId="4" fillId="0" borderId="0"/>
    <xf numFmtId="0" fontId="4" fillId="0" borderId="0"/>
    <xf numFmtId="0" fontId="35" fillId="0" borderId="0"/>
    <xf numFmtId="0" fontId="4" fillId="4" borderId="0"/>
    <xf numFmtId="0" fontId="15" fillId="0" borderId="0"/>
    <xf numFmtId="0" fontId="15" fillId="0" borderId="0"/>
    <xf numFmtId="0" fontId="35" fillId="0" borderId="0"/>
    <xf numFmtId="0" fontId="105" fillId="0" borderId="0" applyFill="0" applyBorder="0">
      <protection locked="0"/>
    </xf>
    <xf numFmtId="0" fontId="105" fillId="0" borderId="0" applyFill="0" applyBorder="0">
      <protection locked="0"/>
    </xf>
    <xf numFmtId="0" fontId="93" fillId="0" borderId="0"/>
    <xf numFmtId="187" fontId="93" fillId="0" borderId="0"/>
    <xf numFmtId="0" fontId="93" fillId="0" borderId="0"/>
    <xf numFmtId="0" fontId="74" fillId="0" borderId="0"/>
    <xf numFmtId="0" fontId="4" fillId="45" borderId="60" applyNumberFormat="0" applyFont="0" applyAlignment="0" applyProtection="0"/>
    <xf numFmtId="0" fontId="53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38" fillId="45" borderId="60" applyNumberFormat="0" applyFont="0" applyAlignment="0" applyProtection="0"/>
    <xf numFmtId="0" fontId="16" fillId="12" borderId="26" applyNumberFormat="0" applyFont="0" applyAlignment="0" applyProtection="0"/>
    <xf numFmtId="0" fontId="16" fillId="12" borderId="26" applyNumberFormat="0" applyFont="0" applyAlignment="0" applyProtection="0"/>
    <xf numFmtId="0" fontId="177" fillId="0" borderId="61" applyNumberFormat="0" applyFill="0" applyBorder="0"/>
    <xf numFmtId="3" fontId="178" fillId="1" borderId="0" applyBorder="0" applyAlignment="0" applyProtection="0"/>
    <xf numFmtId="3" fontId="179" fillId="0" borderId="0"/>
    <xf numFmtId="193" fontId="81" fillId="0" borderId="0" applyFill="0" applyBorder="0">
      <alignment vertical="center"/>
    </xf>
    <xf numFmtId="3" fontId="179" fillId="0" borderId="0"/>
    <xf numFmtId="245" fontId="16" fillId="0" borderId="0" applyFont="0" applyFill="0" applyBorder="0" applyAlignment="0" applyProtection="0"/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162" fillId="0" borderId="0">
      <alignment horizontal="left"/>
    </xf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0" fontId="180" fillId="46" borderId="62" applyNumberFormat="0" applyAlignment="0" applyProtection="0"/>
    <xf numFmtId="253" fontId="4" fillId="0" borderId="0" applyFill="0" applyBorder="0">
      <alignment horizontal="center"/>
    </xf>
    <xf numFmtId="0" fontId="181" fillId="0" borderId="0"/>
    <xf numFmtId="1" fontId="182" fillId="0" borderId="0" applyProtection="0">
      <alignment horizontal="right" vertical="center"/>
    </xf>
    <xf numFmtId="0" fontId="4" fillId="79" borderId="0" applyNumberFormat="0" applyFont="0" applyBorder="0" applyAlignment="0" applyProtection="0">
      <protection hidden="1"/>
    </xf>
    <xf numFmtId="0" fontId="97" fillId="80" borderId="1" applyNumberFormat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10" fontId="47" fillId="0" borderId="0" applyFont="0" applyFill="0" applyBorder="0" applyAlignment="0" applyProtection="0"/>
    <xf numFmtId="10" fontId="47" fillId="0" borderId="0" applyFont="0" applyFill="0" applyBorder="0" applyAlignment="0" applyProtection="0"/>
    <xf numFmtId="9" fontId="4" fillId="0" borderId="0" applyFont="0" applyFill="0" applyBorder="0" applyAlignment="0" applyProtection="0"/>
    <xf numFmtId="254" fontId="47" fillId="0" borderId="0" applyFont="0" applyFill="0" applyBorder="0" applyAlignment="0" applyProtection="0"/>
    <xf numFmtId="183" fontId="59" fillId="0" borderId="0" applyFill="0" applyBorder="0">
      <protection locked="0"/>
    </xf>
    <xf numFmtId="10" fontId="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94" fontId="81" fillId="0" borderId="0" applyFill="0" applyBorder="0">
      <alignment vertical="center"/>
    </xf>
    <xf numFmtId="187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183" fillId="0" borderId="0" applyFill="0" applyBorder="0">
      <alignment vertical="center"/>
    </xf>
    <xf numFmtId="0" fontId="41" fillId="0" borderId="0" applyFill="0" applyBorder="0">
      <alignment vertical="center"/>
    </xf>
    <xf numFmtId="0" fontId="184" fillId="0" borderId="6" applyBorder="0"/>
    <xf numFmtId="0" fontId="185" fillId="0" borderId="0"/>
    <xf numFmtId="9" fontId="4" fillId="0" borderId="0" applyFont="0" applyFill="0" applyBorder="0" applyAlignment="0" applyProtection="0"/>
    <xf numFmtId="0" fontId="186" fillId="0" borderId="0" applyNumberFormat="0"/>
    <xf numFmtId="201" fontId="4" fillId="0" borderId="0" applyFill="0" applyBorder="0" applyAlignment="0"/>
    <xf numFmtId="202" fontId="4" fillId="0" borderId="0" applyFill="0" applyBorder="0" applyAlignment="0"/>
    <xf numFmtId="201" fontId="4" fillId="0" borderId="0" applyFill="0" applyBorder="0" applyAlignment="0"/>
    <xf numFmtId="0" fontId="36" fillId="0" borderId="0" applyFill="0" applyBorder="0" applyAlignment="0"/>
    <xf numFmtId="202" fontId="4" fillId="0" borderId="0" applyFill="0" applyBorder="0" applyAlignment="0"/>
    <xf numFmtId="190" fontId="96" fillId="0" borderId="0" applyFill="0" applyBorder="0">
      <alignment horizontal="right" vertical="center"/>
    </xf>
    <xf numFmtId="190" fontId="81" fillId="0" borderId="0" applyFill="0" applyBorder="0">
      <alignment vertical="center"/>
    </xf>
    <xf numFmtId="190" fontId="89" fillId="0" borderId="0" applyFill="0" applyBorder="0">
      <alignment vertical="center"/>
    </xf>
    <xf numFmtId="198" fontId="96" fillId="0" borderId="0" applyFill="0" applyBorder="0">
      <alignment horizontal="right" vertical="center"/>
    </xf>
    <xf numFmtId="191" fontId="81" fillId="0" borderId="0" applyFill="0" applyBorder="0">
      <alignment vertical="center"/>
    </xf>
    <xf numFmtId="191" fontId="89" fillId="0" borderId="0" applyFill="0" applyBorder="0">
      <alignment vertical="center"/>
    </xf>
    <xf numFmtId="187" fontId="187" fillId="0" borderId="0" applyFill="0" applyBorder="0">
      <alignment vertical="center"/>
    </xf>
    <xf numFmtId="0" fontId="128" fillId="0" borderId="0" applyFill="0" applyBorder="0">
      <alignment vertical="center"/>
    </xf>
    <xf numFmtId="0" fontId="120" fillId="0" borderId="0" applyFill="0" applyBorder="0">
      <alignment vertical="center"/>
    </xf>
    <xf numFmtId="187" fontId="188" fillId="0" borderId="0" applyFill="0" applyBorder="0">
      <alignment vertical="center"/>
    </xf>
    <xf numFmtId="0" fontId="132" fillId="0" borderId="0" applyFill="0" applyBorder="0">
      <alignment vertical="center"/>
    </xf>
    <xf numFmtId="0" fontId="189" fillId="0" borderId="0" applyFill="0" applyBorder="0">
      <alignment vertical="center"/>
    </xf>
    <xf numFmtId="187" fontId="190" fillId="0" borderId="0" applyFill="0" applyBorder="0">
      <alignment vertical="center"/>
    </xf>
    <xf numFmtId="0" fontId="138" fillId="0" borderId="0" applyFill="0" applyBorder="0">
      <alignment vertical="center"/>
    </xf>
    <xf numFmtId="0" fontId="191" fillId="0" borderId="0" applyFill="0" applyBorder="0">
      <alignment vertical="center"/>
    </xf>
    <xf numFmtId="187" fontId="96" fillId="0" borderId="0" applyFill="0" applyBorder="0">
      <alignment vertical="center"/>
    </xf>
    <xf numFmtId="0" fontId="140" fillId="0" borderId="0" applyFill="0" applyBorder="0">
      <alignment vertical="center"/>
    </xf>
    <xf numFmtId="0" fontId="89" fillId="0" borderId="0" applyFill="0" applyBorder="0">
      <alignment vertical="center"/>
    </xf>
    <xf numFmtId="187" fontId="146" fillId="0" borderId="0" applyFill="0" applyBorder="0">
      <alignment horizontal="center" vertical="center"/>
      <protection locked="0"/>
    </xf>
    <xf numFmtId="0" fontId="146" fillId="0" borderId="0" applyFill="0" applyBorder="0">
      <alignment horizontal="center" vertical="center"/>
    </xf>
    <xf numFmtId="187" fontId="146" fillId="0" borderId="0" applyFill="0" applyBorder="0">
      <alignment horizontal="center" vertical="center"/>
      <protection locked="0"/>
    </xf>
    <xf numFmtId="0" fontId="146" fillId="0" borderId="0" applyFill="0" applyBorder="0">
      <alignment horizontal="center" vertical="center"/>
    </xf>
    <xf numFmtId="187" fontId="192" fillId="0" borderId="0" applyFill="0" applyBorder="0">
      <alignment horizontal="left" vertical="center"/>
      <protection locked="0"/>
    </xf>
    <xf numFmtId="0" fontId="148" fillId="0" borderId="0" applyFill="0" applyBorder="0">
      <alignment vertical="center"/>
    </xf>
    <xf numFmtId="0" fontId="192" fillId="0" borderId="0" applyFill="0" applyBorder="0">
      <alignment vertical="center"/>
    </xf>
    <xf numFmtId="187" fontId="193" fillId="0" borderId="0" applyFill="0" applyBorder="0">
      <alignment horizontal="left" vertical="center"/>
    </xf>
    <xf numFmtId="0" fontId="169" fillId="0" borderId="0" applyFill="0" applyBorder="0">
      <alignment vertical="center"/>
    </xf>
    <xf numFmtId="0" fontId="194" fillId="0" borderId="0" applyFill="0" applyBorder="0">
      <alignment vertical="center"/>
    </xf>
    <xf numFmtId="192" fontId="96" fillId="0" borderId="0" applyFill="0" applyBorder="0">
      <alignment horizontal="right" vertical="center"/>
    </xf>
    <xf numFmtId="192" fontId="81" fillId="0" borderId="0" applyFill="0" applyBorder="0">
      <alignment vertical="center"/>
    </xf>
    <xf numFmtId="192" fontId="89" fillId="0" borderId="0" applyFill="0" applyBorder="0">
      <alignment vertical="center"/>
    </xf>
    <xf numFmtId="187" fontId="96" fillId="0" borderId="0" applyFill="0" applyBorder="0">
      <alignment vertical="center"/>
    </xf>
    <xf numFmtId="0" fontId="81" fillId="0" borderId="0" applyFill="0" applyBorder="0">
      <alignment vertical="center"/>
    </xf>
    <xf numFmtId="0" fontId="89" fillId="0" borderId="0" applyFill="0" applyBorder="0">
      <alignment vertical="center"/>
    </xf>
    <xf numFmtId="193" fontId="96" fillId="0" borderId="0" applyFill="0" applyBorder="0">
      <alignment horizontal="right" vertical="center"/>
    </xf>
    <xf numFmtId="193" fontId="81" fillId="0" borderId="0" applyFill="0" applyBorder="0">
      <alignment vertical="center"/>
    </xf>
    <xf numFmtId="193" fontId="89" fillId="0" borderId="0" applyFill="0" applyBorder="0">
      <alignment vertical="center"/>
    </xf>
    <xf numFmtId="194" fontId="96" fillId="0" borderId="0" applyFill="0" applyBorder="0">
      <alignment horizontal="right" vertical="center"/>
    </xf>
    <xf numFmtId="194" fontId="81" fillId="0" borderId="0" applyFill="0" applyBorder="0">
      <alignment vertical="center"/>
    </xf>
    <xf numFmtId="194" fontId="89" fillId="0" borderId="0" applyFill="0" applyBorder="0">
      <alignment vertical="center"/>
    </xf>
    <xf numFmtId="187" fontId="190" fillId="0" borderId="0" applyFill="0" applyBorder="0">
      <alignment vertical="center"/>
    </xf>
    <xf numFmtId="0" fontId="164" fillId="0" borderId="0" applyFill="0" applyBorder="0">
      <alignment vertical="center"/>
    </xf>
    <xf numFmtId="0" fontId="191" fillId="0" borderId="0" applyFill="0" applyBorder="0">
      <alignment vertical="center"/>
    </xf>
    <xf numFmtId="193" fontId="195" fillId="0" borderId="0" applyFill="0" applyBorder="0">
      <alignment horizontal="left" vertical="center"/>
    </xf>
    <xf numFmtId="0" fontId="196" fillId="0" borderId="0" applyFill="0" applyBorder="0">
      <alignment vertical="center"/>
    </xf>
    <xf numFmtId="0" fontId="197" fillId="0" borderId="0" applyFill="0" applyBorder="0">
      <alignment vertical="center"/>
    </xf>
    <xf numFmtId="187" fontId="198" fillId="0" borderId="0" applyFill="0" applyBorder="0">
      <alignment horizontal="left" vertical="center"/>
    </xf>
    <xf numFmtId="0" fontId="199" fillId="0" borderId="0" applyFill="0" applyBorder="0">
      <alignment vertical="center"/>
    </xf>
    <xf numFmtId="0" fontId="200" fillId="0" borderId="0" applyFill="0" applyBorder="0">
      <alignment vertical="center"/>
    </xf>
    <xf numFmtId="0" fontId="140" fillId="0" borderId="0" applyFill="0" applyBorder="0">
      <alignment vertical="center"/>
      <protection locked="0"/>
    </xf>
    <xf numFmtId="0" fontId="89" fillId="0" borderId="0" applyFill="0" applyBorder="0">
      <alignment vertical="center"/>
      <protection locked="0"/>
    </xf>
    <xf numFmtId="0" fontId="149" fillId="0" borderId="0" applyFill="0" applyBorder="0">
      <alignment vertical="center"/>
    </xf>
    <xf numFmtId="0" fontId="201" fillId="0" borderId="0" applyFill="0" applyBorder="0">
      <alignment vertical="center"/>
    </xf>
    <xf numFmtId="0" fontId="150" fillId="0" borderId="0" applyFill="0" applyBorder="0">
      <alignment vertical="center"/>
    </xf>
    <xf numFmtId="0" fontId="202" fillId="0" borderId="0" applyFill="0" applyBorder="0">
      <alignment vertical="center"/>
    </xf>
    <xf numFmtId="0" fontId="151" fillId="0" borderId="0" applyFill="0" applyBorder="0">
      <alignment vertical="center"/>
    </xf>
    <xf numFmtId="0" fontId="203" fillId="0" borderId="0" applyFill="0" applyBorder="0">
      <alignment vertical="center"/>
    </xf>
    <xf numFmtId="0" fontId="151" fillId="0" borderId="0" applyFill="0" applyBorder="0">
      <alignment vertical="center"/>
    </xf>
    <xf numFmtId="0" fontId="203" fillId="0" borderId="0" applyFill="0" applyBorder="0">
      <alignment vertical="center"/>
    </xf>
    <xf numFmtId="197" fontId="96" fillId="0" borderId="0" applyFill="0" applyBorder="0">
      <alignment horizontal="right" vertical="center"/>
    </xf>
    <xf numFmtId="195" fontId="81" fillId="0" borderId="0" applyFill="0" applyBorder="0">
      <alignment vertical="center"/>
    </xf>
    <xf numFmtId="195" fontId="89" fillId="0" borderId="0" applyFill="0" applyBorder="0">
      <alignment vertical="center"/>
    </xf>
    <xf numFmtId="9" fontId="179" fillId="0" borderId="0"/>
    <xf numFmtId="184" fontId="61" fillId="0" borderId="31"/>
    <xf numFmtId="17" fontId="6" fillId="0" borderId="0">
      <alignment horizontal="center" vertical="center"/>
    </xf>
    <xf numFmtId="0" fontId="204" fillId="0" borderId="0" applyNumberFormat="0" applyFill="0" applyBorder="0" applyAlignment="0" applyProtection="0"/>
    <xf numFmtId="255" fontId="205" fillId="0" borderId="0"/>
    <xf numFmtId="185" fontId="4" fillId="0" borderId="0"/>
    <xf numFmtId="14" fontId="165" fillId="0" borderId="0" applyNumberFormat="0" applyFill="0" applyBorder="0" applyAlignment="0" applyProtection="0">
      <alignment horizontal="left"/>
    </xf>
    <xf numFmtId="190" fontId="35" fillId="0" borderId="0" applyFill="0" applyBorder="0">
      <alignment horizontal="right" vertical="center"/>
    </xf>
    <xf numFmtId="190" fontId="35" fillId="0" borderId="0" applyFill="0" applyBorder="0">
      <alignment horizontal="right" vertical="center"/>
    </xf>
    <xf numFmtId="190" fontId="35" fillId="0" borderId="0" applyFill="0" applyBorder="0">
      <alignment horizontal="right" vertical="center"/>
    </xf>
    <xf numFmtId="198" fontId="35" fillId="0" borderId="0" applyFill="0" applyBorder="0">
      <alignment horizontal="right" vertical="center"/>
    </xf>
    <xf numFmtId="199" fontId="35" fillId="0" borderId="0" applyFill="0" applyBorder="0">
      <alignment horizontal="right" vertical="center"/>
    </xf>
    <xf numFmtId="198" fontId="35" fillId="0" borderId="0" applyFill="0" applyBorder="0">
      <alignment horizontal="right" vertical="center"/>
    </xf>
    <xf numFmtId="192" fontId="35" fillId="0" borderId="0" applyFill="0" applyBorder="0">
      <alignment horizontal="right" vertical="center"/>
    </xf>
    <xf numFmtId="192" fontId="35" fillId="0" borderId="0" applyFill="0" applyBorder="0">
      <alignment horizontal="right" vertical="center"/>
    </xf>
    <xf numFmtId="192" fontId="35" fillId="0" borderId="0" applyFill="0" applyBorder="0">
      <alignment horizontal="right" vertical="center"/>
    </xf>
    <xf numFmtId="193" fontId="35" fillId="0" borderId="0" applyFill="0" applyBorder="0">
      <alignment horizontal="right" vertical="center"/>
    </xf>
    <xf numFmtId="193" fontId="35" fillId="0" borderId="0" applyFill="0" applyBorder="0">
      <alignment horizontal="right" vertical="center"/>
    </xf>
    <xf numFmtId="193" fontId="35" fillId="0" borderId="0" applyFill="0" applyBorder="0">
      <alignment horizontal="right" vertical="center"/>
    </xf>
    <xf numFmtId="194" fontId="35" fillId="0" borderId="0" applyFill="0" applyBorder="0">
      <alignment horizontal="right" vertical="center"/>
    </xf>
    <xf numFmtId="194" fontId="35" fillId="0" borderId="0" applyFill="0" applyBorder="0">
      <alignment horizontal="right" vertical="center"/>
    </xf>
    <xf numFmtId="194" fontId="35" fillId="0" borderId="0" applyFill="0" applyBorder="0">
      <alignment horizontal="right" vertical="center"/>
    </xf>
    <xf numFmtId="197" fontId="35" fillId="0" borderId="0" applyFill="0" applyBorder="0">
      <alignment horizontal="right" vertical="center"/>
    </xf>
    <xf numFmtId="197" fontId="35" fillId="0" borderId="0" applyFill="0" applyBorder="0">
      <alignment horizontal="right" vertical="center"/>
    </xf>
    <xf numFmtId="197" fontId="35" fillId="0" borderId="0" applyFill="0" applyBorder="0">
      <alignment horizontal="right" vertical="center"/>
    </xf>
    <xf numFmtId="256" fontId="206" fillId="80" borderId="35">
      <alignment horizontal="center"/>
    </xf>
    <xf numFmtId="41" fontId="14" fillId="81" borderId="57" applyFont="0" applyAlignment="0"/>
    <xf numFmtId="187" fontId="189" fillId="68" borderId="0"/>
    <xf numFmtId="0" fontId="115" fillId="0" borderId="63">
      <alignment vertical="center"/>
    </xf>
    <xf numFmtId="0" fontId="115" fillId="0" borderId="63">
      <alignment vertical="center"/>
    </xf>
    <xf numFmtId="0" fontId="115" fillId="0" borderId="63">
      <alignment vertical="center"/>
    </xf>
    <xf numFmtId="0" fontId="115" fillId="0" borderId="63">
      <alignment vertical="center"/>
    </xf>
    <xf numFmtId="0" fontId="115" fillId="0" borderId="63">
      <alignment vertical="center"/>
    </xf>
    <xf numFmtId="0" fontId="207" fillId="0" borderId="64"/>
    <xf numFmtId="257" fontId="71" fillId="0" borderId="0" applyFont="0" applyFill="0" applyBorder="0" applyAlignment="0" applyProtection="0">
      <alignment horizontal="right"/>
    </xf>
    <xf numFmtId="0" fontId="50" fillId="0" borderId="0"/>
    <xf numFmtId="0" fontId="44" fillId="0" borderId="0"/>
    <xf numFmtId="0" fontId="208" fillId="0" borderId="0" applyFill="0" applyBorder="0" applyAlignment="0"/>
    <xf numFmtId="0" fontId="196" fillId="0" borderId="0" applyFill="0" applyBorder="0">
      <alignment vertical="center"/>
    </xf>
    <xf numFmtId="0" fontId="208" fillId="0" borderId="0" applyFill="0" applyBorder="0" applyAlignment="0"/>
    <xf numFmtId="37" fontId="209" fillId="0" borderId="0">
      <protection locked="0"/>
    </xf>
    <xf numFmtId="0" fontId="210" fillId="0" borderId="17"/>
    <xf numFmtId="0" fontId="44" fillId="0" borderId="0"/>
    <xf numFmtId="0" fontId="69" fillId="0" borderId="0"/>
    <xf numFmtId="0" fontId="211" fillId="82" borderId="0"/>
    <xf numFmtId="49" fontId="212" fillId="83" borderId="65"/>
    <xf numFmtId="49" fontId="212" fillId="83" borderId="0">
      <alignment wrapText="1"/>
    </xf>
    <xf numFmtId="0" fontId="211" fillId="4" borderId="66">
      <protection locked="0"/>
    </xf>
    <xf numFmtId="0" fontId="211" fillId="82" borderId="0"/>
    <xf numFmtId="187" fontId="8" fillId="0" borderId="0" applyFill="0" applyBorder="0">
      <alignment horizontal="left" vertical="center"/>
    </xf>
    <xf numFmtId="0" fontId="213" fillId="0" borderId="0" applyNumberFormat="0" applyFill="0" applyBorder="0" applyProtection="0"/>
    <xf numFmtId="0" fontId="199" fillId="0" borderId="0" applyFill="0" applyBorder="0">
      <alignment vertical="center"/>
    </xf>
    <xf numFmtId="17" fontId="71" fillId="0" borderId="0" applyFill="0" applyBorder="0">
      <alignment horizontal="right"/>
    </xf>
    <xf numFmtId="172" fontId="35" fillId="0" borderId="0" applyAlignment="0" applyProtection="0"/>
    <xf numFmtId="172" fontId="35" fillId="0" borderId="0" applyAlignment="0" applyProtection="0"/>
    <xf numFmtId="258" fontId="50" fillId="0" borderId="0" applyFill="0" applyBorder="0" applyProtection="0"/>
    <xf numFmtId="171" fontId="35" fillId="0" borderId="0"/>
    <xf numFmtId="0" fontId="38" fillId="0" borderId="0" applyNumberFormat="0" applyBorder="0" applyAlignment="0"/>
    <xf numFmtId="0" fontId="105" fillId="0" borderId="0"/>
    <xf numFmtId="187" fontId="34" fillId="0" borderId="0"/>
    <xf numFmtId="187" fontId="34" fillId="0" borderId="0"/>
    <xf numFmtId="187" fontId="8" fillId="0" borderId="0"/>
    <xf numFmtId="187" fontId="8" fillId="0" borderId="0"/>
    <xf numFmtId="0" fontId="214" fillId="0" borderId="0" applyNumberFormat="0" applyBorder="0" applyAlignment="0"/>
    <xf numFmtId="0" fontId="215" fillId="0" borderId="0" applyNumberFormat="0" applyBorder="0" applyAlignment="0"/>
    <xf numFmtId="259" fontId="6" fillId="2" borderId="13"/>
    <xf numFmtId="259" fontId="6" fillId="2" borderId="13"/>
    <xf numFmtId="259" fontId="6" fillId="2" borderId="13"/>
    <xf numFmtId="0" fontId="140" fillId="0" borderId="0" applyFill="0" applyBorder="0">
      <alignment vertical="center"/>
      <protection locked="0"/>
    </xf>
    <xf numFmtId="260" fontId="72" fillId="0" borderId="17" applyFont="0" applyFill="0" applyAlignment="0" applyProtection="0"/>
    <xf numFmtId="260" fontId="72" fillId="0" borderId="17" applyFont="0" applyFill="0" applyAlignment="0" applyProtection="0"/>
    <xf numFmtId="260" fontId="72" fillId="0" borderId="17" applyFont="0" applyFill="0" applyAlignment="0" applyProtection="0"/>
    <xf numFmtId="260" fontId="72" fillId="0" borderId="17" applyFont="0" applyFill="0" applyAlignment="0" applyProtection="0"/>
    <xf numFmtId="187" fontId="216" fillId="67" borderId="0"/>
    <xf numFmtId="0" fontId="44" fillId="0" borderId="67"/>
    <xf numFmtId="40" fontId="217" fillId="0" borderId="0" applyBorder="0">
      <alignment horizontal="right"/>
    </xf>
    <xf numFmtId="0" fontId="63" fillId="0" borderId="0" applyBorder="0" applyProtection="0">
      <alignment vertical="center"/>
    </xf>
    <xf numFmtId="228" fontId="63" fillId="0" borderId="14" applyBorder="0" applyProtection="0">
      <alignment horizontal="right" vertical="center"/>
    </xf>
    <xf numFmtId="228" fontId="63" fillId="0" borderId="14" applyBorder="0" applyProtection="0">
      <alignment horizontal="right" vertical="center"/>
    </xf>
    <xf numFmtId="228" fontId="63" fillId="0" borderId="14" applyBorder="0" applyProtection="0">
      <alignment horizontal="right" vertical="center"/>
    </xf>
    <xf numFmtId="228" fontId="63" fillId="0" borderId="14" applyBorder="0" applyProtection="0">
      <alignment horizontal="right" vertical="center"/>
    </xf>
    <xf numFmtId="228" fontId="63" fillId="0" borderId="14" applyBorder="0" applyProtection="0">
      <alignment horizontal="right" vertical="center"/>
    </xf>
    <xf numFmtId="228" fontId="63" fillId="0" borderId="14" applyBorder="0" applyProtection="0">
      <alignment horizontal="right" vertical="center"/>
    </xf>
    <xf numFmtId="228" fontId="63" fillId="0" borderId="14" applyBorder="0" applyProtection="0">
      <alignment horizontal="right" vertical="center"/>
    </xf>
    <xf numFmtId="228" fontId="63" fillId="0" borderId="14" applyBorder="0" applyProtection="0">
      <alignment horizontal="right" vertical="center"/>
    </xf>
    <xf numFmtId="0" fontId="62" fillId="84" borderId="0" applyBorder="0" applyProtection="0">
      <alignment horizontal="centerContinuous" vertical="center"/>
    </xf>
    <xf numFmtId="0" fontId="62" fillId="42" borderId="14" applyBorder="0" applyProtection="0">
      <alignment horizontal="centerContinuous" vertical="center"/>
    </xf>
    <xf numFmtId="0" fontId="62" fillId="42" borderId="14" applyBorder="0" applyProtection="0">
      <alignment horizontal="centerContinuous" vertical="center"/>
    </xf>
    <xf numFmtId="0" fontId="62" fillId="42" borderId="14" applyBorder="0" applyProtection="0">
      <alignment horizontal="centerContinuous" vertical="center"/>
    </xf>
    <xf numFmtId="0" fontId="62" fillId="42" borderId="14" applyBorder="0" applyProtection="0">
      <alignment horizontal="centerContinuous" vertical="center"/>
    </xf>
    <xf numFmtId="0" fontId="62" fillId="42" borderId="14" applyBorder="0" applyProtection="0">
      <alignment horizontal="centerContinuous" vertical="center"/>
    </xf>
    <xf numFmtId="0" fontId="62" fillId="42" borderId="14" applyBorder="0" applyProtection="0">
      <alignment horizontal="centerContinuous" vertical="center"/>
    </xf>
    <xf numFmtId="0" fontId="62" fillId="42" borderId="14" applyBorder="0" applyProtection="0">
      <alignment horizontal="centerContinuous" vertical="center"/>
    </xf>
    <xf numFmtId="187" fontId="63" fillId="0" borderId="0" applyBorder="0" applyProtection="0">
      <alignment vertical="center"/>
    </xf>
    <xf numFmtId="0" fontId="218" fillId="0" borderId="0" applyFill="0" applyBorder="0" applyAlignment="0"/>
    <xf numFmtId="0" fontId="93" fillId="0" borderId="0"/>
    <xf numFmtId="0" fontId="219" fillId="0" borderId="0" applyFill="0" applyBorder="0" applyProtection="0">
      <alignment horizontal="left"/>
    </xf>
    <xf numFmtId="0" fontId="220" fillId="85" borderId="0" applyNumberFormat="0">
      <alignment horizontal="center"/>
    </xf>
    <xf numFmtId="0" fontId="65" fillId="0" borderId="0"/>
    <xf numFmtId="49" fontId="4" fillId="0" borderId="0" applyFont="0" applyFill="0" applyBorder="0" applyAlignment="0" applyProtection="0"/>
    <xf numFmtId="0" fontId="65" fillId="0" borderId="0"/>
    <xf numFmtId="49" fontId="38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173" fontId="105" fillId="70" borderId="0" applyFont="0" applyFill="0" applyBorder="0" applyAlignment="0"/>
    <xf numFmtId="260" fontId="72" fillId="0" borderId="0" applyFont="0" applyFill="0" applyBorder="0" applyAlignment="0" applyProtection="0"/>
    <xf numFmtId="0" fontId="221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0" fontId="66" fillId="0" borderId="0"/>
    <xf numFmtId="0" fontId="65" fillId="0" borderId="0"/>
    <xf numFmtId="187" fontId="223" fillId="0" borderId="0" applyFill="0" applyBorder="0">
      <alignment horizontal="left" vertical="center"/>
      <protection locked="0"/>
    </xf>
    <xf numFmtId="187" fontId="224" fillId="0" borderId="0" applyFill="0" applyBorder="0">
      <alignment horizontal="left" vertical="center"/>
      <protection locked="0"/>
    </xf>
    <xf numFmtId="206" fontId="59" fillId="0" borderId="12" applyFill="0"/>
    <xf numFmtId="206" fontId="59" fillId="0" borderId="12" applyFill="0"/>
    <xf numFmtId="206" fontId="59" fillId="0" borderId="17" applyFill="0"/>
    <xf numFmtId="0" fontId="1" fillId="0" borderId="68" applyNumberFormat="0" applyFill="0" applyAlignment="0" applyProtection="0"/>
    <xf numFmtId="206" fontId="59" fillId="0" borderId="17" applyFill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206" fontId="59" fillId="0" borderId="17" applyFill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0" fontId="1" fillId="0" borderId="68" applyNumberFormat="0" applyFill="0" applyAlignment="0" applyProtection="0"/>
    <xf numFmtId="206" fontId="59" fillId="0" borderId="12" applyFill="0"/>
    <xf numFmtId="206" fontId="59" fillId="0" borderId="12" applyFill="0"/>
    <xf numFmtId="206" fontId="59" fillId="0" borderId="17" applyFill="0"/>
    <xf numFmtId="206" fontId="59" fillId="0" borderId="17" applyFill="0"/>
    <xf numFmtId="206" fontId="59" fillId="0" borderId="17" applyFill="0"/>
    <xf numFmtId="0" fontId="1" fillId="0" borderId="69" applyNumberFormat="0" applyFill="0" applyAlignment="0" applyProtection="0"/>
    <xf numFmtId="260" fontId="72" fillId="0" borderId="70" applyFont="0" applyFill="0" applyAlignment="0" applyProtection="0"/>
    <xf numFmtId="260" fontId="72" fillId="0" borderId="70" applyFont="0" applyFill="0" applyAlignment="0" applyProtection="0"/>
    <xf numFmtId="260" fontId="72" fillId="0" borderId="70" applyFont="0" applyFill="0" applyAlignment="0" applyProtection="0"/>
    <xf numFmtId="261" fontId="35" fillId="0" borderId="0">
      <alignment horizontal="center"/>
    </xf>
    <xf numFmtId="0" fontId="225" fillId="0" borderId="0"/>
    <xf numFmtId="262" fontId="4" fillId="0" borderId="0" applyFont="0" applyFill="0" applyBorder="0" applyAlignment="0" applyProtection="0"/>
    <xf numFmtId="263" fontId="4" fillId="0" borderId="0" applyFont="0" applyFill="0" applyBorder="0" applyAlignment="0" applyProtection="0"/>
    <xf numFmtId="0" fontId="36" fillId="0" borderId="0" applyNumberFormat="0" applyFill="0" applyBorder="0"/>
    <xf numFmtId="0" fontId="36" fillId="0" borderId="0" applyNumberFormat="0" applyFill="0" applyBorder="0"/>
    <xf numFmtId="0" fontId="226" fillId="0" borderId="0" applyNumberFormat="0" applyFill="0" applyBorder="0" applyAlignment="0" applyProtection="0"/>
    <xf numFmtId="0" fontId="227" fillId="43" borderId="71" applyNumberFormat="0" applyAlignment="0">
      <protection locked="0"/>
    </xf>
    <xf numFmtId="0" fontId="162" fillId="0" borderId="0" applyNumberFormat="0" applyFill="0" applyBorder="0" applyAlignment="0"/>
    <xf numFmtId="186" fontId="68" fillId="0" borderId="14" applyBorder="0" applyProtection="0">
      <alignment horizontal="right"/>
    </xf>
    <xf numFmtId="186" fontId="68" fillId="0" borderId="14" applyBorder="0" applyProtection="0">
      <alignment horizontal="right"/>
    </xf>
    <xf numFmtId="186" fontId="68" fillId="0" borderId="14" applyBorder="0" applyProtection="0">
      <alignment horizontal="right"/>
    </xf>
    <xf numFmtId="186" fontId="68" fillId="0" borderId="14" applyBorder="0" applyProtection="0">
      <alignment horizontal="right"/>
    </xf>
    <xf numFmtId="186" fontId="68" fillId="0" borderId="14" applyBorder="0" applyProtection="0">
      <alignment horizontal="right"/>
    </xf>
    <xf numFmtId="186" fontId="68" fillId="0" borderId="14" applyBorder="0" applyProtection="0">
      <alignment horizontal="right"/>
    </xf>
    <xf numFmtId="186" fontId="68" fillId="0" borderId="14" applyBorder="0" applyProtection="0">
      <alignment horizontal="right"/>
    </xf>
    <xf numFmtId="195" fontId="81" fillId="0" borderId="0" applyFill="0" applyBorder="0">
      <alignment vertical="center"/>
    </xf>
    <xf numFmtId="264" fontId="71" fillId="0" borderId="0" applyFill="0" applyBorder="0">
      <alignment horizontal="right"/>
    </xf>
    <xf numFmtId="0" fontId="181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16" fillId="0" borderId="0"/>
    <xf numFmtId="0" fontId="4" fillId="95" borderId="0"/>
    <xf numFmtId="0" fontId="4" fillId="0" borderId="0"/>
    <xf numFmtId="0" fontId="4" fillId="0" borderId="0"/>
    <xf numFmtId="272" fontId="4" fillId="0" borderId="0"/>
    <xf numFmtId="272" fontId="4" fillId="0" borderId="0"/>
    <xf numFmtId="0" fontId="263" fillId="0" borderId="0"/>
    <xf numFmtId="0" fontId="263" fillId="0" borderId="0"/>
    <xf numFmtId="0" fontId="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4" fillId="0" borderId="0"/>
    <xf numFmtId="0" fontId="4" fillId="0" borderId="0"/>
    <xf numFmtId="41" fontId="4" fillId="2" borderId="0" applyNumberFormat="0" applyFont="0" applyBorder="0" applyAlignment="0">
      <alignment horizontal="right"/>
    </xf>
    <xf numFmtId="41" fontId="4" fillId="2" borderId="0" applyNumberFormat="0" applyFont="0" applyBorder="0" applyAlignment="0">
      <alignment horizontal="right"/>
    </xf>
    <xf numFmtId="0" fontId="91" fillId="69" borderId="42" applyNumberFormat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91" borderId="1">
      <alignment horizontal="center" vertical="center" wrapText="1"/>
    </xf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35" fillId="0" borderId="132" applyNumberFormat="0" applyFill="0" applyAlignment="0" applyProtection="0"/>
    <xf numFmtId="0" fontId="144" fillId="0" borderId="0" applyNumberFormat="0" applyFill="0" applyBorder="0" applyAlignment="0" applyProtection="0">
      <alignment vertical="top"/>
      <protection locked="0"/>
    </xf>
    <xf numFmtId="166" fontId="4" fillId="3" borderId="0" applyFont="0" applyBorder="0" applyAlignment="0">
      <alignment horizontal="right"/>
      <protection locked="0"/>
    </xf>
    <xf numFmtId="166" fontId="4" fillId="3" borderId="0" applyFont="0" applyBorder="0" applyAlignment="0">
      <alignment horizontal="right"/>
      <protection locked="0"/>
    </xf>
    <xf numFmtId="243" fontId="4" fillId="41" borderId="0" applyFont="0" applyBorder="0">
      <alignment horizontal="right"/>
      <protection locked="0"/>
    </xf>
    <xf numFmtId="273" fontId="16" fillId="5" borderId="93">
      <protection locked="0"/>
    </xf>
    <xf numFmtId="273" fontId="16" fillId="5" borderId="93">
      <protection locked="0"/>
    </xf>
    <xf numFmtId="49" fontId="16" fillId="5" borderId="93" applyFont="0" applyAlignment="0">
      <alignment horizontal="left" vertical="center" wrapText="1"/>
      <protection locked="0"/>
    </xf>
    <xf numFmtId="49" fontId="16" fillId="5" borderId="93" applyFont="0" applyAlignment="0">
      <alignment horizontal="left" vertical="center" wrapText="1"/>
      <protection locked="0"/>
    </xf>
    <xf numFmtId="273" fontId="16" fillId="91" borderId="93"/>
    <xf numFmtId="273" fontId="16" fillId="91" borderId="93"/>
    <xf numFmtId="0" fontId="4" fillId="0" borderId="0"/>
    <xf numFmtId="0" fontId="4" fillId="4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 applyFill="0"/>
    <xf numFmtId="0" fontId="4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0" fontId="4" fillId="45" borderId="60" applyNumberFormat="0" applyFont="0" applyAlignment="0" applyProtection="0"/>
    <xf numFmtId="274" fontId="4" fillId="0" borderId="0" applyFill="0" applyBorder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0" fillId="0" borderId="133">
      <alignment horizontal="center"/>
    </xf>
    <xf numFmtId="0" fontId="40" fillId="0" borderId="133">
      <alignment horizontal="center"/>
    </xf>
    <xf numFmtId="0" fontId="40" fillId="0" borderId="133">
      <alignment horizontal="center"/>
    </xf>
    <xf numFmtId="0" fontId="40" fillId="0" borderId="133">
      <alignment horizontal="center"/>
    </xf>
    <xf numFmtId="0" fontId="40" fillId="0" borderId="133">
      <alignment horizontal="center"/>
    </xf>
    <xf numFmtId="174" fontId="4" fillId="0" borderId="0"/>
    <xf numFmtId="0" fontId="244" fillId="98" borderId="0">
      <alignment horizontal="left" vertical="center"/>
      <protection locked="0"/>
    </xf>
    <xf numFmtId="0" fontId="4" fillId="45" borderId="0" applyNumberFormat="0" applyFont="0" applyBorder="0" applyAlignment="0" applyProtection="0"/>
    <xf numFmtId="0" fontId="4" fillId="46" borderId="0" applyNumberFormat="0" applyFont="0" applyBorder="0" applyAlignment="0" applyProtection="0"/>
    <xf numFmtId="0" fontId="4" fillId="4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4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0" fontId="244" fillId="98" borderId="0">
      <alignment horizontal="left" vertical="center"/>
      <protection locked="0"/>
    </xf>
    <xf numFmtId="0" fontId="265" fillId="37" borderId="0">
      <alignment vertical="center"/>
      <protection locked="0"/>
    </xf>
    <xf numFmtId="275" fontId="4" fillId="0" borderId="14" applyBorder="0" applyProtection="0">
      <alignment horizontal="right"/>
    </xf>
  </cellStyleXfs>
  <cellXfs count="529">
    <xf numFmtId="0" fontId="0" fillId="0" borderId="0" xfId="0"/>
    <xf numFmtId="0" fontId="1" fillId="0" borderId="0" xfId="0" applyFont="1"/>
    <xf numFmtId="0" fontId="0" fillId="4" borderId="0" xfId="0" applyFill="1"/>
    <xf numFmtId="0" fontId="11" fillId="4" borderId="0" xfId="2" applyFill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4" fillId="4" borderId="0" xfId="4"/>
    <xf numFmtId="0" fontId="4" fillId="4" borderId="0" xfId="4" applyAlignment="1"/>
    <xf numFmtId="0" fontId="5" fillId="0" borderId="0" xfId="4" applyFont="1" applyFill="1"/>
    <xf numFmtId="0" fontId="8" fillId="0" borderId="1" xfId="4" applyFont="1" applyFill="1" applyBorder="1"/>
    <xf numFmtId="0" fontId="8" fillId="0" borderId="0" xfId="4" applyFont="1" applyFill="1"/>
    <xf numFmtId="0" fontId="7" fillId="0" borderId="2" xfId="0" applyFont="1" applyFill="1" applyBorder="1" applyAlignment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0" xfId="0" applyFont="1" applyFill="1" applyBorder="1"/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/>
    <xf numFmtId="0" fontId="7" fillId="0" borderId="5" xfId="0" applyFont="1" applyFill="1" applyBorder="1" applyAlignment="1" applyProtection="1">
      <protection locked="0"/>
    </xf>
    <xf numFmtId="0" fontId="7" fillId="0" borderId="6" xfId="0" applyFont="1" applyFill="1" applyBorder="1" applyAlignment="1"/>
    <xf numFmtId="0" fontId="7" fillId="0" borderId="6" xfId="0" applyFont="1" applyFill="1" applyBorder="1"/>
    <xf numFmtId="0" fontId="7" fillId="0" borderId="7" xfId="0" applyFont="1" applyFill="1" applyBorder="1"/>
    <xf numFmtId="0" fontId="4" fillId="0" borderId="0" xfId="4" applyFont="1" applyFill="1"/>
    <xf numFmtId="0" fontId="8" fillId="0" borderId="8" xfId="4" applyFont="1" applyFill="1" applyBorder="1"/>
    <xf numFmtId="0" fontId="7" fillId="0" borderId="9" xfId="0" applyFont="1" applyFill="1" applyBorder="1" applyAlignment="1">
      <alignment horizontal="left" indent="1"/>
    </xf>
    <xf numFmtId="0" fontId="6" fillId="0" borderId="1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right" indent="1"/>
    </xf>
    <xf numFmtId="0" fontId="7" fillId="0" borderId="10" xfId="0" applyFont="1" applyFill="1" applyBorder="1" applyAlignment="1">
      <alignment horizontal="left" indent="1"/>
    </xf>
    <xf numFmtId="0" fontId="7" fillId="0" borderId="11" xfId="0" applyFont="1" applyFill="1" applyBorder="1" applyAlignment="1">
      <alignment horizontal="left" inden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Alignment="1"/>
    <xf numFmtId="0" fontId="8" fillId="5" borderId="8" xfId="4" applyFont="1" applyFill="1" applyBorder="1"/>
    <xf numFmtId="0" fontId="8" fillId="5" borderId="12" xfId="4" applyFont="1" applyFill="1" applyBorder="1" applyAlignment="1"/>
    <xf numFmtId="0" fontId="4" fillId="5" borderId="12" xfId="4" applyFont="1" applyFill="1" applyBorder="1" applyAlignment="1"/>
    <xf numFmtId="0" fontId="4" fillId="5" borderId="13" xfId="4" applyFont="1" applyFill="1" applyBorder="1" applyAlignment="1"/>
    <xf numFmtId="0" fontId="7" fillId="5" borderId="12" xfId="0" applyFont="1" applyFill="1" applyBorder="1" applyAlignment="1" applyProtection="1">
      <alignment horizontal="left"/>
      <protection locked="0"/>
    </xf>
    <xf numFmtId="0" fontId="7" fillId="5" borderId="13" xfId="0" applyFont="1" applyFill="1" applyBorder="1" applyAlignment="1" applyProtection="1">
      <alignment horizontal="left"/>
      <protection locked="0"/>
    </xf>
    <xf numFmtId="0" fontId="7" fillId="5" borderId="14" xfId="0" applyFont="1" applyFill="1" applyBorder="1" applyAlignment="1" applyProtection="1">
      <alignment horizontal="left"/>
      <protection locked="0"/>
    </xf>
    <xf numFmtId="0" fontId="7" fillId="5" borderId="15" xfId="0" applyFont="1" applyFill="1" applyBorder="1" applyAlignment="1" applyProtection="1">
      <alignment horizontal="left"/>
      <protection locked="0"/>
    </xf>
    <xf numFmtId="0" fontId="7" fillId="5" borderId="4" xfId="0" applyFont="1" applyFill="1" applyBorder="1" applyAlignment="1" applyProtection="1">
      <alignment horizontal="left"/>
      <protection locked="0"/>
    </xf>
    <xf numFmtId="0" fontId="7" fillId="5" borderId="16" xfId="0" applyFont="1" applyFill="1" applyBorder="1" applyAlignment="1" applyProtection="1">
      <alignment horizontal="left"/>
      <protection locked="0"/>
    </xf>
    <xf numFmtId="0" fontId="7" fillId="5" borderId="17" xfId="0" applyFont="1" applyFill="1" applyBorder="1" applyAlignment="1" applyProtection="1">
      <alignment horizontal="left"/>
      <protection locked="0"/>
    </xf>
    <xf numFmtId="0" fontId="7" fillId="5" borderId="18" xfId="0" applyFont="1" applyFill="1" applyBorder="1" applyAlignment="1" applyProtection="1">
      <alignment horizontal="left"/>
      <protection locked="0"/>
    </xf>
    <xf numFmtId="0" fontId="7" fillId="5" borderId="12" xfId="0" applyFont="1" applyFill="1" applyBorder="1" applyAlignment="1" applyProtection="1">
      <protection locked="0"/>
    </xf>
    <xf numFmtId="0" fontId="9" fillId="5" borderId="12" xfId="0" applyFont="1" applyFill="1" applyBorder="1" applyAlignment="1"/>
    <xf numFmtId="0" fontId="9" fillId="5" borderId="13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wrapText="1"/>
    </xf>
    <xf numFmtId="4" fontId="0" fillId="0" borderId="0" xfId="0" applyNumberFormat="1"/>
    <xf numFmtId="0" fontId="4" fillId="5" borderId="8" xfId="0" applyFont="1" applyFill="1" applyBorder="1" applyAlignment="1" applyProtection="1">
      <alignment horizontal="left"/>
      <protection locked="0"/>
    </xf>
    <xf numFmtId="0" fontId="11" fillId="5" borderId="8" xfId="2" applyFill="1" applyBorder="1" applyAlignment="1" applyProtection="1">
      <alignment horizontal="left"/>
      <protection locked="0"/>
    </xf>
    <xf numFmtId="0" fontId="4" fillId="5" borderId="16" xfId="0" applyFont="1" applyFill="1" applyBorder="1" applyAlignment="1" applyProtection="1">
      <alignment horizontal="left"/>
      <protection locked="0"/>
    </xf>
    <xf numFmtId="0" fontId="4" fillId="5" borderId="8" xfId="0" applyFont="1" applyFill="1" applyBorder="1" applyAlignment="1" applyProtection="1">
      <protection locked="0"/>
    </xf>
    <xf numFmtId="0" fontId="4" fillId="5" borderId="1" xfId="0" applyFont="1" applyFill="1" applyBorder="1" applyAlignment="1" applyProtection="1">
      <protection locked="0"/>
    </xf>
    <xf numFmtId="0" fontId="0" fillId="0" borderId="0" xfId="0"/>
    <xf numFmtId="0" fontId="4" fillId="5" borderId="4" xfId="0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4" fontId="0" fillId="5" borderId="1" xfId="0" applyNumberFormat="1" applyFill="1" applyBorder="1" applyAlignment="1"/>
    <xf numFmtId="169" fontId="0" fillId="0" borderId="0" xfId="0" applyNumberFormat="1" applyAlignment="1"/>
    <xf numFmtId="0" fontId="3" fillId="0" borderId="0" xfId="0" applyFont="1" applyAlignment="1">
      <alignment horizontal="left" wrapText="1"/>
    </xf>
    <xf numFmtId="4" fontId="12" fillId="5" borderId="1" xfId="0" applyNumberFormat="1" applyFont="1" applyFill="1" applyBorder="1" applyAlignment="1"/>
    <xf numFmtId="0" fontId="0" fillId="5" borderId="1" xfId="0" applyFill="1" applyBorder="1" applyAlignment="1"/>
    <xf numFmtId="0" fontId="0" fillId="0" borderId="0" xfId="0" applyFill="1" applyAlignment="1"/>
    <xf numFmtId="0" fontId="1" fillId="0" borderId="0" xfId="0" applyFont="1" applyAlignment="1"/>
    <xf numFmtId="0" fontId="0" fillId="0" borderId="1" xfId="0" applyFill="1" applyBorder="1" applyAlignment="1"/>
    <xf numFmtId="0" fontId="1" fillId="0" borderId="0" xfId="0" applyFont="1" applyBorder="1" applyAlignment="1"/>
    <xf numFmtId="169" fontId="12" fillId="0" borderId="0" xfId="0" applyNumberFormat="1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2" fillId="0" borderId="0" xfId="0" applyFont="1" applyAlignment="1">
      <alignment vertical="center" wrapText="1"/>
    </xf>
    <xf numFmtId="169" fontId="0" fillId="0" borderId="0" xfId="0" applyNumberFormat="1"/>
    <xf numFmtId="0" fontId="1" fillId="0" borderId="0" xfId="0" applyFont="1" applyAlignment="1">
      <alignment vertical="center" wrapText="1"/>
    </xf>
    <xf numFmtId="0" fontId="228" fillId="0" borderId="0" xfId="0" applyFont="1" applyAlignment="1">
      <alignment horizontal="center" vertical="center" wrapText="1"/>
    </xf>
    <xf numFmtId="4" fontId="12" fillId="5" borderId="1" xfId="0" applyNumberFormat="1" applyFont="1" applyFill="1" applyBorder="1"/>
    <xf numFmtId="4" fontId="0" fillId="5" borderId="1" xfId="0" applyNumberFormat="1" applyFill="1" applyBorder="1"/>
    <xf numFmtId="0" fontId="228" fillId="0" borderId="0" xfId="0" applyFont="1" applyFill="1" applyAlignment="1">
      <alignment horizontal="center" vertical="center" wrapText="1"/>
    </xf>
    <xf numFmtId="4" fontId="12" fillId="0" borderId="0" xfId="0" applyNumberFormat="1" applyFont="1" applyFill="1" applyBorder="1"/>
    <xf numFmtId="169" fontId="0" fillId="0" borderId="0" xfId="0" applyNumberFormat="1" applyFill="1"/>
    <xf numFmtId="4" fontId="0" fillId="0" borderId="0" xfId="0" applyNumberFormat="1" applyFill="1" applyBorder="1"/>
    <xf numFmtId="4" fontId="0" fillId="0" borderId="0" xfId="0" applyNumberFormat="1" applyFill="1"/>
    <xf numFmtId="4" fontId="0" fillId="5" borderId="0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265" fontId="0" fillId="0" borderId="0" xfId="0" applyNumberFormat="1" applyFill="1" applyBorder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vertical="center" wrapText="1"/>
    </xf>
    <xf numFmtId="4" fontId="0" fillId="0" borderId="0" xfId="0" applyNumberFormat="1" applyFill="1" applyBorder="1" applyAlignment="1">
      <alignment horizontal="center"/>
    </xf>
    <xf numFmtId="169" fontId="0" fillId="5" borderId="1" xfId="0" applyNumberFormat="1" applyFill="1" applyBorder="1"/>
    <xf numFmtId="0" fontId="0" fillId="0" borderId="0" xfId="0" applyAlignment="1">
      <alignment vertical="center"/>
    </xf>
    <xf numFmtId="0" fontId="0" fillId="0" borderId="0" xfId="0" applyBorder="1"/>
    <xf numFmtId="0" fontId="1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229" fillId="0" borderId="0" xfId="0" applyFont="1" applyFill="1" applyBorder="1"/>
    <xf numFmtId="266" fontId="0" fillId="0" borderId="0" xfId="0" applyNumberFormat="1" applyFill="1" applyBorder="1"/>
    <xf numFmtId="267" fontId="0" fillId="0" borderId="0" xfId="0" applyNumberFormat="1" applyFill="1" applyBorder="1"/>
    <xf numFmtId="0" fontId="12" fillId="0" borderId="0" xfId="0" applyFont="1" applyFill="1" applyBorder="1" applyAlignment="1">
      <alignment wrapText="1"/>
    </xf>
    <xf numFmtId="0" fontId="0" fillId="0" borderId="0" xfId="0" applyBorder="1" applyAlignment="1">
      <alignment vertical="top"/>
    </xf>
    <xf numFmtId="43" fontId="0" fillId="0" borderId="0" xfId="2120" applyFont="1"/>
    <xf numFmtId="0" fontId="0" fillId="0" borderId="0" xfId="0" applyFont="1"/>
    <xf numFmtId="0" fontId="1" fillId="0" borderId="0" xfId="0" applyFont="1" applyAlignment="1">
      <alignment horizontal="justify" vertical="center" wrapText="1"/>
    </xf>
    <xf numFmtId="169" fontId="0" fillId="0" borderId="0" xfId="0" applyNumberFormat="1" applyBorder="1"/>
    <xf numFmtId="4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0" fillId="0" borderId="0" xfId="0" applyNumberFormat="1" applyBorder="1"/>
    <xf numFmtId="4" fontId="0" fillId="87" borderId="1" xfId="0" applyNumberFormat="1" applyFill="1" applyBorder="1"/>
    <xf numFmtId="0" fontId="1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" fontId="0" fillId="0" borderId="0" xfId="0" applyNumberFormat="1" applyFont="1"/>
    <xf numFmtId="0" fontId="3" fillId="0" borderId="0" xfId="0" applyFont="1" applyAlignment="1">
      <alignment vertical="center" wrapText="1"/>
    </xf>
    <xf numFmtId="3" fontId="0" fillId="5" borderId="1" xfId="2120" applyNumberFormat="1" applyFont="1" applyFill="1" applyBorder="1"/>
    <xf numFmtId="2" fontId="0" fillId="0" borderId="0" xfId="0" applyNumberFormat="1"/>
    <xf numFmtId="2" fontId="0" fillId="37" borderId="1" xfId="0" applyNumberFormat="1" applyFill="1" applyBorder="1"/>
    <xf numFmtId="0" fontId="9" fillId="0" borderId="0" xfId="0" applyFont="1" applyAlignment="1">
      <alignment horizontal="left" vertical="center" wrapText="1"/>
    </xf>
    <xf numFmtId="0" fontId="230" fillId="0" borderId="0" xfId="0" applyFont="1"/>
    <xf numFmtId="0" fontId="231" fillId="0" borderId="0" xfId="0" applyFont="1" applyAlignment="1">
      <alignment vertical="center" wrapText="1"/>
    </xf>
    <xf numFmtId="0" fontId="230" fillId="0" borderId="0" xfId="0" applyFont="1" applyAlignment="1">
      <alignment horizontal="center" vertical="center" wrapText="1"/>
    </xf>
    <xf numFmtId="0" fontId="230" fillId="0" borderId="0" xfId="0" applyFont="1" applyAlignment="1">
      <alignment horizontal="left" vertical="center" wrapText="1"/>
    </xf>
    <xf numFmtId="1" fontId="230" fillId="5" borderId="1" xfId="0" applyNumberFormat="1" applyFont="1" applyFill="1" applyBorder="1"/>
    <xf numFmtId="0" fontId="232" fillId="0" borderId="0" xfId="0" applyFont="1" applyAlignment="1">
      <alignment horizontal="left" vertical="center" wrapText="1"/>
    </xf>
    <xf numFmtId="1" fontId="230" fillId="5" borderId="0" xfId="0" applyNumberFormat="1" applyFont="1" applyFill="1" applyBorder="1"/>
    <xf numFmtId="3" fontId="0" fillId="5" borderId="1" xfId="0" applyNumberFormat="1" applyFill="1" applyBorder="1"/>
    <xf numFmtId="3" fontId="12" fillId="5" borderId="1" xfId="0" applyNumberFormat="1" applyFont="1" applyFill="1" applyBorder="1"/>
    <xf numFmtId="3" fontId="0" fillId="87" borderId="1" xfId="2120" applyNumberFormat="1" applyFont="1" applyFill="1" applyBorder="1"/>
    <xf numFmtId="0" fontId="23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170" fontId="0" fillId="5" borderId="1" xfId="0" applyNumberFormat="1" applyFill="1" applyBorder="1"/>
    <xf numFmtId="268" fontId="0" fillId="5" borderId="1" xfId="0" applyNumberFormat="1" applyFill="1" applyBorder="1"/>
    <xf numFmtId="0" fontId="1" fillId="0" borderId="0" xfId="0" applyFont="1" applyFill="1"/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4" fillId="0" borderId="0" xfId="0" applyFont="1"/>
    <xf numFmtId="43" fontId="0" fillId="0" borderId="0" xfId="0" applyNumberFormat="1"/>
    <xf numFmtId="0" fontId="235" fillId="0" borderId="0" xfId="0" applyFont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230" fillId="5" borderId="1" xfId="0" applyFont="1" applyFill="1" applyBorder="1"/>
    <xf numFmtId="0" fontId="23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267" fontId="0" fillId="5" borderId="1" xfId="0" applyNumberFormat="1" applyFill="1" applyBorder="1"/>
    <xf numFmtId="267" fontId="0" fillId="0" borderId="0" xfId="0" applyNumberFormat="1"/>
    <xf numFmtId="0" fontId="15" fillId="0" borderId="0" xfId="0" applyFont="1"/>
    <xf numFmtId="0" fontId="3" fillId="0" borderId="0" xfId="0" applyFont="1" applyAlignment="1">
      <alignment horizontal="left" vertical="center"/>
    </xf>
    <xf numFmtId="10" fontId="0" fillId="5" borderId="1" xfId="2121" applyNumberFormat="1" applyFont="1" applyFill="1" applyBorder="1"/>
    <xf numFmtId="10" fontId="0" fillId="0" borderId="0" xfId="2121" applyNumberFormat="1" applyFont="1"/>
    <xf numFmtId="10" fontId="0" fillId="0" borderId="0" xfId="0" applyNumberFormat="1"/>
    <xf numFmtId="170" fontId="0" fillId="0" borderId="0" xfId="0" applyNumberFormat="1"/>
    <xf numFmtId="0" fontId="235" fillId="0" borderId="0" xfId="0" applyFont="1"/>
    <xf numFmtId="0" fontId="12" fillId="0" borderId="1" xfId="0" applyFont="1" applyFill="1" applyBorder="1"/>
    <xf numFmtId="0" fontId="235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3" fontId="0" fillId="0" borderId="0" xfId="0" applyNumberFormat="1"/>
    <xf numFmtId="0" fontId="12" fillId="0" borderId="0" xfId="0" applyFont="1"/>
    <xf numFmtId="267" fontId="0" fillId="5" borderId="0" xfId="0" applyNumberFormat="1" applyFill="1" applyBorder="1"/>
    <xf numFmtId="0" fontId="6" fillId="88" borderId="1" xfId="4" applyFont="1" applyFill="1" applyBorder="1"/>
    <xf numFmtId="0" fontId="12" fillId="88" borderId="1" xfId="0" applyFont="1" applyFill="1" applyBorder="1"/>
    <xf numFmtId="0" fontId="4" fillId="0" borderId="0" xfId="4" applyFont="1" applyFill="1" applyBorder="1"/>
    <xf numFmtId="0" fontId="12" fillId="0" borderId="1" xfId="0" applyFont="1" applyBorder="1"/>
    <xf numFmtId="269" fontId="15" fillId="0" borderId="0" xfId="2120" applyNumberFormat="1" applyFont="1" applyAlignment="1">
      <alignment horizontal="left" vertical="center" wrapText="1"/>
    </xf>
    <xf numFmtId="269" fontId="2" fillId="0" borderId="0" xfId="2120" applyNumberFormat="1" applyFont="1" applyAlignment="1">
      <alignment horizontal="left" vertical="center" wrapText="1"/>
    </xf>
    <xf numFmtId="269" fontId="1" fillId="0" borderId="0" xfId="2120" applyNumberFormat="1" applyFont="1" applyAlignment="1">
      <alignment vertical="center" wrapText="1"/>
    </xf>
    <xf numFmtId="269" fontId="0" fillId="0" borderId="0" xfId="2120" applyNumberFormat="1" applyFont="1" applyAlignment="1">
      <alignment horizontal="left" vertical="center" wrapText="1"/>
    </xf>
    <xf numFmtId="269" fontId="0" fillId="0" borderId="0" xfId="2120" applyNumberFormat="1" applyFont="1" applyAlignment="1">
      <alignment wrapText="1"/>
    </xf>
    <xf numFmtId="49" fontId="8" fillId="5" borderId="12" xfId="4" applyNumberFormat="1" applyFont="1" applyFill="1" applyBorder="1" applyAlignment="1"/>
    <xf numFmtId="0" fontId="4" fillId="0" borderId="0" xfId="5"/>
    <xf numFmtId="49" fontId="237" fillId="89" borderId="0" xfId="5" applyNumberFormat="1" applyFont="1" applyFill="1" applyAlignment="1" applyProtection="1">
      <alignment horizontal="right"/>
    </xf>
    <xf numFmtId="0" fontId="4" fillId="89" borderId="0" xfId="5" applyFill="1"/>
    <xf numFmtId="0" fontId="4" fillId="89" borderId="0" xfId="989" applyFill="1"/>
    <xf numFmtId="0" fontId="238" fillId="89" borderId="0" xfId="5" applyFont="1" applyFill="1" applyProtection="1"/>
    <xf numFmtId="1" fontId="238" fillId="89" borderId="0" xfId="5" applyNumberFormat="1" applyFont="1" applyFill="1" applyProtection="1"/>
    <xf numFmtId="49" fontId="239" fillId="89" borderId="0" xfId="5" applyNumberFormat="1" applyFont="1" applyFill="1" applyAlignment="1" applyProtection="1">
      <alignment horizontal="right" vertical="center"/>
    </xf>
    <xf numFmtId="0" fontId="4" fillId="89" borderId="0" xfId="5" applyFont="1" applyFill="1" applyAlignment="1">
      <alignment vertical="center"/>
    </xf>
    <xf numFmtId="49" fontId="239" fillId="89" borderId="0" xfId="2122" applyNumberFormat="1" applyFont="1" applyFill="1" applyAlignment="1" applyProtection="1">
      <alignment horizontal="right" vertical="center"/>
    </xf>
    <xf numFmtId="0" fontId="0" fillId="89" borderId="0" xfId="2122" applyFont="1" applyFill="1" applyAlignment="1">
      <alignment vertical="center"/>
    </xf>
    <xf numFmtId="0" fontId="4" fillId="89" borderId="0" xfId="2122" applyFill="1"/>
    <xf numFmtId="0" fontId="238" fillId="89" borderId="0" xfId="2122" applyFont="1" applyFill="1" applyProtection="1"/>
    <xf numFmtId="1" fontId="238" fillId="89" borderId="0" xfId="2122" applyNumberFormat="1" applyFont="1" applyFill="1" applyProtection="1"/>
    <xf numFmtId="0" fontId="240" fillId="90" borderId="0" xfId="5" applyFont="1" applyFill="1" applyProtection="1"/>
    <xf numFmtId="0" fontId="240" fillId="90" borderId="0" xfId="5" applyFont="1" applyFill="1" applyAlignment="1" applyProtection="1">
      <alignment horizontal="center"/>
    </xf>
    <xf numFmtId="0" fontId="241" fillId="0" borderId="0" xfId="5" quotePrefix="1" applyFont="1"/>
    <xf numFmtId="0" fontId="4" fillId="0" borderId="0" xfId="989"/>
    <xf numFmtId="0" fontId="238" fillId="90" borderId="0" xfId="5" applyFont="1" applyFill="1" applyProtection="1"/>
    <xf numFmtId="1" fontId="238" fillId="90" borderId="0" xfId="5" applyNumberFormat="1" applyFont="1" applyFill="1" applyProtection="1"/>
    <xf numFmtId="0" fontId="237" fillId="90" borderId="0" xfId="5" applyFont="1" applyFill="1" applyProtection="1"/>
    <xf numFmtId="49" fontId="237" fillId="90" borderId="0" xfId="5" applyNumberFormat="1" applyFont="1" applyFill="1" applyAlignment="1" applyProtection="1">
      <alignment horizontal="center"/>
    </xf>
    <xf numFmtId="0" fontId="6" fillId="0" borderId="0" xfId="5" applyFont="1"/>
    <xf numFmtId="49" fontId="238" fillId="90" borderId="9" xfId="5" applyNumberFormat="1" applyFont="1" applyFill="1" applyBorder="1" applyProtection="1"/>
    <xf numFmtId="49" fontId="43" fillId="90" borderId="9" xfId="5" applyNumberFormat="1" applyFont="1" applyFill="1" applyBorder="1" applyProtection="1"/>
    <xf numFmtId="0" fontId="4" fillId="0" borderId="2" xfId="5" applyBorder="1"/>
    <xf numFmtId="0" fontId="238" fillId="0" borderId="72" xfId="5" quotePrefix="1" applyFont="1" applyFill="1" applyBorder="1" applyAlignment="1" applyProtection="1">
      <alignment vertical="center"/>
    </xf>
    <xf numFmtId="49" fontId="238" fillId="90" borderId="10" xfId="5" applyNumberFormat="1" applyFont="1" applyFill="1" applyBorder="1" applyProtection="1"/>
    <xf numFmtId="49" fontId="43" fillId="90" borderId="10" xfId="5" applyNumberFormat="1" applyFont="1" applyFill="1" applyBorder="1" applyProtection="1"/>
    <xf numFmtId="0" fontId="4" fillId="0" borderId="0" xfId="5" applyBorder="1"/>
    <xf numFmtId="0" fontId="238" fillId="0" borderId="73" xfId="5" quotePrefix="1" applyFont="1" applyFill="1" applyBorder="1" applyAlignment="1" applyProtection="1">
      <alignment vertical="center"/>
    </xf>
    <xf numFmtId="0" fontId="4" fillId="0" borderId="73" xfId="5" applyFill="1" applyBorder="1"/>
    <xf numFmtId="0" fontId="4" fillId="0" borderId="0" xfId="5" applyAlignment="1">
      <alignment vertical="center"/>
    </xf>
    <xf numFmtId="49" fontId="238" fillId="90" borderId="11" xfId="5" applyNumberFormat="1" applyFont="1" applyFill="1" applyBorder="1" applyProtection="1"/>
    <xf numFmtId="49" fontId="43" fillId="90" borderId="11" xfId="5" applyNumberFormat="1" applyFont="1" applyFill="1" applyBorder="1" applyProtection="1"/>
    <xf numFmtId="0" fontId="4" fillId="0" borderId="6" xfId="5" applyBorder="1"/>
    <xf numFmtId="0" fontId="4" fillId="0" borderId="74" xfId="5" applyFill="1" applyBorder="1"/>
    <xf numFmtId="49" fontId="238" fillId="90" borderId="0" xfId="5" applyNumberFormat="1" applyFont="1" applyFill="1" applyProtection="1"/>
    <xf numFmtId="0" fontId="237" fillId="90" borderId="1" xfId="5" applyFont="1" applyFill="1" applyBorder="1" applyAlignment="1" applyProtection="1">
      <alignment wrapText="1"/>
    </xf>
    <xf numFmtId="0" fontId="237" fillId="90" borderId="1" xfId="2122" applyFont="1" applyFill="1" applyBorder="1" applyAlignment="1" applyProtection="1">
      <alignment wrapText="1"/>
    </xf>
    <xf numFmtId="49" fontId="237" fillId="90" borderId="1" xfId="5" applyNumberFormat="1" applyFont="1" applyFill="1" applyBorder="1" applyAlignment="1" applyProtection="1">
      <alignment wrapText="1"/>
    </xf>
    <xf numFmtId="0" fontId="6" fillId="0" borderId="1" xfId="989" applyFont="1" applyBorder="1" applyAlignment="1">
      <alignment horizontal="center" wrapText="1"/>
    </xf>
    <xf numFmtId="0" fontId="6" fillId="0" borderId="75" xfId="989" applyFont="1" applyBorder="1" applyAlignment="1">
      <alignment horizontal="center" wrapText="1"/>
    </xf>
    <xf numFmtId="1" fontId="6" fillId="0" borderId="75" xfId="989" applyNumberFormat="1" applyFont="1" applyBorder="1" applyAlignment="1">
      <alignment horizontal="center" wrapText="1"/>
    </xf>
    <xf numFmtId="0" fontId="6" fillId="0" borderId="76" xfId="989" applyFont="1" applyBorder="1" applyAlignment="1">
      <alignment horizontal="center" wrapText="1"/>
    </xf>
    <xf numFmtId="0" fontId="6" fillId="0" borderId="28" xfId="989" applyFont="1" applyFill="1" applyBorder="1" applyAlignment="1">
      <alignment horizontal="center" wrapText="1"/>
    </xf>
    <xf numFmtId="0" fontId="238" fillId="90" borderId="77" xfId="5" applyFont="1" applyFill="1" applyBorder="1" applyAlignment="1" applyProtection="1">
      <alignment vertical="top"/>
    </xf>
    <xf numFmtId="0" fontId="238" fillId="90" borderId="77" xfId="2122" applyFont="1" applyFill="1" applyBorder="1" applyAlignment="1" applyProtection="1">
      <alignment vertical="top"/>
    </xf>
    <xf numFmtId="270" fontId="4" fillId="90" borderId="78" xfId="5" applyNumberFormat="1" applyFont="1" applyFill="1" applyBorder="1" applyAlignment="1" applyProtection="1">
      <alignment horizontal="left" vertical="top"/>
    </xf>
    <xf numFmtId="0" fontId="4" fillId="0" borderId="77" xfId="989" applyFont="1" applyBorder="1" applyAlignment="1">
      <alignment vertical="top"/>
    </xf>
    <xf numFmtId="0" fontId="4" fillId="0" borderId="79" xfId="5" applyFont="1" applyBorder="1" applyAlignment="1">
      <alignment vertical="top"/>
    </xf>
    <xf numFmtId="0" fontId="43" fillId="90" borderId="80" xfId="5" applyFont="1" applyFill="1" applyBorder="1" applyAlignment="1" applyProtection="1">
      <alignment vertical="top"/>
    </xf>
    <xf numFmtId="0" fontId="43" fillId="90" borderId="0" xfId="5" applyFont="1" applyFill="1" applyBorder="1" applyAlignment="1" applyProtection="1">
      <alignment vertical="top"/>
    </xf>
    <xf numFmtId="0" fontId="4" fillId="0" borderId="81" xfId="5" applyBorder="1" applyAlignment="1">
      <alignment horizontal="center" vertical="top"/>
    </xf>
    <xf numFmtId="1" fontId="4" fillId="0" borderId="82" xfId="5" applyNumberFormat="1" applyBorder="1" applyAlignment="1">
      <alignment horizontal="center" vertical="top"/>
    </xf>
    <xf numFmtId="0" fontId="4" fillId="0" borderId="83" xfId="989" applyFont="1" applyBorder="1" applyAlignment="1">
      <alignment horizontal="center" vertical="top"/>
    </xf>
    <xf numFmtId="0" fontId="242" fillId="0" borderId="84" xfId="5" applyFont="1" applyBorder="1" applyAlignment="1">
      <alignment vertical="top"/>
    </xf>
    <xf numFmtId="0" fontId="4" fillId="0" borderId="61" xfId="5" applyFont="1" applyBorder="1" applyAlignment="1">
      <alignment vertical="top"/>
    </xf>
    <xf numFmtId="0" fontId="43" fillId="90" borderId="88" xfId="5" applyFont="1" applyFill="1" applyBorder="1" applyAlignment="1" applyProtection="1">
      <alignment vertical="top"/>
    </xf>
    <xf numFmtId="0" fontId="4" fillId="0" borderId="89" xfId="5" applyBorder="1" applyAlignment="1">
      <alignment horizontal="center" vertical="top"/>
    </xf>
    <xf numFmtId="1" fontId="238" fillId="90" borderId="90" xfId="5" applyNumberFormat="1" applyFont="1" applyFill="1" applyBorder="1" applyAlignment="1" applyProtection="1">
      <alignment horizontal="center" vertical="top"/>
    </xf>
    <xf numFmtId="0" fontId="4" fillId="0" borderId="88" xfId="989" applyFont="1" applyBorder="1" applyAlignment="1">
      <alignment horizontal="center" vertical="top"/>
    </xf>
    <xf numFmtId="0" fontId="4" fillId="0" borderId="91" xfId="5" applyFont="1" applyBorder="1" applyAlignment="1">
      <alignment vertical="top"/>
    </xf>
    <xf numFmtId="0" fontId="238" fillId="90" borderId="89" xfId="5" applyFont="1" applyFill="1" applyBorder="1" applyAlignment="1" applyProtection="1">
      <alignment vertical="top"/>
    </xf>
    <xf numFmtId="0" fontId="238" fillId="90" borderId="89" xfId="2122" applyFont="1" applyFill="1" applyBorder="1" applyAlignment="1" applyProtection="1">
      <alignment vertical="top"/>
    </xf>
    <xf numFmtId="270" fontId="4" fillId="90" borderId="90" xfId="5" applyNumberFormat="1" applyFont="1" applyFill="1" applyBorder="1" applyAlignment="1" applyProtection="1">
      <alignment horizontal="left" vertical="top"/>
    </xf>
    <xf numFmtId="0" fontId="4" fillId="0" borderId="89" xfId="989" applyFont="1" applyBorder="1" applyAlignment="1">
      <alignment vertical="top"/>
    </xf>
    <xf numFmtId="0" fontId="43" fillId="90" borderId="95" xfId="5" applyFont="1" applyFill="1" applyBorder="1" applyAlignment="1" applyProtection="1">
      <alignment vertical="top"/>
    </xf>
    <xf numFmtId="0" fontId="242" fillId="0" borderId="91" xfId="5" applyFont="1" applyBorder="1" applyAlignment="1">
      <alignment vertical="top"/>
    </xf>
    <xf numFmtId="270" fontId="4" fillId="90" borderId="90" xfId="2122" applyNumberFormat="1" applyFont="1" applyFill="1" applyBorder="1" applyAlignment="1" applyProtection="1">
      <alignment horizontal="left" vertical="top"/>
    </xf>
    <xf numFmtId="1" fontId="4" fillId="0" borderId="90" xfId="5" applyNumberFormat="1" applyBorder="1" applyAlignment="1">
      <alignment horizontal="center" vertical="top"/>
    </xf>
    <xf numFmtId="0" fontId="238" fillId="91" borderId="89" xfId="5" applyFont="1" applyFill="1" applyBorder="1" applyAlignment="1" applyProtection="1">
      <alignment vertical="top"/>
    </xf>
    <xf numFmtId="0" fontId="238" fillId="91" borderId="89" xfId="2122" applyFont="1" applyFill="1" applyBorder="1" applyAlignment="1" applyProtection="1">
      <alignment vertical="top"/>
    </xf>
    <xf numFmtId="270" fontId="4" fillId="91" borderId="90" xfId="5" applyNumberFormat="1" applyFont="1" applyFill="1" applyBorder="1" applyAlignment="1" applyProtection="1">
      <alignment horizontal="left" vertical="top"/>
    </xf>
    <xf numFmtId="0" fontId="0" fillId="91" borderId="89" xfId="989" applyFont="1" applyFill="1" applyBorder="1" applyAlignment="1">
      <alignment vertical="top"/>
    </xf>
    <xf numFmtId="0" fontId="4" fillId="91" borderId="61" xfId="5" applyFont="1" applyFill="1" applyBorder="1" applyAlignment="1">
      <alignment vertical="top"/>
    </xf>
    <xf numFmtId="0" fontId="4" fillId="91" borderId="88" xfId="5" applyFont="1" applyFill="1" applyBorder="1" applyAlignment="1">
      <alignment vertical="top"/>
    </xf>
    <xf numFmtId="0" fontId="4" fillId="91" borderId="95" xfId="5" applyFont="1" applyFill="1" applyBorder="1" applyAlignment="1">
      <alignment vertical="top"/>
    </xf>
    <xf numFmtId="0" fontId="4" fillId="91" borderId="88" xfId="989" applyFont="1" applyFill="1" applyBorder="1" applyAlignment="1">
      <alignment horizontal="center" vertical="top"/>
    </xf>
    <xf numFmtId="0" fontId="43" fillId="91" borderId="88" xfId="5" applyFont="1" applyFill="1" applyBorder="1" applyAlignment="1" applyProtection="1">
      <alignment vertical="top"/>
    </xf>
    <xf numFmtId="0" fontId="43" fillId="91" borderId="95" xfId="5" applyFont="1" applyFill="1" applyBorder="1" applyAlignment="1" applyProtection="1">
      <alignment vertical="top"/>
    </xf>
    <xf numFmtId="270" fontId="4" fillId="90" borderId="90" xfId="1077" applyNumberFormat="1" applyFont="1" applyFill="1" applyBorder="1" applyAlignment="1" applyProtection="1">
      <alignment horizontal="left" vertical="top"/>
    </xf>
    <xf numFmtId="0" fontId="4" fillId="0" borderId="88" xfId="5" applyFont="1" applyBorder="1" applyAlignment="1">
      <alignment vertical="top"/>
    </xf>
    <xf numFmtId="0" fontId="4" fillId="0" borderId="95" xfId="5" applyFont="1" applyBorder="1" applyAlignment="1">
      <alignment vertical="top"/>
    </xf>
    <xf numFmtId="0" fontId="238" fillId="90" borderId="89" xfId="2122" applyFont="1" applyFill="1" applyBorder="1" applyAlignment="1" applyProtection="1">
      <alignment vertical="top" wrapText="1"/>
    </xf>
    <xf numFmtId="0" fontId="0" fillId="91" borderId="88" xfId="989" applyFont="1" applyFill="1" applyBorder="1" applyAlignment="1">
      <alignment horizontal="center" vertical="top"/>
    </xf>
    <xf numFmtId="0" fontId="4" fillId="91" borderId="89" xfId="989" applyFont="1" applyFill="1" applyBorder="1" applyAlignment="1">
      <alignment vertical="top"/>
    </xf>
    <xf numFmtId="0" fontId="238" fillId="91" borderId="96" xfId="5" applyFont="1" applyFill="1" applyBorder="1" applyAlignment="1" applyProtection="1">
      <alignment vertical="top"/>
    </xf>
    <xf numFmtId="0" fontId="238" fillId="91" borderId="96" xfId="2122" applyFont="1" applyFill="1" applyBorder="1" applyAlignment="1" applyProtection="1">
      <alignment vertical="top"/>
    </xf>
    <xf numFmtId="270" fontId="4" fillId="91" borderId="97" xfId="5" applyNumberFormat="1" applyFont="1" applyFill="1" applyBorder="1" applyAlignment="1" applyProtection="1">
      <alignment horizontal="left" vertical="top"/>
    </xf>
    <xf numFmtId="0" fontId="4" fillId="91" borderId="96" xfId="989" applyFont="1" applyFill="1" applyBorder="1" applyAlignment="1">
      <alignment vertical="top"/>
    </xf>
    <xf numFmtId="0" fontId="4" fillId="91" borderId="98" xfId="5" applyFont="1" applyFill="1" applyBorder="1" applyAlignment="1">
      <alignment vertical="top"/>
    </xf>
    <xf numFmtId="0" fontId="43" fillId="91" borderId="99" xfId="5" applyFont="1" applyFill="1" applyBorder="1" applyAlignment="1" applyProtection="1">
      <alignment vertical="top"/>
    </xf>
    <xf numFmtId="0" fontId="43" fillId="91" borderId="100" xfId="5" applyFont="1" applyFill="1" applyBorder="1" applyAlignment="1" applyProtection="1">
      <alignment vertical="top"/>
    </xf>
    <xf numFmtId="0" fontId="4" fillId="0" borderId="96" xfId="5" applyBorder="1" applyAlignment="1">
      <alignment horizontal="center" vertical="top"/>
    </xf>
    <xf numFmtId="1" fontId="238" fillId="90" borderId="97" xfId="5" applyNumberFormat="1" applyFont="1" applyFill="1" applyBorder="1" applyAlignment="1" applyProtection="1">
      <alignment horizontal="center" vertical="top"/>
    </xf>
    <xf numFmtId="0" fontId="4" fillId="91" borderId="99" xfId="989" applyFont="1" applyFill="1" applyBorder="1" applyAlignment="1">
      <alignment horizontal="center" vertical="top"/>
    </xf>
    <xf numFmtId="0" fontId="4" fillId="0" borderId="101" xfId="5" applyFont="1" applyBorder="1" applyAlignment="1">
      <alignment vertical="top"/>
    </xf>
    <xf numFmtId="0" fontId="237" fillId="90" borderId="72" xfId="5" applyFont="1" applyFill="1" applyBorder="1" applyProtection="1"/>
    <xf numFmtId="0" fontId="243" fillId="90" borderId="105" xfId="2122" applyFont="1" applyFill="1" applyBorder="1" applyAlignment="1" applyProtection="1">
      <alignment vertical="center" wrapText="1"/>
    </xf>
    <xf numFmtId="0" fontId="243" fillId="90" borderId="106" xfId="2122" applyFont="1" applyFill="1" applyBorder="1" applyAlignment="1" applyProtection="1">
      <alignment vertical="center" wrapText="1"/>
    </xf>
    <xf numFmtId="0" fontId="243" fillId="90" borderId="0" xfId="2122" applyFont="1" applyFill="1" applyBorder="1" applyAlignment="1" applyProtection="1">
      <alignment vertical="center" wrapText="1"/>
    </xf>
    <xf numFmtId="0" fontId="12" fillId="0" borderId="28" xfId="2123" applyFont="1" applyBorder="1"/>
    <xf numFmtId="0" fontId="238" fillId="90" borderId="107" xfId="5" applyFont="1" applyFill="1" applyBorder="1" applyProtection="1"/>
    <xf numFmtId="0" fontId="238" fillId="90" borderId="108" xfId="5" applyFont="1" applyFill="1" applyBorder="1" applyProtection="1"/>
    <xf numFmtId="0" fontId="238" fillId="90" borderId="77" xfId="2122" applyFont="1" applyFill="1" applyBorder="1" applyAlignment="1" applyProtection="1">
      <alignment horizontal="center" vertical="center"/>
    </xf>
    <xf numFmtId="49" fontId="238" fillId="90" borderId="109" xfId="2122" applyNumberFormat="1" applyFont="1" applyFill="1" applyBorder="1" applyProtection="1"/>
    <xf numFmtId="49" fontId="238" fillId="90" borderId="0" xfId="2122" applyNumberFormat="1" applyFont="1" applyFill="1" applyBorder="1" applyProtection="1"/>
    <xf numFmtId="0" fontId="4" fillId="90" borderId="110" xfId="1077" applyFont="1" applyFill="1" applyBorder="1" applyAlignment="1"/>
    <xf numFmtId="0" fontId="0" fillId="0" borderId="0" xfId="0" applyFont="1" applyAlignment="1">
      <alignment horizontal="left" indent="1"/>
    </xf>
    <xf numFmtId="0" fontId="238" fillId="90" borderId="91" xfId="5" applyFont="1" applyFill="1" applyBorder="1" applyProtection="1"/>
    <xf numFmtId="0" fontId="238" fillId="90" borderId="111" xfId="5" applyFont="1" applyFill="1" applyBorder="1" applyProtection="1"/>
    <xf numFmtId="0" fontId="238" fillId="90" borderId="89" xfId="2122" applyFont="1" applyFill="1" applyBorder="1" applyAlignment="1" applyProtection="1">
      <alignment horizontal="center" vertical="center"/>
    </xf>
    <xf numFmtId="49" fontId="238" fillId="90" borderId="61" xfId="2122" applyNumberFormat="1" applyFont="1" applyFill="1" applyBorder="1" applyProtection="1"/>
    <xf numFmtId="0" fontId="4" fillId="90" borderId="112" xfId="1077" applyFont="1" applyFill="1" applyBorder="1" applyAlignment="1"/>
    <xf numFmtId="0" fontId="0" fillId="0" borderId="0" xfId="0" applyFont="1" applyAlignment="1">
      <alignment horizontal="left" indent="2"/>
    </xf>
    <xf numFmtId="0" fontId="238" fillId="90" borderId="113" xfId="5" applyFont="1" applyFill="1" applyBorder="1" applyProtection="1"/>
    <xf numFmtId="0" fontId="0" fillId="0" borderId="0" xfId="0" applyFont="1" applyAlignment="1">
      <alignment horizontal="left" indent="3"/>
    </xf>
    <xf numFmtId="0" fontId="0" fillId="0" borderId="0" xfId="0" applyFont="1" applyAlignment="1">
      <alignment horizontal="left" indent="4"/>
    </xf>
    <xf numFmtId="0" fontId="0" fillId="0" borderId="0" xfId="0" applyFont="1" applyAlignment="1">
      <alignment horizontal="left" indent="5"/>
    </xf>
    <xf numFmtId="0" fontId="0" fillId="0" borderId="0" xfId="0" applyFont="1" applyAlignment="1">
      <alignment horizontal="left" indent="6"/>
    </xf>
    <xf numFmtId="0" fontId="4" fillId="90" borderId="114" xfId="1077" applyFont="1" applyFill="1" applyBorder="1" applyAlignment="1"/>
    <xf numFmtId="0" fontId="238" fillId="90" borderId="96" xfId="2122" applyFont="1" applyFill="1" applyBorder="1" applyAlignment="1" applyProtection="1">
      <alignment horizontal="center" vertical="center"/>
    </xf>
    <xf numFmtId="49" fontId="238" fillId="90" borderId="98" xfId="2122" applyNumberFormat="1" applyFont="1" applyFill="1" applyBorder="1" applyProtection="1"/>
    <xf numFmtId="0" fontId="238" fillId="90" borderId="73" xfId="5" applyFont="1" applyFill="1" applyBorder="1" applyProtection="1"/>
    <xf numFmtId="0" fontId="238" fillId="90" borderId="101" xfId="5" applyFont="1" applyFill="1" applyBorder="1" applyProtection="1"/>
    <xf numFmtId="0" fontId="237" fillId="90" borderId="28" xfId="5" applyFont="1" applyFill="1" applyBorder="1" applyProtection="1"/>
    <xf numFmtId="49" fontId="4" fillId="0" borderId="110" xfId="5" applyNumberFormat="1" applyBorder="1"/>
    <xf numFmtId="49" fontId="4" fillId="0" borderId="115" xfId="5" applyNumberFormat="1" applyBorder="1"/>
    <xf numFmtId="49" fontId="4" fillId="0" borderId="112" xfId="5" applyNumberFormat="1" applyBorder="1"/>
    <xf numFmtId="49" fontId="4" fillId="0" borderId="116" xfId="5" applyNumberFormat="1" applyBorder="1"/>
    <xf numFmtId="49" fontId="4" fillId="0" borderId="114" xfId="5" applyNumberFormat="1" applyBorder="1"/>
    <xf numFmtId="49" fontId="4" fillId="0" borderId="117" xfId="5" applyNumberFormat="1" applyBorder="1"/>
    <xf numFmtId="0" fontId="39" fillId="89" borderId="0" xfId="2122" applyFont="1" applyFill="1" applyAlignment="1" applyProtection="1">
      <alignment horizontal="center" vertical="center"/>
    </xf>
    <xf numFmtId="0" fontId="238" fillId="90" borderId="0" xfId="2122" applyFont="1" applyFill="1" applyProtection="1"/>
    <xf numFmtId="0" fontId="244" fillId="42" borderId="2" xfId="2122" applyFont="1" applyFill="1" applyBorder="1" applyAlignment="1" applyProtection="1">
      <alignment vertical="center"/>
      <protection locked="0"/>
    </xf>
    <xf numFmtId="0" fontId="238" fillId="37" borderId="0" xfId="2122" applyFont="1" applyFill="1" applyBorder="1" applyProtection="1"/>
    <xf numFmtId="0" fontId="4" fillId="0" borderId="0" xfId="2122"/>
    <xf numFmtId="0" fontId="244" fillId="42" borderId="0" xfId="2122" applyFont="1" applyFill="1" applyBorder="1" applyAlignment="1" applyProtection="1">
      <alignment horizontal="left" vertical="center"/>
    </xf>
    <xf numFmtId="0" fontId="5" fillId="42" borderId="0" xfId="2122" applyFont="1" applyFill="1" applyBorder="1" applyAlignment="1" applyProtection="1">
      <alignment vertical="center"/>
    </xf>
    <xf numFmtId="0" fontId="244" fillId="42" borderId="0" xfId="2122" applyFont="1" applyFill="1" applyBorder="1" applyAlignment="1" applyProtection="1">
      <alignment vertical="center"/>
    </xf>
    <xf numFmtId="0" fontId="245" fillId="92" borderId="0" xfId="2122" applyFont="1" applyFill="1" applyAlignment="1">
      <alignment vertical="center"/>
    </xf>
    <xf numFmtId="0" fontId="238" fillId="90" borderId="0" xfId="2122" applyFont="1" applyFill="1" applyProtection="1">
      <protection locked="0"/>
    </xf>
    <xf numFmtId="0" fontId="6" fillId="2" borderId="0" xfId="2122" applyFont="1" applyFill="1" applyBorder="1" applyAlignment="1" applyProtection="1">
      <alignment vertical="center"/>
    </xf>
    <xf numFmtId="0" fontId="4" fillId="2" borderId="0" xfId="2122" applyFont="1" applyFill="1" applyBorder="1" applyAlignment="1" applyProtection="1">
      <alignment vertical="center"/>
    </xf>
    <xf numFmtId="0" fontId="246" fillId="90" borderId="0" xfId="2122" applyFont="1" applyFill="1" applyAlignment="1" applyProtection="1">
      <alignment horizontal="left" vertical="top" wrapText="1"/>
    </xf>
    <xf numFmtId="0" fontId="4" fillId="90" borderId="0" xfId="2122" applyFont="1" applyFill="1" applyAlignment="1" applyProtection="1">
      <alignment horizontal="left" vertical="top" wrapText="1"/>
    </xf>
    <xf numFmtId="0" fontId="127" fillId="37" borderId="0" xfId="2122" applyFont="1" applyFill="1"/>
    <xf numFmtId="0" fontId="4" fillId="90" borderId="0" xfId="2122" applyFont="1" applyFill="1" applyProtection="1"/>
    <xf numFmtId="0" fontId="249" fillId="93" borderId="10" xfId="2122" applyFont="1" applyFill="1" applyBorder="1" applyAlignment="1" applyProtection="1">
      <alignment horizontal="center"/>
    </xf>
    <xf numFmtId="0" fontId="250" fillId="93" borderId="0" xfId="2122" applyFont="1" applyFill="1" applyBorder="1" applyProtection="1"/>
    <xf numFmtId="0" fontId="4" fillId="93" borderId="0" xfId="2122" applyFont="1" applyFill="1" applyBorder="1" applyProtection="1"/>
    <xf numFmtId="0" fontId="4" fillId="93" borderId="5" xfId="2122" applyFont="1" applyFill="1" applyBorder="1" applyProtection="1"/>
    <xf numFmtId="0" fontId="251" fillId="93" borderId="10" xfId="2122" applyFont="1" applyFill="1" applyBorder="1" applyAlignment="1" applyProtection="1">
      <alignment horizontal="left" indent="1"/>
    </xf>
    <xf numFmtId="0" fontId="4" fillId="93" borderId="5" xfId="2122" applyFont="1" applyFill="1" applyBorder="1" applyAlignment="1" applyProtection="1"/>
    <xf numFmtId="0" fontId="251" fillId="93" borderId="10" xfId="2122" quotePrefix="1" applyFont="1" applyFill="1" applyBorder="1" applyAlignment="1" applyProtection="1">
      <alignment horizontal="left" indent="1"/>
    </xf>
    <xf numFmtId="0" fontId="4" fillId="93" borderId="0" xfId="2122" applyFont="1" applyFill="1" applyBorder="1" applyAlignment="1" applyProtection="1">
      <alignment horizontal="left"/>
    </xf>
    <xf numFmtId="0" fontId="250" fillId="93" borderId="11" xfId="2122" applyFont="1" applyFill="1" applyBorder="1" applyAlignment="1" applyProtection="1">
      <alignment horizontal="left" indent="1"/>
    </xf>
    <xf numFmtId="0" fontId="4" fillId="93" borderId="6" xfId="2122" applyFont="1" applyFill="1" applyBorder="1" applyAlignment="1" applyProtection="1"/>
    <xf numFmtId="0" fontId="4" fillId="93" borderId="6" xfId="2122" applyFont="1" applyFill="1" applyBorder="1" applyProtection="1"/>
    <xf numFmtId="0" fontId="4" fillId="93" borderId="7" xfId="2122" applyFont="1" applyFill="1" applyBorder="1" applyProtection="1"/>
    <xf numFmtId="0" fontId="250" fillId="93" borderId="9" xfId="2122" applyFont="1" applyFill="1" applyBorder="1" applyAlignment="1" applyProtection="1">
      <alignment horizontal="left" indent="1"/>
    </xf>
    <xf numFmtId="0" fontId="4" fillId="93" borderId="2" xfId="2122" applyFont="1" applyFill="1" applyBorder="1" applyAlignment="1" applyProtection="1"/>
    <xf numFmtId="0" fontId="4" fillId="93" borderId="2" xfId="2122" applyFont="1" applyFill="1" applyBorder="1" applyProtection="1"/>
    <xf numFmtId="0" fontId="4" fillId="93" borderId="3" xfId="2122" applyFont="1" applyFill="1" applyBorder="1" applyProtection="1"/>
    <xf numFmtId="0" fontId="4" fillId="0" borderId="0" xfId="2122" applyAlignment="1">
      <alignment horizontal="left"/>
    </xf>
    <xf numFmtId="0" fontId="33" fillId="93" borderId="5" xfId="2122" applyFont="1" applyFill="1" applyBorder="1" applyAlignment="1" applyProtection="1"/>
    <xf numFmtId="0" fontId="252" fillId="93" borderId="10" xfId="2122" applyFont="1" applyFill="1" applyBorder="1" applyAlignment="1" applyProtection="1">
      <alignment horizontal="left" indent="1"/>
    </xf>
    <xf numFmtId="0" fontId="33" fillId="93" borderId="0" xfId="2122" applyFont="1" applyFill="1" applyBorder="1" applyAlignment="1" applyProtection="1">
      <alignment horizontal="right" indent="1"/>
    </xf>
    <xf numFmtId="0" fontId="33" fillId="93" borderId="0" xfId="2122" applyFont="1" applyFill="1" applyBorder="1" applyProtection="1"/>
    <xf numFmtId="0" fontId="4" fillId="91" borderId="4" xfId="2122" applyFont="1" applyFill="1" applyBorder="1" applyAlignment="1" applyProtection="1">
      <alignment horizontal="left"/>
      <protection locked="0"/>
    </xf>
    <xf numFmtId="0" fontId="4" fillId="5" borderId="4" xfId="2122" applyFont="1" applyFill="1" applyBorder="1" applyAlignment="1" applyProtection="1">
      <alignment horizontal="left"/>
      <protection locked="0"/>
    </xf>
    <xf numFmtId="0" fontId="250" fillId="93" borderId="10" xfId="2122" applyFont="1" applyFill="1" applyBorder="1" applyAlignment="1" applyProtection="1">
      <alignment horizontal="left" indent="1"/>
    </xf>
    <xf numFmtId="0" fontId="250" fillId="93" borderId="118" xfId="2122" applyFont="1" applyFill="1" applyBorder="1" applyAlignment="1" applyProtection="1">
      <alignment horizontal="left" indent="1"/>
    </xf>
    <xf numFmtId="0" fontId="4" fillId="93" borderId="14" xfId="2122" applyFont="1" applyFill="1" applyBorder="1" applyAlignment="1" applyProtection="1"/>
    <xf numFmtId="0" fontId="4" fillId="93" borderId="14" xfId="2122" applyFont="1" applyFill="1" applyBorder="1" applyProtection="1"/>
    <xf numFmtId="0" fontId="4" fillId="93" borderId="119" xfId="2122" applyFont="1" applyFill="1" applyBorder="1" applyProtection="1"/>
    <xf numFmtId="0" fontId="6" fillId="0" borderId="0" xfId="989" applyFont="1"/>
    <xf numFmtId="0" fontId="4" fillId="93" borderId="0" xfId="2122" applyFont="1" applyFill="1" applyBorder="1" applyAlignment="1" applyProtection="1"/>
    <xf numFmtId="0" fontId="251" fillId="93" borderId="10" xfId="2122" applyFont="1" applyFill="1" applyBorder="1" applyAlignment="1" applyProtection="1">
      <alignment horizontal="left" vertical="top"/>
    </xf>
    <xf numFmtId="0" fontId="4" fillId="5" borderId="8" xfId="2122" applyFont="1" applyFill="1" applyBorder="1" applyAlignment="1" applyProtection="1">
      <alignment horizontal="left" vertical="center"/>
      <protection locked="0"/>
    </xf>
    <xf numFmtId="0" fontId="4" fillId="5" borderId="13" xfId="2122" applyFont="1" applyFill="1" applyBorder="1" applyAlignment="1" applyProtection="1">
      <alignment horizontal="left" vertical="center" wrapText="1"/>
      <protection locked="0"/>
    </xf>
    <xf numFmtId="0" fontId="4" fillId="93" borderId="0" xfId="2122" applyFont="1" applyFill="1" applyBorder="1" applyAlignment="1" applyProtection="1">
      <alignment horizontal="center" vertical="top"/>
    </xf>
    <xf numFmtId="0" fontId="4" fillId="93" borderId="0" xfId="2122" applyFont="1" applyFill="1" applyBorder="1" applyAlignment="1" applyProtection="1">
      <alignment vertical="top"/>
    </xf>
    <xf numFmtId="0" fontId="4" fillId="93" borderId="5" xfId="2122" applyFont="1" applyFill="1" applyBorder="1" applyAlignment="1" applyProtection="1">
      <alignment vertical="top"/>
    </xf>
    <xf numFmtId="271" fontId="4" fillId="5" borderId="13" xfId="2122" applyNumberFormat="1" applyFont="1" applyFill="1" applyBorder="1" applyAlignment="1" applyProtection="1">
      <alignment horizontal="left" vertical="center"/>
      <protection locked="0"/>
    </xf>
    <xf numFmtId="0" fontId="4" fillId="93" borderId="0" xfId="2122" applyFont="1" applyFill="1" applyBorder="1" applyAlignment="1" applyProtection="1">
      <alignment horizontal="center"/>
    </xf>
    <xf numFmtId="271" fontId="4" fillId="5" borderId="8" xfId="2122" applyNumberFormat="1" applyFont="1" applyFill="1" applyBorder="1" applyAlignment="1" applyProtection="1">
      <alignment horizontal="left" vertical="center"/>
      <protection locked="0"/>
    </xf>
    <xf numFmtId="0" fontId="4" fillId="5" borderId="8" xfId="2122" applyFill="1" applyBorder="1" applyAlignment="1" applyProtection="1">
      <alignment horizontal="left" vertical="center"/>
      <protection locked="0"/>
    </xf>
    <xf numFmtId="0" fontId="253" fillId="94" borderId="9" xfId="980" applyFont="1" applyFill="1" applyBorder="1" applyAlignment="1" applyProtection="1">
      <alignment horizontal="left" indent="1"/>
    </xf>
    <xf numFmtId="0" fontId="4" fillId="94" borderId="2" xfId="980" applyFont="1" applyFill="1" applyBorder="1" applyAlignment="1" applyProtection="1"/>
    <xf numFmtId="0" fontId="4" fillId="94" borderId="2" xfId="980" applyFont="1" applyFill="1" applyBorder="1" applyProtection="1"/>
    <xf numFmtId="0" fontId="4" fillId="94" borderId="3" xfId="980" applyFont="1" applyFill="1" applyBorder="1" applyProtection="1"/>
    <xf numFmtId="0" fontId="251" fillId="94" borderId="10" xfId="980" applyFont="1" applyFill="1" applyBorder="1" applyAlignment="1" applyProtection="1">
      <alignment horizontal="left" indent="1"/>
    </xf>
    <xf numFmtId="0" fontId="6" fillId="96" borderId="28" xfId="2124" applyFont="1" applyFill="1" applyBorder="1" applyAlignment="1" applyProtection="1">
      <alignment horizontal="center" vertical="center"/>
      <protection locked="0"/>
    </xf>
    <xf numFmtId="0" fontId="4" fillId="94" borderId="0" xfId="980" applyFont="1" applyFill="1" applyBorder="1" applyAlignment="1" applyProtection="1">
      <alignment horizontal="center"/>
    </xf>
    <xf numFmtId="0" fontId="4" fillId="94" borderId="0" xfId="980" applyFont="1" applyFill="1" applyBorder="1" applyProtection="1"/>
    <xf numFmtId="0" fontId="4" fillId="94" borderId="5" xfId="980" applyFont="1" applyFill="1" applyBorder="1" applyProtection="1"/>
    <xf numFmtId="0" fontId="254" fillId="94" borderId="10" xfId="980" applyFont="1" applyFill="1" applyBorder="1" applyAlignment="1" applyProtection="1">
      <alignment horizontal="left" indent="1"/>
    </xf>
    <xf numFmtId="0" fontId="255" fillId="94" borderId="0" xfId="980" applyFont="1" applyFill="1" applyBorder="1" applyProtection="1"/>
    <xf numFmtId="0" fontId="253" fillId="94" borderId="11" xfId="980" applyFont="1" applyFill="1" applyBorder="1" applyAlignment="1" applyProtection="1">
      <alignment horizontal="left" indent="1"/>
    </xf>
    <xf numFmtId="0" fontId="4" fillId="94" borderId="6" xfId="980" applyFont="1" applyFill="1" applyBorder="1" applyAlignment="1" applyProtection="1"/>
    <xf numFmtId="0" fontId="4" fillId="94" borderId="6" xfId="980" applyFont="1" applyFill="1" applyBorder="1" applyProtection="1"/>
    <xf numFmtId="0" fontId="4" fillId="94" borderId="7" xfId="980" applyFont="1" applyFill="1" applyBorder="1" applyProtection="1"/>
    <xf numFmtId="0" fontId="4" fillId="97" borderId="120" xfId="2122" applyFont="1" applyFill="1" applyBorder="1" applyAlignment="1" applyProtection="1"/>
    <xf numFmtId="0" fontId="238" fillId="97" borderId="2" xfId="2122" applyFont="1" applyFill="1" applyBorder="1" applyProtection="1"/>
    <xf numFmtId="0" fontId="238" fillId="97" borderId="3" xfId="2122" applyFont="1" applyFill="1" applyBorder="1" applyProtection="1"/>
    <xf numFmtId="0" fontId="4" fillId="97" borderId="123" xfId="2122" applyFont="1" applyFill="1" applyBorder="1" applyProtection="1"/>
    <xf numFmtId="0" fontId="6" fillId="5" borderId="1" xfId="2122" applyFont="1" applyFill="1" applyBorder="1" applyProtection="1">
      <protection locked="0"/>
    </xf>
    <xf numFmtId="0" fontId="238" fillId="97" borderId="0" xfId="2122" applyFont="1" applyFill="1" applyBorder="1" applyProtection="1"/>
    <xf numFmtId="0" fontId="238" fillId="97" borderId="5" xfId="2122" applyFont="1" applyFill="1" applyBorder="1" applyProtection="1"/>
    <xf numFmtId="0" fontId="4" fillId="97" borderId="124" xfId="2122" applyFont="1" applyFill="1" applyBorder="1" applyAlignment="1" applyProtection="1">
      <alignment vertical="center"/>
    </xf>
    <xf numFmtId="0" fontId="238" fillId="90" borderId="0" xfId="2122" applyFont="1" applyFill="1" applyAlignment="1" applyProtection="1">
      <alignment vertical="center"/>
    </xf>
    <xf numFmtId="0" fontId="4" fillId="97" borderId="11" xfId="2122" applyFont="1" applyFill="1" applyBorder="1" applyProtection="1"/>
    <xf numFmtId="0" fontId="4" fillId="5" borderId="125" xfId="2122" applyFont="1" applyFill="1" applyBorder="1" applyProtection="1">
      <protection locked="0"/>
    </xf>
    <xf numFmtId="0" fontId="238" fillId="97" borderId="6" xfId="2122" applyFont="1" applyFill="1" applyBorder="1" applyProtection="1"/>
    <xf numFmtId="0" fontId="238" fillId="97" borderId="7" xfId="2122" applyFont="1" applyFill="1" applyBorder="1" applyProtection="1"/>
    <xf numFmtId="0" fontId="237" fillId="89" borderId="0" xfId="2122" applyFont="1" applyFill="1" applyAlignment="1" applyProtection="1">
      <alignment horizontal="center"/>
    </xf>
    <xf numFmtId="0" fontId="4" fillId="97" borderId="85" xfId="2122" applyFont="1" applyFill="1" applyBorder="1" applyAlignment="1" applyProtection="1">
      <alignment vertical="top"/>
    </xf>
    <xf numFmtId="0" fontId="4" fillId="97" borderId="86" xfId="2122" applyFont="1" applyFill="1" applyBorder="1" applyAlignment="1" applyProtection="1">
      <alignment horizontal="left" vertical="top"/>
    </xf>
    <xf numFmtId="0" fontId="256" fillId="97" borderId="86" xfId="2122" quotePrefix="1" applyFont="1" applyFill="1" applyBorder="1" applyAlignment="1" applyProtection="1">
      <alignment vertical="top"/>
    </xf>
    <xf numFmtId="0" fontId="257" fillId="97" borderId="86" xfId="2122" quotePrefix="1" applyFont="1" applyFill="1" applyBorder="1" applyAlignment="1" applyProtection="1">
      <alignment vertical="top"/>
    </xf>
    <xf numFmtId="0" fontId="257" fillId="97" borderId="86" xfId="2122" applyFont="1" applyFill="1" applyBorder="1" applyAlignment="1" applyProtection="1">
      <alignment vertical="top"/>
    </xf>
    <xf numFmtId="0" fontId="257" fillId="97" borderId="87" xfId="2122" applyFont="1" applyFill="1" applyBorder="1" applyAlignment="1" applyProtection="1">
      <alignment vertical="top"/>
    </xf>
    <xf numFmtId="0" fontId="4" fillId="0" borderId="0" xfId="2122" applyAlignment="1">
      <alignment vertical="center"/>
    </xf>
    <xf numFmtId="0" fontId="4" fillId="97" borderId="92" xfId="2122" applyFont="1" applyFill="1" applyBorder="1" applyAlignment="1" applyProtection="1">
      <alignment vertical="top"/>
    </xf>
    <xf numFmtId="0" fontId="4" fillId="97" borderId="93" xfId="2122" applyFont="1" applyFill="1" applyBorder="1" applyAlignment="1" applyProtection="1">
      <alignment horizontal="left" vertical="top"/>
    </xf>
    <xf numFmtId="0" fontId="256" fillId="97" borderId="93" xfId="2122" quotePrefix="1" applyFont="1" applyFill="1" applyBorder="1" applyAlignment="1" applyProtection="1">
      <alignment vertical="top"/>
    </xf>
    <xf numFmtId="0" fontId="257" fillId="97" borderId="93" xfId="2122" quotePrefix="1" applyFont="1" applyFill="1" applyBorder="1" applyAlignment="1" applyProtection="1">
      <alignment vertical="top"/>
    </xf>
    <xf numFmtId="0" fontId="257" fillId="97" borderId="93" xfId="2122" applyFont="1" applyFill="1" applyBorder="1" applyAlignment="1" applyProtection="1">
      <alignment vertical="top"/>
    </xf>
    <xf numFmtId="0" fontId="257" fillId="97" borderId="94" xfId="2122" applyFont="1" applyFill="1" applyBorder="1" applyAlignment="1" applyProtection="1">
      <alignment vertical="top"/>
    </xf>
    <xf numFmtId="0" fontId="6" fillId="97" borderId="93" xfId="2122" applyFont="1" applyFill="1" applyBorder="1" applyAlignment="1" applyProtection="1">
      <alignment horizontal="left" vertical="top"/>
    </xf>
    <xf numFmtId="0" fontId="256" fillId="97" borderId="93" xfId="2122" applyFont="1" applyFill="1" applyBorder="1" applyAlignment="1" applyProtection="1">
      <alignment vertical="top"/>
    </xf>
    <xf numFmtId="0" fontId="258" fillId="97" borderId="92" xfId="2122" applyFont="1" applyFill="1" applyBorder="1" applyAlignment="1" applyProtection="1">
      <alignment vertical="top"/>
    </xf>
    <xf numFmtId="0" fontId="258" fillId="97" borderId="93" xfId="2122" applyFont="1" applyFill="1" applyBorder="1" applyAlignment="1" applyProtection="1">
      <alignment horizontal="left" vertical="top"/>
    </xf>
    <xf numFmtId="0" fontId="259" fillId="97" borderId="93" xfId="2122" applyFont="1" applyFill="1" applyBorder="1" applyAlignment="1" applyProtection="1">
      <alignment vertical="top"/>
    </xf>
    <xf numFmtId="0" fontId="258" fillId="97" borderId="93" xfId="2122" applyFont="1" applyFill="1" applyBorder="1" applyAlignment="1" applyProtection="1">
      <alignment vertical="top"/>
    </xf>
    <xf numFmtId="0" fontId="258" fillId="97" borderId="94" xfId="2122" applyFont="1" applyFill="1" applyBorder="1" applyAlignment="1" applyProtection="1">
      <alignment vertical="top"/>
    </xf>
    <xf numFmtId="0" fontId="260" fillId="97" borderId="93" xfId="2122" quotePrefix="1" applyFont="1" applyFill="1" applyBorder="1" applyAlignment="1" applyProtection="1">
      <alignment vertical="top"/>
    </xf>
    <xf numFmtId="0" fontId="260" fillId="97" borderId="93" xfId="2122" quotePrefix="1" applyFont="1" applyFill="1" applyBorder="1" applyAlignment="1" applyProtection="1">
      <alignment horizontal="left" vertical="top"/>
    </xf>
    <xf numFmtId="0" fontId="257" fillId="97" borderId="93" xfId="2122" quotePrefix="1" applyFont="1" applyFill="1" applyBorder="1" applyAlignment="1" applyProtection="1">
      <alignment horizontal="left" vertical="top"/>
    </xf>
    <xf numFmtId="0" fontId="4" fillId="97" borderId="126" xfId="2122" applyFont="1" applyFill="1" applyBorder="1" applyAlignment="1" applyProtection="1">
      <alignment vertical="top"/>
    </xf>
    <xf numFmtId="0" fontId="4" fillId="97" borderId="127" xfId="2122" applyFont="1" applyFill="1" applyBorder="1" applyAlignment="1" applyProtection="1">
      <alignment horizontal="left" vertical="top"/>
    </xf>
    <xf numFmtId="0" fontId="260" fillId="97" borderId="127" xfId="2122" quotePrefix="1" applyFont="1" applyFill="1" applyBorder="1" applyAlignment="1" applyProtection="1">
      <alignment horizontal="left" vertical="top"/>
    </xf>
    <xf numFmtId="0" fontId="257" fillId="97" borderId="127" xfId="2122" quotePrefix="1" applyFont="1" applyFill="1" applyBorder="1" applyAlignment="1" applyProtection="1">
      <alignment horizontal="left" vertical="top"/>
    </xf>
    <xf numFmtId="0" fontId="257" fillId="97" borderId="127" xfId="2122" applyFont="1" applyFill="1" applyBorder="1" applyAlignment="1" applyProtection="1">
      <alignment vertical="top"/>
    </xf>
    <xf numFmtId="0" fontId="257" fillId="97" borderId="128" xfId="2122" applyFont="1" applyFill="1" applyBorder="1" applyAlignment="1" applyProtection="1">
      <alignment vertical="top"/>
    </xf>
    <xf numFmtId="0" fontId="4" fillId="97" borderId="129" xfId="2122" applyFont="1" applyFill="1" applyBorder="1" applyAlignment="1" applyProtection="1">
      <alignment vertical="top"/>
    </xf>
    <xf numFmtId="0" fontId="4" fillId="97" borderId="130" xfId="2122" applyFont="1" applyFill="1" applyBorder="1" applyAlignment="1" applyProtection="1">
      <alignment horizontal="left" vertical="top"/>
    </xf>
    <xf numFmtId="0" fontId="238" fillId="97" borderId="130" xfId="2122" applyFont="1" applyFill="1" applyBorder="1" applyAlignment="1" applyProtection="1">
      <alignment vertical="top"/>
    </xf>
    <xf numFmtId="0" fontId="238" fillId="97" borderId="131" xfId="2122" applyFont="1" applyFill="1" applyBorder="1" applyAlignment="1" applyProtection="1">
      <alignment vertical="top"/>
    </xf>
    <xf numFmtId="0" fontId="237" fillId="97" borderId="127" xfId="2122" applyFont="1" applyFill="1" applyBorder="1" applyAlignment="1" applyProtection="1">
      <alignment vertical="top"/>
    </xf>
    <xf numFmtId="0" fontId="238" fillId="97" borderId="127" xfId="2122" applyFont="1" applyFill="1" applyBorder="1" applyAlignment="1" applyProtection="1">
      <alignment vertical="top"/>
    </xf>
    <xf numFmtId="0" fontId="238" fillId="97" borderId="128" xfId="2122" applyFont="1" applyFill="1" applyBorder="1" applyAlignment="1" applyProtection="1">
      <alignment vertical="top"/>
    </xf>
    <xf numFmtId="0" fontId="238" fillId="90" borderId="0" xfId="2122" applyFont="1" applyFill="1" applyAlignment="1" applyProtection="1">
      <alignment vertical="top"/>
    </xf>
    <xf numFmtId="0" fontId="260" fillId="97" borderId="86" xfId="2122" quotePrefix="1" applyFont="1" applyFill="1" applyBorder="1" applyAlignment="1" applyProtection="1">
      <alignment horizontal="left" vertical="top"/>
    </xf>
    <xf numFmtId="0" fontId="4" fillId="0" borderId="0" xfId="2122" applyAlignment="1">
      <alignment vertical="top"/>
    </xf>
    <xf numFmtId="0" fontId="4" fillId="0" borderId="0" xfId="2122" applyAlignment="1">
      <alignment horizontal="left" vertical="top"/>
    </xf>
    <xf numFmtId="0" fontId="238" fillId="97" borderId="93" xfId="2122" quotePrefix="1" applyFont="1" applyFill="1" applyBorder="1" applyAlignment="1" applyProtection="1">
      <alignment horizontal="left" vertical="top"/>
    </xf>
    <xf numFmtId="0" fontId="261" fillId="97" borderId="93" xfId="2122" quotePrefix="1" applyFont="1" applyFill="1" applyBorder="1" applyAlignment="1" applyProtection="1">
      <alignment vertical="top"/>
    </xf>
    <xf numFmtId="0" fontId="261" fillId="97" borderId="93" xfId="2122" applyFont="1" applyFill="1" applyBorder="1" applyAlignment="1" applyProtection="1">
      <alignment vertical="top"/>
    </xf>
    <xf numFmtId="0" fontId="261" fillId="97" borderId="94" xfId="2122" applyFont="1" applyFill="1" applyBorder="1" applyAlignment="1" applyProtection="1">
      <alignment vertical="top"/>
    </xf>
    <xf numFmtId="0" fontId="4" fillId="97" borderId="102" xfId="2122" applyFont="1" applyFill="1" applyBorder="1" applyAlignment="1" applyProtection="1">
      <alignment vertical="top"/>
    </xf>
    <xf numFmtId="0" fontId="238" fillId="97" borderId="103" xfId="2122" quotePrefix="1" applyFont="1" applyFill="1" applyBorder="1" applyAlignment="1" applyProtection="1">
      <alignment horizontal="left" vertical="top"/>
    </xf>
    <xf numFmtId="0" fontId="256" fillId="97" borderId="103" xfId="2122" quotePrefix="1" applyFont="1" applyFill="1" applyBorder="1" applyAlignment="1" applyProtection="1">
      <alignment vertical="top"/>
    </xf>
    <xf numFmtId="0" fontId="261" fillId="97" borderId="103" xfId="2122" quotePrefix="1" applyFont="1" applyFill="1" applyBorder="1" applyAlignment="1" applyProtection="1">
      <alignment vertical="top"/>
    </xf>
    <xf numFmtId="0" fontId="261" fillId="97" borderId="103" xfId="2122" applyFont="1" applyFill="1" applyBorder="1" applyAlignment="1" applyProtection="1">
      <alignment vertical="top"/>
    </xf>
    <xf numFmtId="0" fontId="261" fillId="97" borderId="104" xfId="2122" applyFont="1" applyFill="1" applyBorder="1" applyAlignment="1" applyProtection="1">
      <alignment vertical="top"/>
    </xf>
    <xf numFmtId="0" fontId="0" fillId="86" borderId="1" xfId="0" applyFill="1" applyBorder="1" applyAlignment="1">
      <alignment horizontal="left"/>
    </xf>
    <xf numFmtId="169" fontId="0" fillId="0" borderId="0" xfId="0" applyNumberFormat="1" applyFill="1" applyBorder="1"/>
    <xf numFmtId="265" fontId="0" fillId="0" borderId="0" xfId="0" applyNumberFormat="1"/>
    <xf numFmtId="265" fontId="0" fillId="5" borderId="1" xfId="0" applyNumberFormat="1" applyFill="1" applyBorder="1"/>
    <xf numFmtId="3" fontId="0" fillId="5" borderId="85" xfId="2120" applyNumberFormat="1" applyFont="1" applyFill="1" applyBorder="1"/>
    <xf numFmtId="3" fontId="0" fillId="5" borderId="86" xfId="2120" applyNumberFormat="1" applyFont="1" applyFill="1" applyBorder="1"/>
    <xf numFmtId="3" fontId="0" fillId="5" borderId="87" xfId="2120" applyNumberFormat="1" applyFont="1" applyFill="1" applyBorder="1"/>
    <xf numFmtId="3" fontId="0" fillId="5" borderId="92" xfId="2120" applyNumberFormat="1" applyFont="1" applyFill="1" applyBorder="1"/>
    <xf numFmtId="3" fontId="0" fillId="5" borderId="93" xfId="2120" applyNumberFormat="1" applyFont="1" applyFill="1" applyBorder="1"/>
    <xf numFmtId="3" fontId="0" fillId="87" borderId="93" xfId="2120" applyNumberFormat="1" applyFont="1" applyFill="1" applyBorder="1"/>
    <xf numFmtId="3" fontId="0" fillId="5" borderId="94" xfId="2120" applyNumberFormat="1" applyFont="1" applyFill="1" applyBorder="1"/>
    <xf numFmtId="0" fontId="0" fillId="5" borderId="93" xfId="0" applyFill="1" applyBorder="1"/>
    <xf numFmtId="3" fontId="0" fillId="5" borderId="102" xfId="2120" applyNumberFormat="1" applyFont="1" applyFill="1" applyBorder="1"/>
    <xf numFmtId="3" fontId="0" fillId="5" borderId="103" xfId="2120" applyNumberFormat="1" applyFont="1" applyFill="1" applyBorder="1"/>
    <xf numFmtId="3" fontId="0" fillId="87" borderId="103" xfId="2120" applyNumberFormat="1" applyFont="1" applyFill="1" applyBorder="1"/>
    <xf numFmtId="3" fontId="0" fillId="5" borderId="104" xfId="2120" applyNumberFormat="1" applyFont="1" applyFill="1" applyBorder="1"/>
    <xf numFmtId="0" fontId="4" fillId="97" borderId="93" xfId="2122" quotePrefix="1" applyFont="1" applyFill="1" applyBorder="1" applyAlignment="1" applyProtection="1">
      <alignment horizontal="left" vertical="top"/>
    </xf>
    <xf numFmtId="3" fontId="0" fillId="86" borderId="1" xfId="0" applyNumberFormat="1" applyFill="1" applyBorder="1" applyAlignment="1">
      <alignment horizontal="right"/>
    </xf>
    <xf numFmtId="0" fontId="4" fillId="97" borderId="0" xfId="1573" applyFont="1" applyFill="1" applyBorder="1" applyProtection="1"/>
    <xf numFmtId="14" fontId="4" fillId="5" borderId="0" xfId="1573" quotePrefix="1" applyNumberFormat="1" applyFont="1" applyFill="1" applyBorder="1" applyAlignment="1" applyProtection="1">
      <alignment horizontal="center"/>
    </xf>
    <xf numFmtId="0" fontId="266" fillId="97" borderId="0" xfId="1573" applyFont="1" applyFill="1" applyBorder="1" applyProtection="1"/>
    <xf numFmtId="0" fontId="4" fillId="97" borderId="0" xfId="1573" quotePrefix="1" applyNumberFormat="1" applyFont="1" applyFill="1" applyBorder="1" applyAlignment="1" applyProtection="1">
      <alignment horizontal="center"/>
    </xf>
    <xf numFmtId="0" fontId="267" fillId="99" borderId="0" xfId="0" applyFont="1" applyFill="1" applyBorder="1"/>
    <xf numFmtId="3" fontId="0" fillId="0" borderId="0" xfId="0" applyNumberFormat="1" applyFont="1" applyAlignment="1">
      <alignment horizontal="center" vertical="center" wrapText="1"/>
    </xf>
    <xf numFmtId="3" fontId="0" fillId="0" borderId="0" xfId="0" applyNumberFormat="1" applyBorder="1"/>
    <xf numFmtId="3" fontId="0" fillId="87" borderId="1" xfId="0" applyNumberFormat="1" applyFill="1" applyBorder="1"/>
    <xf numFmtId="4" fontId="0" fillId="5" borderId="75" xfId="0" applyNumberFormat="1" applyFill="1" applyBorder="1"/>
    <xf numFmtId="4" fontId="0" fillId="5" borderId="4" xfId="0" applyNumberFormat="1" applyFill="1" applyBorder="1"/>
    <xf numFmtId="276" fontId="4" fillId="5" borderId="1" xfId="1064" applyNumberFormat="1" applyFill="1" applyBorder="1"/>
    <xf numFmtId="4" fontId="0" fillId="86" borderId="85" xfId="0" applyNumberFormat="1" applyFill="1" applyBorder="1" applyAlignment="1">
      <alignment horizontal="right"/>
    </xf>
    <xf numFmtId="4" fontId="0" fillId="86" borderId="86" xfId="0" applyNumberFormat="1" applyFill="1" applyBorder="1" applyAlignment="1">
      <alignment horizontal="right"/>
    </xf>
    <xf numFmtId="4" fontId="0" fillId="86" borderId="87" xfId="0" applyNumberFormat="1" applyFill="1" applyBorder="1" applyAlignment="1">
      <alignment horizontal="right"/>
    </xf>
    <xf numFmtId="4" fontId="0" fillId="86" borderId="92" xfId="0" applyNumberFormat="1" applyFill="1" applyBorder="1" applyAlignment="1">
      <alignment horizontal="right"/>
    </xf>
    <xf numFmtId="4" fontId="0" fillId="86" borderId="93" xfId="0" applyNumberFormat="1" applyFill="1" applyBorder="1" applyAlignment="1">
      <alignment horizontal="right"/>
    </xf>
    <xf numFmtId="4" fontId="0" fillId="86" borderId="94" xfId="0" applyNumberFormat="1" applyFill="1" applyBorder="1" applyAlignment="1">
      <alignment horizontal="right"/>
    </xf>
    <xf numFmtId="4" fontId="0" fillId="91" borderId="85" xfId="0" applyNumberFormat="1" applyFill="1" applyBorder="1" applyAlignment="1">
      <alignment horizontal="right"/>
    </xf>
    <xf numFmtId="4" fontId="0" fillId="91" borderId="86" xfId="0" applyNumberFormat="1" applyFill="1" applyBorder="1" applyAlignment="1">
      <alignment horizontal="right"/>
    </xf>
    <xf numFmtId="4" fontId="0" fillId="91" borderId="87" xfId="0" applyNumberFormat="1" applyFill="1" applyBorder="1" applyAlignment="1">
      <alignment horizontal="right"/>
    </xf>
    <xf numFmtId="3" fontId="0" fillId="88" borderId="92" xfId="0" applyNumberFormat="1" applyFill="1" applyBorder="1" applyAlignment="1">
      <alignment horizontal="right"/>
    </xf>
    <xf numFmtId="3" fontId="0" fillId="88" borderId="93" xfId="0" applyNumberFormat="1" applyFill="1" applyBorder="1" applyAlignment="1">
      <alignment horizontal="right"/>
    </xf>
    <xf numFmtId="3" fontId="0" fillId="88" borderId="94" xfId="0" applyNumberFormat="1" applyFill="1" applyBorder="1" applyAlignment="1">
      <alignment horizontal="right"/>
    </xf>
    <xf numFmtId="3" fontId="0" fillId="88" borderId="102" xfId="0" applyNumberFormat="1" applyFill="1" applyBorder="1"/>
    <xf numFmtId="3" fontId="0" fillId="88" borderId="103" xfId="0" applyNumberFormat="1" applyFill="1" applyBorder="1"/>
    <xf numFmtId="3" fontId="0" fillId="88" borderId="104" xfId="0" applyNumberFormat="1" applyFill="1" applyBorder="1"/>
    <xf numFmtId="4" fontId="0" fillId="86" borderId="102" xfId="0" applyNumberFormat="1" applyFill="1" applyBorder="1" applyAlignment="1">
      <alignment horizontal="right"/>
    </xf>
    <xf numFmtId="4" fontId="0" fillId="86" borderId="103" xfId="0" applyNumberFormat="1" applyFill="1" applyBorder="1" applyAlignment="1">
      <alignment horizontal="right"/>
    </xf>
    <xf numFmtId="4" fontId="0" fillId="86" borderId="104" xfId="0" applyNumberFormat="1" applyFill="1" applyBorder="1" applyAlignment="1">
      <alignment horizontal="right"/>
    </xf>
    <xf numFmtId="277" fontId="0" fillId="0" borderId="0" xfId="0" applyNumberFormat="1"/>
    <xf numFmtId="41" fontId="4" fillId="88" borderId="1" xfId="1064" applyNumberFormat="1" applyFill="1" applyBorder="1"/>
    <xf numFmtId="41" fontId="4" fillId="88" borderId="85" xfId="1064" applyNumberFormat="1" applyFill="1" applyBorder="1"/>
    <xf numFmtId="41" fontId="4" fillId="88" borderId="86" xfId="1064" applyNumberFormat="1" applyFill="1" applyBorder="1"/>
    <xf numFmtId="41" fontId="4" fillId="88" borderId="87" xfId="1064" applyNumberFormat="1" applyFill="1" applyBorder="1"/>
    <xf numFmtId="41" fontId="4" fillId="88" borderId="92" xfId="1064" applyNumberFormat="1" applyFill="1" applyBorder="1"/>
    <xf numFmtId="41" fontId="4" fillId="88" borderId="93" xfId="1064" applyNumberFormat="1" applyFill="1" applyBorder="1"/>
    <xf numFmtId="41" fontId="4" fillId="88" borderId="94" xfId="1064" applyNumberFormat="1" applyFill="1" applyBorder="1"/>
    <xf numFmtId="41" fontId="4" fillId="88" borderId="102" xfId="1064" applyNumberFormat="1" applyFill="1" applyBorder="1"/>
    <xf numFmtId="41" fontId="4" fillId="88" borderId="103" xfId="1064" applyNumberFormat="1" applyFill="1" applyBorder="1"/>
    <xf numFmtId="41" fontId="4" fillId="88" borderId="104" xfId="1064" applyNumberFormat="1" applyFill="1" applyBorder="1"/>
    <xf numFmtId="3" fontId="4" fillId="88" borderId="1" xfId="1064" applyNumberFormat="1" applyFill="1" applyBorder="1"/>
    <xf numFmtId="0" fontId="236" fillId="89" borderId="0" xfId="5" applyFont="1" applyFill="1" applyAlignment="1" applyProtection="1">
      <alignment horizontal="center" vertical="center" wrapText="1"/>
    </xf>
    <xf numFmtId="0" fontId="33" fillId="93" borderId="0" xfId="2122" applyFont="1" applyFill="1" applyBorder="1" applyAlignment="1" applyProtection="1">
      <alignment horizontal="right" indent="1"/>
    </xf>
    <xf numFmtId="0" fontId="33" fillId="93" borderId="30" xfId="2122" applyFont="1" applyFill="1" applyBorder="1" applyAlignment="1" applyProtection="1">
      <alignment horizontal="right" indent="1"/>
    </xf>
    <xf numFmtId="0" fontId="4" fillId="5" borderId="8" xfId="2122" applyFont="1" applyFill="1" applyBorder="1" applyAlignment="1" applyProtection="1">
      <alignment horizontal="left"/>
      <protection locked="0"/>
    </xf>
    <xf numFmtId="0" fontId="4" fillId="5" borderId="12" xfId="2122" applyFont="1" applyFill="1" applyBorder="1" applyAlignment="1" applyProtection="1">
      <alignment horizontal="left"/>
      <protection locked="0"/>
    </xf>
    <xf numFmtId="0" fontId="4" fillId="5" borderId="13" xfId="2122" applyFont="1" applyFill="1" applyBorder="1" applyAlignment="1" applyProtection="1">
      <alignment horizontal="left"/>
      <protection locked="0"/>
    </xf>
    <xf numFmtId="0" fontId="6" fillId="5" borderId="121" xfId="2122" applyFont="1" applyFill="1" applyBorder="1" applyAlignment="1" applyProtection="1">
      <alignment horizontal="left"/>
      <protection locked="0"/>
    </xf>
    <xf numFmtId="0" fontId="6" fillId="5" borderId="122" xfId="2122" applyFont="1" applyFill="1" applyBorder="1" applyAlignment="1" applyProtection="1">
      <alignment horizontal="left"/>
      <protection locked="0"/>
    </xf>
    <xf numFmtId="0" fontId="4" fillId="5" borderId="80" xfId="1064" applyFont="1" applyFill="1" applyBorder="1" applyAlignment="1" applyProtection="1">
      <alignment horizontal="left" vertical="top" wrapText="1"/>
      <protection locked="0"/>
    </xf>
    <xf numFmtId="0" fontId="4" fillId="5" borderId="0" xfId="1064" applyFont="1" applyFill="1" applyBorder="1" applyAlignment="1" applyProtection="1">
      <alignment horizontal="left" vertical="top"/>
      <protection locked="0"/>
    </xf>
    <xf numFmtId="0" fontId="4" fillId="5" borderId="30" xfId="1064" applyFont="1" applyFill="1" applyBorder="1" applyAlignment="1" applyProtection="1">
      <alignment horizontal="left" vertical="top"/>
      <protection locked="0"/>
    </xf>
    <xf numFmtId="0" fontId="261" fillId="97" borderId="86" xfId="2122" applyFont="1" applyFill="1" applyBorder="1" applyAlignment="1" applyProtection="1">
      <alignment horizontal="left" vertical="top" wrapText="1"/>
    </xf>
    <xf numFmtId="0" fontId="261" fillId="97" borderId="87" xfId="2122" applyFont="1" applyFill="1" applyBorder="1" applyAlignment="1" applyProtection="1">
      <alignment horizontal="left" vertical="top" wrapText="1"/>
    </xf>
    <xf numFmtId="0" fontId="4" fillId="2" borderId="0" xfId="2122" applyFont="1" applyFill="1" applyBorder="1" applyAlignment="1" applyProtection="1">
      <alignment vertical="center" wrapText="1"/>
    </xf>
    <xf numFmtId="0" fontId="247" fillId="2" borderId="0" xfId="2122" applyFont="1" applyFill="1" applyBorder="1" applyAlignment="1" applyProtection="1">
      <alignment vertical="center" wrapText="1"/>
    </xf>
    <xf numFmtId="0" fontId="248" fillId="93" borderId="9" xfId="2122" applyFont="1" applyFill="1" applyBorder="1" applyAlignment="1" applyProtection="1">
      <alignment horizontal="center"/>
    </xf>
    <xf numFmtId="0" fontId="248" fillId="93" borderId="2" xfId="2122" applyFont="1" applyFill="1" applyBorder="1" applyAlignment="1" applyProtection="1">
      <alignment horizontal="center"/>
    </xf>
    <xf numFmtId="0" fontId="248" fillId="93" borderId="3" xfId="2122" applyFont="1" applyFill="1" applyBorder="1" applyAlignment="1" applyProtection="1">
      <alignment horizontal="center"/>
    </xf>
    <xf numFmtId="270" fontId="4" fillId="91" borderId="17" xfId="2122" applyNumberFormat="1" applyFont="1" applyFill="1" applyBorder="1" applyAlignment="1" applyProtection="1">
      <alignment horizontal="left"/>
    </xf>
  </cellXfs>
  <cellStyles count="2295">
    <cellStyle name="_x0013_" xfId="125"/>
    <cellStyle name=" 1" xfId="126"/>
    <cellStyle name=" 1 2" xfId="2125"/>
    <cellStyle name=" 1 2 2" xfId="2126"/>
    <cellStyle name=" 1 2 3" xfId="2127"/>
    <cellStyle name=" 1 3" xfId="2128"/>
    <cellStyle name=" 1 3 2" xfId="2129"/>
    <cellStyle name=" 1 4" xfId="2130"/>
    <cellStyle name=" 1_29(d) - Gas extensions -tariffs" xfId="2131"/>
    <cellStyle name=" Writer Import]_x000d__x000a_Display Dialog=No_x000d__x000a__x000d__x000a_[Horizontal Arrange]_x000d__x000a_Dimensions Interlocking=Yes_x000d__x000a_Sum Hierarchy=Yes_x000d__x000a_Generate" xfId="63"/>
    <cellStyle name=" Writer Import]_x000d__x000a_Display Dialog=No_x000d__x000a__x000d__x000a_[Horizontal Arrange]_x000d__x000a_Dimensions Interlocking=Yes_x000d__x000a_Sum Hierarchy=Yes_x000d__x000a_Generate 2" xfId="127"/>
    <cellStyle name=" Writer Import]_x000d__x000a_Display Dialog=No_x000d__x000a__x000d__x000a_[Horizontal Arrange]_x000d__x000a_Dimensions Interlocking=Yes_x000d__x000a_Sum Hierarchy=Yes_x000d__x000a_Generate 3" xfId="128"/>
    <cellStyle name=" Writer Import]_x000d__x000a_Display Dialog=No_x000d__x000a__x000d__x000a_[Horizontal Arrange]_x000d__x000a_Dimensions Interlocking=Yes_x000d__x000a_Sum Hierarchy=Yes_x000d__x000a_Generate 4" xfId="129"/>
    <cellStyle name="%" xfId="130"/>
    <cellStyle name="(Comma)" xfId="131"/>
    <cellStyle name="_x0013__1106 v1.4 MGH Corporate Model Hybrid v5c" xfId="132"/>
    <cellStyle name="_141702_1" xfId="133"/>
    <cellStyle name="_141702_1 2" xfId="134"/>
    <cellStyle name="_141702_1_7. Ass" xfId="135"/>
    <cellStyle name="_141702_1_BoardN_FO" xfId="136"/>
    <cellStyle name="_141702_1_CashFQtrlyN_FO" xfId="137"/>
    <cellStyle name="_141702_1_CashFQtrlyN_FO 2" xfId="138"/>
    <cellStyle name="_141702_1_CPI&amp;Int_FA" xfId="139"/>
    <cellStyle name="_141702_1_Equity_Divs_Debt_FA" xfId="140"/>
    <cellStyle name="_2010-2015 Summary" xfId="141"/>
    <cellStyle name="_284268_1" xfId="142"/>
    <cellStyle name="_284268_1_7. Ass" xfId="143"/>
    <cellStyle name="_284268_1_BoardN_FO" xfId="144"/>
    <cellStyle name="_284268_1_BoardN_FO 2" xfId="145"/>
    <cellStyle name="_284268_1_CashFQtrlyN_FO" xfId="146"/>
    <cellStyle name="_284268_1_CashFQtrlyN_FO 2" xfId="147"/>
    <cellStyle name="_284268_1_CPI&amp;Int_FA" xfId="148"/>
    <cellStyle name="_284268_1_Equity_Divs_Debt_FA" xfId="149"/>
    <cellStyle name="_3GIS model v2.77_Distribution Business_Retail Fin Perform " xfId="2132"/>
    <cellStyle name="_3GIS model v2.77_Fleet Overhead Costs 2_Retail Fin Perform " xfId="2133"/>
    <cellStyle name="_3GIS model v2.77_Fleet Overhead Costs_Retail Fin Perform " xfId="2134"/>
    <cellStyle name="_3GIS model v2.77_Forecast 2_Retail Fin Perform " xfId="2135"/>
    <cellStyle name="_3GIS model v2.77_Forecast_Retail Fin Perform " xfId="2136"/>
    <cellStyle name="_3GIS model v2.77_Funding &amp; Cashflow_1_Retail Fin Perform " xfId="2137"/>
    <cellStyle name="_3GIS model v2.77_Funding &amp; Cashflow_Retail Fin Perform " xfId="2138"/>
    <cellStyle name="_3GIS model v2.77_Group P&amp;L_1_Retail Fin Perform " xfId="2139"/>
    <cellStyle name="_3GIS model v2.77_Group P&amp;L_Retail Fin Perform " xfId="2140"/>
    <cellStyle name="_3GIS model v2.77_Opening  Detailed BS_Retail Fin Perform " xfId="2141"/>
    <cellStyle name="_3GIS model v2.77_OUTPUT DB_Retail Fin Perform " xfId="2142"/>
    <cellStyle name="_3GIS model v2.77_OUTPUT EB_Retail Fin Perform " xfId="2143"/>
    <cellStyle name="_3GIS model v2.77_Report_Retail Fin Perform " xfId="2144"/>
    <cellStyle name="_3GIS model v2.77_Retail Fin Perform " xfId="2145"/>
    <cellStyle name="_3GIS model v2.77_Sheet2 2_Retail Fin Perform " xfId="2146"/>
    <cellStyle name="_3GIS model v2.77_Sheet2_Retail Fin Perform " xfId="2147"/>
    <cellStyle name="_4092_51" xfId="150"/>
    <cellStyle name="_4092_51 2" xfId="151"/>
    <cellStyle name="_4092_51_7. Ass" xfId="152"/>
    <cellStyle name="_4092_51_BoardN_FO" xfId="153"/>
    <cellStyle name="_4092_51_CashFQtrlyN_FO" xfId="154"/>
    <cellStyle name="_4092_51_CashFQtrlyN_FO 2" xfId="155"/>
    <cellStyle name="_4092_51_CPI&amp;Int_FA" xfId="156"/>
    <cellStyle name="_4092_51_Equity_Divs_Debt_FA" xfId="157"/>
    <cellStyle name="_4092_69" xfId="158"/>
    <cellStyle name="_4092_69 2" xfId="159"/>
    <cellStyle name="_4092_69_BoardN_FO" xfId="160"/>
    <cellStyle name="_4092_69_CPI&amp;Int_FA" xfId="161"/>
    <cellStyle name="_4092_69_Equity_Divs_Debt_FA" xfId="162"/>
    <cellStyle name="_x0013__6. Ass-Fin" xfId="163"/>
    <cellStyle name="_x0013__7. Ass" xfId="164"/>
    <cellStyle name="_x0013__7. Ass_1" xfId="165"/>
    <cellStyle name="_x0013__BoardN_FO" xfId="166"/>
    <cellStyle name="_x0013__BoardN_FO 2" xfId="167"/>
    <cellStyle name="_x0013__BoardN_FO_1" xfId="168"/>
    <cellStyle name="_Capex" xfId="169"/>
    <cellStyle name="_Capex 2" xfId="2148"/>
    <cellStyle name="_Capex_29(d) - Gas extensions -tariffs" xfId="2149"/>
    <cellStyle name="_Capex_Book5" xfId="170"/>
    <cellStyle name="_x0013__CashFQtrlyN_FO" xfId="171"/>
    <cellStyle name="_x0013__CashFQtrlyN_FO 2" xfId="172"/>
    <cellStyle name="_x0013__CPI&amp;Int_FA" xfId="173"/>
    <cellStyle name="_x0013__Equity_Divs_Debt_FA" xfId="174"/>
    <cellStyle name="_Master AEN Works Programme" xfId="175"/>
    <cellStyle name="_x0013__MGH Balance Sheet-Month" xfId="176"/>
    <cellStyle name="_x0013__MGH P&amp;L-Qtr" xfId="177"/>
    <cellStyle name="_x0013__Op Bal Sheet MGH" xfId="178"/>
    <cellStyle name="_Quarterly" xfId="179"/>
    <cellStyle name="_Sheet1" xfId="180"/>
    <cellStyle name="_UED 2010-15 Financial Plan-030510 for AO" xfId="181"/>
    <cellStyle name="_UED AMP 2009-14 Final 250309 Less PU" xfId="182"/>
    <cellStyle name="_UED AMP 2009-14 Final 250309 Less PU_1011 monthly" xfId="183"/>
    <cellStyle name="_UED Corporate Model (9 December) - Reg Submission Model - 2011-2015 - Reinvestment from 2010, 1 yr SOLA" xfId="184"/>
    <cellStyle name="£ BP" xfId="185"/>
    <cellStyle name="¥ JY" xfId="186"/>
    <cellStyle name="=C:\WINNT35\SYSTEM32\COMMAND.COM" xfId="187"/>
    <cellStyle name="=C:\WINNT35\SYSTEM32\COMMAND.COM 2" xfId="188"/>
    <cellStyle name="=C:\WINNT35\SYSTEM32\COMMAND.COM_7. Ass" xfId="189"/>
    <cellStyle name="•W_results" xfId="190"/>
    <cellStyle name="1 000 Kc_laroux" xfId="191"/>
    <cellStyle name="1 000 Ke_laroux" xfId="192"/>
    <cellStyle name="20% - Accent1" xfId="25" builtinId="30" customBuiltin="1"/>
    <cellStyle name="20% - Accent1 2" xfId="193"/>
    <cellStyle name="20% - Accent2" xfId="29" builtinId="34" customBuiltin="1"/>
    <cellStyle name="20% - Accent2 2" xfId="194"/>
    <cellStyle name="20% - Accent3" xfId="33" builtinId="38" customBuiltin="1"/>
    <cellStyle name="20% - Accent3 2" xfId="195"/>
    <cellStyle name="20% - Accent4" xfId="37" builtinId="42" customBuiltin="1"/>
    <cellStyle name="20% - Accent4 2" xfId="196"/>
    <cellStyle name="20% - Accent5" xfId="41" builtinId="46" customBuiltin="1"/>
    <cellStyle name="20% - Accent5 2" xfId="197"/>
    <cellStyle name="20% - Accent6" xfId="45" builtinId="50" customBuiltin="1"/>
    <cellStyle name="20% - Accent6 2" xfId="198"/>
    <cellStyle name="33" xfId="199"/>
    <cellStyle name="40% - Accent1" xfId="26" builtinId="31" customBuiltin="1"/>
    <cellStyle name="40% - Accent1 2" xfId="200"/>
    <cellStyle name="40% - Accent2" xfId="30" builtinId="35" customBuiltin="1"/>
    <cellStyle name="40% - Accent2 2" xfId="201"/>
    <cellStyle name="40% - Accent3" xfId="34" builtinId="39" customBuiltin="1"/>
    <cellStyle name="40% - Accent3 2" xfId="202"/>
    <cellStyle name="40% - Accent4" xfId="38" builtinId="43" customBuiltin="1"/>
    <cellStyle name="40% - Accent4 2" xfId="203"/>
    <cellStyle name="40% - Accent5" xfId="42" builtinId="47" customBuiltin="1"/>
    <cellStyle name="40% - Accent5 2" xfId="204"/>
    <cellStyle name="40% - Accent6" xfId="46" builtinId="51" customBuiltin="1"/>
    <cellStyle name="40% - Accent6 2" xfId="205"/>
    <cellStyle name="60% - Accent1" xfId="27" builtinId="32" customBuiltin="1"/>
    <cellStyle name="60% - Accent1 2" xfId="206"/>
    <cellStyle name="60% - Accent1 3" xfId="207"/>
    <cellStyle name="60% - Accent2" xfId="31" builtinId="36" customBuiltin="1"/>
    <cellStyle name="60% - Accent2 2" xfId="208"/>
    <cellStyle name="60% - Accent3" xfId="35" builtinId="40" customBuiltin="1"/>
    <cellStyle name="60% - Accent3 2" xfId="209"/>
    <cellStyle name="60% - Accent4" xfId="39" builtinId="44" customBuiltin="1"/>
    <cellStyle name="60% - Accent4 2" xfId="210"/>
    <cellStyle name="60% - Accent5" xfId="43" builtinId="48" customBuiltin="1"/>
    <cellStyle name="60% - Accent5 2" xfId="211"/>
    <cellStyle name="60% - Accent6" xfId="47" builtinId="52" customBuiltin="1"/>
    <cellStyle name="60% - Accent6 2" xfId="212"/>
    <cellStyle name="Accent1" xfId="24" builtinId="29" customBuiltin="1"/>
    <cellStyle name="Accent1 - 20%" xfId="213"/>
    <cellStyle name="Accent1 - 40%" xfId="214"/>
    <cellStyle name="Accent1 - 60%" xfId="215"/>
    <cellStyle name="Accent1 2" xfId="216"/>
    <cellStyle name="Accent2" xfId="28" builtinId="33" customBuiltin="1"/>
    <cellStyle name="Accent2 - 20%" xfId="217"/>
    <cellStyle name="Accent2 - 40%" xfId="218"/>
    <cellStyle name="Accent2 - 60%" xfId="219"/>
    <cellStyle name="Accent2 2" xfId="220"/>
    <cellStyle name="Accent3" xfId="32" builtinId="37" customBuiltin="1"/>
    <cellStyle name="Accent3 - 20%" xfId="221"/>
    <cellStyle name="Accent3 - 40%" xfId="222"/>
    <cellStyle name="Accent3 - 60%" xfId="223"/>
    <cellStyle name="Accent3 2" xfId="224"/>
    <cellStyle name="Accent4" xfId="36" builtinId="41" customBuiltin="1"/>
    <cellStyle name="Accent4 - 20%" xfId="225"/>
    <cellStyle name="Accent4 - 40%" xfId="226"/>
    <cellStyle name="Accent4 - 60%" xfId="227"/>
    <cellStyle name="Accent4 2" xfId="228"/>
    <cellStyle name="Accent5" xfId="40" builtinId="45" customBuiltin="1"/>
    <cellStyle name="Accent5 - 20%" xfId="229"/>
    <cellStyle name="Accent5 - 40%" xfId="230"/>
    <cellStyle name="Accent5 - 60%" xfId="231"/>
    <cellStyle name="Accent5 2" xfId="232"/>
    <cellStyle name="Accent6" xfId="44" builtinId="49" customBuiltin="1"/>
    <cellStyle name="Accent6 - 20%" xfId="233"/>
    <cellStyle name="Accent6 - 40%" xfId="234"/>
    <cellStyle name="Accent6 - 60%" xfId="235"/>
    <cellStyle name="Accent6 2" xfId="236"/>
    <cellStyle name="Accent6 3" xfId="237"/>
    <cellStyle name="Account Heading" xfId="238"/>
    <cellStyle name="Accounts Ref" xfId="239"/>
    <cellStyle name="Agara" xfId="64"/>
    <cellStyle name="assumption" xfId="240"/>
    <cellStyle name="Assumption 2" xfId="241"/>
    <cellStyle name="Assumption Currency." xfId="242"/>
    <cellStyle name="Assumption Currency. 2" xfId="243"/>
    <cellStyle name="Assumption Currency. 3" xfId="244"/>
    <cellStyle name="Assumption Date." xfId="245"/>
    <cellStyle name="Assumption Date. 2" xfId="246"/>
    <cellStyle name="Assumption Date. 2 2" xfId="247"/>
    <cellStyle name="Assumption Date. 3" xfId="248"/>
    <cellStyle name="Assumption Heading." xfId="249"/>
    <cellStyle name="Assumption Heading. 2" xfId="250"/>
    <cellStyle name="Assumption Heading. 2 2" xfId="251"/>
    <cellStyle name="Assumption Heading. 3" xfId="252"/>
    <cellStyle name="Assumption Multiple." xfId="253"/>
    <cellStyle name="Assumption Multiple. 2" xfId="254"/>
    <cellStyle name="Assumption Multiple. 3" xfId="255"/>
    <cellStyle name="Assumption Number." xfId="256"/>
    <cellStyle name="Assumption Number. 2" xfId="257"/>
    <cellStyle name="Assumption Number. 2 2" xfId="258"/>
    <cellStyle name="Assumption Number. 3" xfId="259"/>
    <cellStyle name="Assumption Percentage." xfId="260"/>
    <cellStyle name="Assumption Percentage. 2" xfId="261"/>
    <cellStyle name="Assumption Percentage. 2 2" xfId="262"/>
    <cellStyle name="Assumption Percentage. 3" xfId="263"/>
    <cellStyle name="Assumption Year." xfId="264"/>
    <cellStyle name="Assumption Year. 2" xfId="265"/>
    <cellStyle name="Assumption Year. 3" xfId="266"/>
    <cellStyle name="Assumptions Center Currency" xfId="267"/>
    <cellStyle name="Assumptions Center Currency 2" xfId="268"/>
    <cellStyle name="Assumptions Center Currency_7_11 Consolidated Budget Model 091112 WITH INTERFACE" xfId="269"/>
    <cellStyle name="Assumptions Center Date" xfId="270"/>
    <cellStyle name="Assumptions Center Date 2" xfId="271"/>
    <cellStyle name="Assumptions Center Date_7_11 Consolidated Budget Model 091112 WITH INTERFACE" xfId="272"/>
    <cellStyle name="Assumptions Center Multiple" xfId="273"/>
    <cellStyle name="Assumptions Center Multiple 2" xfId="274"/>
    <cellStyle name="Assumptions Center Multiple_7_11 Consolidated Budget Model 091112 WITH INTERFACE" xfId="275"/>
    <cellStyle name="Assumptions Center Number" xfId="276"/>
    <cellStyle name="Assumptions Center Number 2" xfId="277"/>
    <cellStyle name="Assumptions Center Number_7_11 Consolidated Budget Model 091112 WITH INTERFACE" xfId="278"/>
    <cellStyle name="Assumptions Center Percentage" xfId="279"/>
    <cellStyle name="Assumptions Center Percentage 2" xfId="280"/>
    <cellStyle name="Assumptions Center Percentage_7_11 Consolidated Budget Model 091112 WITH INTERFACE" xfId="281"/>
    <cellStyle name="Assumptions Center Year" xfId="282"/>
    <cellStyle name="Assumptions Center Year 2" xfId="283"/>
    <cellStyle name="Assumptions Center Year_7_11 Consolidated Budget Model 091112 WITH INTERFACE" xfId="284"/>
    <cellStyle name="Assumptions Heading" xfId="285"/>
    <cellStyle name="Assumptions Heading 2" xfId="286"/>
    <cellStyle name="Assumptions Heading 3" xfId="287"/>
    <cellStyle name="Assumptions Heading 5" xfId="288"/>
    <cellStyle name="Assumptions Heading_7_11 Consolidated Budget Model 091112 WITH INTERFACE" xfId="289"/>
    <cellStyle name="Assumptions Right Currency" xfId="290"/>
    <cellStyle name="Assumptions Right Currency 2" xfId="291"/>
    <cellStyle name="Assumptions Right Currency_7_11 Consolidated Budget Model 091112 WITH INTERFACE" xfId="292"/>
    <cellStyle name="Assumptions Right Date" xfId="293"/>
    <cellStyle name="Assumptions Right Date 2" xfId="294"/>
    <cellStyle name="Assumptions Right Date_7_11 Consolidated Budget Model 091112 WITH INTERFACE" xfId="295"/>
    <cellStyle name="Assumptions Right Multiple" xfId="296"/>
    <cellStyle name="Assumptions Right Multiple 2" xfId="297"/>
    <cellStyle name="Assumptions Right Multiple_7_11 Consolidated Budget Model 091112 WITH INTERFACE" xfId="298"/>
    <cellStyle name="Assumptions Right Number" xfId="299"/>
    <cellStyle name="Assumptions Right Number 2" xfId="300"/>
    <cellStyle name="Assumptions Right Number_7_11 Consolidated Budget Model 091112 WITH INTERFACE" xfId="301"/>
    <cellStyle name="Assumptions Right Percentage" xfId="302"/>
    <cellStyle name="Assumptions Right Percentage 2" xfId="303"/>
    <cellStyle name="Assumptions Right Percentage_6. Ass-Fin" xfId="304"/>
    <cellStyle name="Assumptions Right Year" xfId="305"/>
    <cellStyle name="Assumptions Right Year 2" xfId="306"/>
    <cellStyle name="Assumptions Right Year_7_11 Consolidated Budget Model 091112 WITH INTERFACE" xfId="307"/>
    <cellStyle name="AussieDate" xfId="65"/>
    <cellStyle name="B79812_.wvu.PrintTitlest" xfId="66"/>
    <cellStyle name="Bad" xfId="13" builtinId="27" customBuiltin="1"/>
    <cellStyle name="Bad 2" xfId="308"/>
    <cellStyle name="banner" xfId="309"/>
    <cellStyle name="Black" xfId="67"/>
    <cellStyle name="Blank" xfId="310"/>
    <cellStyle name="Blockout" xfId="1"/>
    <cellStyle name="Blockout 2" xfId="6"/>
    <cellStyle name="Blockout 2 2" xfId="2150"/>
    <cellStyle name="Blockout 3" xfId="2151"/>
    <cellStyle name="Blue" xfId="68"/>
    <cellStyle name="Bold/Border" xfId="311"/>
    <cellStyle name="Bold/Border 2" xfId="312"/>
    <cellStyle name="Bold/Border 2 2" xfId="313"/>
    <cellStyle name="Bold/Border 2 2 2" xfId="314"/>
    <cellStyle name="Bold/Border 2 3" xfId="315"/>
    <cellStyle name="Bold/Border 2 3 2" xfId="316"/>
    <cellStyle name="Bold/Border 2 4" xfId="317"/>
    <cellStyle name="Bold/Border 3" xfId="318"/>
    <cellStyle name="Border" xfId="319"/>
    <cellStyle name="Border 2" xfId="320"/>
    <cellStyle name="Border 3" xfId="321"/>
    <cellStyle name="Border Heavy" xfId="322"/>
    <cellStyle name="Border Thin" xfId="323"/>
    <cellStyle name="Border Thin 2" xfId="324"/>
    <cellStyle name="Border Thin 2 2" xfId="325"/>
    <cellStyle name="Border Thin 2 3" xfId="326"/>
    <cellStyle name="Border_1106 v1.4 MGH Corporate Model Hybrid v5c" xfId="327"/>
    <cellStyle name="Branch" xfId="328"/>
    <cellStyle name="Brand Default" xfId="69"/>
    <cellStyle name="Brand Subtitle with Underline" xfId="70"/>
    <cellStyle name="Brand Title" xfId="71"/>
    <cellStyle name="Bullet" xfId="329"/>
    <cellStyle name="Calc Currency (0)" xfId="330"/>
    <cellStyle name="Calc Currency (2)" xfId="331"/>
    <cellStyle name="Calc Percent (0)" xfId="332"/>
    <cellStyle name="Calc Percent (1)" xfId="333"/>
    <cellStyle name="Calc Percent (2)" xfId="334"/>
    <cellStyle name="Calc Units (0)" xfId="335"/>
    <cellStyle name="Calc Units (1)" xfId="336"/>
    <cellStyle name="Calc Units (2)" xfId="337"/>
    <cellStyle name="CALC_ErrChk" xfId="338"/>
    <cellStyle name="calculated" xfId="339"/>
    <cellStyle name="Calculation" xfId="17" builtinId="22" customBuiltin="1"/>
    <cellStyle name="Calculation 2" xfId="340"/>
    <cellStyle name="Calculation 2 2" xfId="341"/>
    <cellStyle name="Calculation 2 2 2" xfId="342"/>
    <cellStyle name="Calculation 2 2 2 2" xfId="343"/>
    <cellStyle name="Calculation 2 2 3" xfId="344"/>
    <cellStyle name="Calculation 2 2 3 2" xfId="345"/>
    <cellStyle name="Calculation 2 2 4" xfId="346"/>
    <cellStyle name="Calculation 2 3" xfId="347"/>
    <cellStyle name="Calculation 2 3 2" xfId="348"/>
    <cellStyle name="Calculation 2 3 2 2" xfId="349"/>
    <cellStyle name="Calculation 2 3 3" xfId="350"/>
    <cellStyle name="Calculation 2 3 3 2" xfId="351"/>
    <cellStyle name="Calculation 2 3 4" xfId="352"/>
    <cellStyle name="Calculation 2 4" xfId="353"/>
    <cellStyle name="Calculation 2 4 2" xfId="354"/>
    <cellStyle name="Calculation 2 4 2 2" xfId="355"/>
    <cellStyle name="Calculation 2 4 3" xfId="356"/>
    <cellStyle name="Calculation 2 4 3 2" xfId="357"/>
    <cellStyle name="Calculation 2 4 4" xfId="358"/>
    <cellStyle name="Calculation 2 5" xfId="359"/>
    <cellStyle name="Calculation 2 5 2" xfId="360"/>
    <cellStyle name="Calculation 2 5 2 2" xfId="361"/>
    <cellStyle name="Calculation 2 5 3" xfId="362"/>
    <cellStyle name="Calculation 2 5 3 2" xfId="363"/>
    <cellStyle name="Calculation 2 5 4" xfId="364"/>
    <cellStyle name="Calculation 2 6" xfId="365"/>
    <cellStyle name="Callum" xfId="366"/>
    <cellStyle name="cárky [0]_laroux" xfId="367"/>
    <cellStyle name="cárky_laroux" xfId="368"/>
    <cellStyle name="Cash" xfId="369"/>
    <cellStyle name="Cash 2" xfId="370"/>
    <cellStyle name="Cell Link" xfId="371"/>
    <cellStyle name="Cell Link 2" xfId="372"/>
    <cellStyle name="Cell Link." xfId="373"/>
    <cellStyle name="Cena" xfId="374"/>
    <cellStyle name="Center Currency" xfId="375"/>
    <cellStyle name="Center Currency 2" xfId="376"/>
    <cellStyle name="Center Currency_7_11 Consolidated Budget Model 091123 bud" xfId="377"/>
    <cellStyle name="Center Date" xfId="378"/>
    <cellStyle name="Center Date 2" xfId="379"/>
    <cellStyle name="Center Date_7_11 Consolidated Budget Model 091123 bud" xfId="380"/>
    <cellStyle name="Center Multiple" xfId="381"/>
    <cellStyle name="Center Multiple 2" xfId="382"/>
    <cellStyle name="Center Multiple_7_11 Consolidated Budget Model 091123 bud" xfId="383"/>
    <cellStyle name="Center Number" xfId="384"/>
    <cellStyle name="Center Number 2" xfId="385"/>
    <cellStyle name="Center Number_7_11 Consolidated Budget Model 091123 bud" xfId="386"/>
    <cellStyle name="Center Percentage" xfId="387"/>
    <cellStyle name="Center Percentage 2" xfId="388"/>
    <cellStyle name="Center Percentage_7_11 Consolidated Budget Model 091123 bud" xfId="389"/>
    <cellStyle name="Center Year" xfId="390"/>
    <cellStyle name="Center Year 2" xfId="391"/>
    <cellStyle name="Center Year_7_11 Consolidated Budget Model 091123 bud" xfId="392"/>
    <cellStyle name="check" xfId="393"/>
    <cellStyle name="Check Cell" xfId="19" builtinId="23" customBuiltin="1"/>
    <cellStyle name="Check Cell 2" xfId="394"/>
    <cellStyle name="Check Cell 2 2 2 2" xfId="2152"/>
    <cellStyle name="CLEAR ALL" xfId="395"/>
    <cellStyle name="coalcost" xfId="396"/>
    <cellStyle name="Comma" xfId="2120" builtinId="3"/>
    <cellStyle name="Comma  - Style1" xfId="397"/>
    <cellStyle name="Comma  - Style2" xfId="398"/>
    <cellStyle name="Comma  - Style3" xfId="399"/>
    <cellStyle name="Comma  - Style4" xfId="400"/>
    <cellStyle name="Comma  - Style5" xfId="401"/>
    <cellStyle name="Comma  - Style6" xfId="402"/>
    <cellStyle name="Comma  - Style7" xfId="403"/>
    <cellStyle name="Comma  - Style8" xfId="404"/>
    <cellStyle name="Comma (0)" xfId="405"/>
    <cellStyle name="Comma (0)," xfId="406"/>
    <cellStyle name="Comma (0)_Key Financial Data" xfId="407"/>
    <cellStyle name="Comma [0]7Z_87C" xfId="72"/>
    <cellStyle name="Comma [00]" xfId="408"/>
    <cellStyle name="Comma [1]" xfId="409"/>
    <cellStyle name="Comma 0" xfId="73"/>
    <cellStyle name="Comma 0 2" xfId="410"/>
    <cellStyle name="Comma 1" xfId="74"/>
    <cellStyle name="Comma 1 2" xfId="2153"/>
    <cellStyle name="Comma 10" xfId="411"/>
    <cellStyle name="Comma 10 2" xfId="412"/>
    <cellStyle name="Comma 10 3" xfId="413"/>
    <cellStyle name="Comma 11" xfId="414"/>
    <cellStyle name="Comma 12" xfId="415"/>
    <cellStyle name="Comma 13" xfId="416"/>
    <cellStyle name="Comma 14" xfId="417"/>
    <cellStyle name="Comma 15" xfId="418"/>
    <cellStyle name="Comma 16" xfId="419"/>
    <cellStyle name="Comma 16 2" xfId="420"/>
    <cellStyle name="Comma 17" xfId="421"/>
    <cellStyle name="Comma 18" xfId="422"/>
    <cellStyle name="Comma 19" xfId="423"/>
    <cellStyle name="Comma 2" xfId="54"/>
    <cellStyle name="Comma 2 10" xfId="424"/>
    <cellStyle name="Comma 2 11" xfId="425"/>
    <cellStyle name="Comma 2 12" xfId="426"/>
    <cellStyle name="Comma 2 13" xfId="427"/>
    <cellStyle name="Comma 2 14" xfId="428"/>
    <cellStyle name="Comma 2 15" xfId="429"/>
    <cellStyle name="Comma 2 16" xfId="430"/>
    <cellStyle name="Comma 2 17" xfId="431"/>
    <cellStyle name="Comma 2 18" xfId="432"/>
    <cellStyle name="Comma 2 19" xfId="433"/>
    <cellStyle name="Comma 2 2" xfId="61"/>
    <cellStyle name="Comma 2 2 2" xfId="2154"/>
    <cellStyle name="Comma 2 20" xfId="434"/>
    <cellStyle name="Comma 2 21" xfId="435"/>
    <cellStyle name="Comma 2 22" xfId="436"/>
    <cellStyle name="Comma 2 23" xfId="437"/>
    <cellStyle name="Comma 2 24" xfId="438"/>
    <cellStyle name="Comma 2 25" xfId="439"/>
    <cellStyle name="Comma 2 26" xfId="440"/>
    <cellStyle name="Comma 2 27" xfId="441"/>
    <cellStyle name="Comma 2 28" xfId="442"/>
    <cellStyle name="Comma 2 29" xfId="443"/>
    <cellStyle name="Comma 2 3" xfId="444"/>
    <cellStyle name="Comma 2 3 2" xfId="2155"/>
    <cellStyle name="Comma 2 30" xfId="445"/>
    <cellStyle name="Comma 2 31" xfId="446"/>
    <cellStyle name="Comma 2 32" xfId="447"/>
    <cellStyle name="Comma 2 33" xfId="448"/>
    <cellStyle name="Comma 2 34" xfId="449"/>
    <cellStyle name="Comma 2 35" xfId="450"/>
    <cellStyle name="Comma 2 35 2" xfId="451"/>
    <cellStyle name="Comma 2 36" xfId="452"/>
    <cellStyle name="Comma 2 36 2" xfId="453"/>
    <cellStyle name="Comma 2 4" xfId="454"/>
    <cellStyle name="Comma 2 5" xfId="455"/>
    <cellStyle name="Comma 2 6" xfId="456"/>
    <cellStyle name="Comma 2 7" xfId="457"/>
    <cellStyle name="Comma 2 7 2" xfId="458"/>
    <cellStyle name="Comma 2 8" xfId="459"/>
    <cellStyle name="Comma 2 9" xfId="460"/>
    <cellStyle name="Comma 2_7. Ass" xfId="461"/>
    <cellStyle name="Comma 20" xfId="462"/>
    <cellStyle name="Comma 21" xfId="463"/>
    <cellStyle name="Comma 22" xfId="464"/>
    <cellStyle name="Comma 23" xfId="465"/>
    <cellStyle name="Comma 24" xfId="466"/>
    <cellStyle name="Comma 25" xfId="467"/>
    <cellStyle name="Comma 26" xfId="468"/>
    <cellStyle name="Comma 27" xfId="469"/>
    <cellStyle name="Comma 28" xfId="470"/>
    <cellStyle name="Comma 28 2" xfId="471"/>
    <cellStyle name="Comma 29" xfId="472"/>
    <cellStyle name="Comma 29 2" xfId="473"/>
    <cellStyle name="Comma 3" xfId="75"/>
    <cellStyle name="Comma 3 10" xfId="474"/>
    <cellStyle name="Comma 3 11" xfId="475"/>
    <cellStyle name="Comma 3 12" xfId="476"/>
    <cellStyle name="Comma 3 13" xfId="477"/>
    <cellStyle name="Comma 3 14" xfId="478"/>
    <cellStyle name="Comma 3 2" xfId="48"/>
    <cellStyle name="Comma 3 2 2" xfId="479"/>
    <cellStyle name="Comma 3 2 2 2" xfId="480"/>
    <cellStyle name="Comma 3 2 2 2 2" xfId="481"/>
    <cellStyle name="Comma 3 2 3" xfId="482"/>
    <cellStyle name="Comma 3 3" xfId="483"/>
    <cellStyle name="Comma 3 4" xfId="484"/>
    <cellStyle name="Comma 3 5" xfId="485"/>
    <cellStyle name="Comma 3 6" xfId="486"/>
    <cellStyle name="Comma 3 7" xfId="487"/>
    <cellStyle name="Comma 3 8" xfId="488"/>
    <cellStyle name="Comma 3 9" xfId="489"/>
    <cellStyle name="Comma 3_Check" xfId="490"/>
    <cellStyle name="Comma 30" xfId="491"/>
    <cellStyle name="Comma 30 2" xfId="492"/>
    <cellStyle name="Comma 31" xfId="493"/>
    <cellStyle name="Comma 31 2" xfId="494"/>
    <cellStyle name="Comma 32" xfId="495"/>
    <cellStyle name="Comma 33" xfId="496"/>
    <cellStyle name="Comma 34" xfId="497"/>
    <cellStyle name="Comma 35" xfId="498"/>
    <cellStyle name="Comma 35 2" xfId="499"/>
    <cellStyle name="Comma 36" xfId="500"/>
    <cellStyle name="Comma 36 2" xfId="501"/>
    <cellStyle name="Comma 37" xfId="502"/>
    <cellStyle name="Comma 38" xfId="503"/>
    <cellStyle name="Comma 39" xfId="504"/>
    <cellStyle name="Comma 4" xfId="505"/>
    <cellStyle name="Comma 4 2" xfId="506"/>
    <cellStyle name="Comma 4 3" xfId="507"/>
    <cellStyle name="Comma 4 4" xfId="508"/>
    <cellStyle name="Comma 4 4 2" xfId="509"/>
    <cellStyle name="Comma 4 5" xfId="510"/>
    <cellStyle name="Comma 4 5 2" xfId="511"/>
    <cellStyle name="Comma 4 6" xfId="512"/>
    <cellStyle name="Comma 4 7" xfId="513"/>
    <cellStyle name="Comma 40" xfId="514"/>
    <cellStyle name="Comma 41" xfId="515"/>
    <cellStyle name="Comma 41 2" xfId="516"/>
    <cellStyle name="Comma 42" xfId="517"/>
    <cellStyle name="Comma 43" xfId="518"/>
    <cellStyle name="Comma 44" xfId="519"/>
    <cellStyle name="Comma 45" xfId="520"/>
    <cellStyle name="Comma 46" xfId="521"/>
    <cellStyle name="Comma 47" xfId="522"/>
    <cellStyle name="Comma 5" xfId="523"/>
    <cellStyle name="Comma 6" xfId="49"/>
    <cellStyle name="Comma 6 2" xfId="524"/>
    <cellStyle name="Comma 7" xfId="525"/>
    <cellStyle name="Comma 8" xfId="526"/>
    <cellStyle name="Comma 8 2" xfId="527"/>
    <cellStyle name="Comma 8 2 2" xfId="528"/>
    <cellStyle name="Comma 8 2 2 2" xfId="529"/>
    <cellStyle name="Comma 8 3" xfId="530"/>
    <cellStyle name="Comma 8 4" xfId="531"/>
    <cellStyle name="Comma 8 5" xfId="532"/>
    <cellStyle name="Comma 9" xfId="533"/>
    <cellStyle name="Comma 9 2" xfId="2156"/>
    <cellStyle name="Comma0" xfId="76"/>
    <cellStyle name="Constraint" xfId="534"/>
    <cellStyle name="Copied" xfId="535"/>
    <cellStyle name="Cover Date" xfId="536"/>
    <cellStyle name="Cover Subtitle" xfId="537"/>
    <cellStyle name="Cover Title" xfId="538"/>
    <cellStyle name="Currency (0)" xfId="539"/>
    <cellStyle name="Currency (0.00)" xfId="540"/>
    <cellStyle name="Currency [$0]" xfId="541"/>
    <cellStyle name="Currency [£0]" xfId="542"/>
    <cellStyle name="Currency [0] U" xfId="543"/>
    <cellStyle name="Currency [00]" xfId="544"/>
    <cellStyle name="Currency [2]" xfId="545"/>
    <cellStyle name="Currency [2] U" xfId="546"/>
    <cellStyle name="Currency [2]_141702_1" xfId="547"/>
    <cellStyle name="Currency 0" xfId="548"/>
    <cellStyle name="Currency 10" xfId="549"/>
    <cellStyle name="Currency 10 2" xfId="550"/>
    <cellStyle name="Currency 10 3" xfId="551"/>
    <cellStyle name="Currency 11" xfId="552"/>
    <cellStyle name="Currency 11 2" xfId="2157"/>
    <cellStyle name="Currency 12" xfId="553"/>
    <cellStyle name="Currency 13" xfId="554"/>
    <cellStyle name="Currency 13 2" xfId="555"/>
    <cellStyle name="Currency 14" xfId="556"/>
    <cellStyle name="Currency 14 2" xfId="557"/>
    <cellStyle name="Currency 15" xfId="558"/>
    <cellStyle name="Currency 15 2" xfId="559"/>
    <cellStyle name="Currency 16" xfId="560"/>
    <cellStyle name="Currency 16 2" xfId="561"/>
    <cellStyle name="Currency 17" xfId="562"/>
    <cellStyle name="Currency 18" xfId="563"/>
    <cellStyle name="Currency 2" xfId="77"/>
    <cellStyle name="Currency 2 2" xfId="564"/>
    <cellStyle name="Currency 2 3" xfId="565"/>
    <cellStyle name="Currency 2 4" xfId="566"/>
    <cellStyle name="Currency 2 5" xfId="567"/>
    <cellStyle name="Currency 2 6" xfId="568"/>
    <cellStyle name="Currency 2 7" xfId="569"/>
    <cellStyle name="Currency 2 8" xfId="570"/>
    <cellStyle name="Currency 2 9" xfId="571"/>
    <cellStyle name="Currency 3" xfId="572"/>
    <cellStyle name="Currency 3 2" xfId="573"/>
    <cellStyle name="Currency 3 3" xfId="574"/>
    <cellStyle name="Currency 3 4" xfId="575"/>
    <cellStyle name="Currency 3 5" xfId="576"/>
    <cellStyle name="Currency 4" xfId="577"/>
    <cellStyle name="Currency 4 2" xfId="578"/>
    <cellStyle name="Currency 4 3" xfId="579"/>
    <cellStyle name="Currency 4 4" xfId="580"/>
    <cellStyle name="Currency 5" xfId="581"/>
    <cellStyle name="Currency 5 2" xfId="582"/>
    <cellStyle name="Currency 5 3" xfId="583"/>
    <cellStyle name="Currency 5 4" xfId="584"/>
    <cellStyle name="Currency 6" xfId="585"/>
    <cellStyle name="Currency 6 2" xfId="586"/>
    <cellStyle name="Currency 6 3" xfId="587"/>
    <cellStyle name="Currency 7" xfId="588"/>
    <cellStyle name="Currency 7 2" xfId="589"/>
    <cellStyle name="Currency 8" xfId="590"/>
    <cellStyle name="Currency 8 2" xfId="591"/>
    <cellStyle name="Currency 9" xfId="592"/>
    <cellStyle name="Currency Canada" xfId="593"/>
    <cellStyle name="Currency Canada 2" xfId="594"/>
    <cellStyle name="Currency Euro" xfId="595"/>
    <cellStyle name="Currency Peso" xfId="596"/>
    <cellStyle name="Currency Peso 2" xfId="597"/>
    <cellStyle name="Currency Pound" xfId="598"/>
    <cellStyle name="Currency US" xfId="599"/>
    <cellStyle name="Currency(Cents)" xfId="600"/>
    <cellStyle name="Currency." xfId="601"/>
    <cellStyle name="Currency0" xfId="602"/>
    <cellStyle name="D4_B8B1_005004B79812_.wvu.PrintTitlest" xfId="78"/>
    <cellStyle name="Dash" xfId="603"/>
    <cellStyle name="Data" xfId="604"/>
    <cellStyle name="Data 2" xfId="605"/>
    <cellStyle name="Data_6. Ass-Fin" xfId="606"/>
    <cellStyle name="Date" xfId="79"/>
    <cellStyle name="Date 2" xfId="607"/>
    <cellStyle name="Date Aligned" xfId="608"/>
    <cellStyle name="Date Heading" xfId="609"/>
    <cellStyle name="Date Short" xfId="610"/>
    <cellStyle name="Date U" xfId="611"/>
    <cellStyle name="Date U 2" xfId="612"/>
    <cellStyle name="Date." xfId="613"/>
    <cellStyle name="Date_114901_2" xfId="614"/>
    <cellStyle name="Decimal [0]" xfId="615"/>
    <cellStyle name="Decimal [2]" xfId="616"/>
    <cellStyle name="Decimal [2] U" xfId="617"/>
    <cellStyle name="Decimal [2] U 2" xfId="618"/>
    <cellStyle name="Decimal [2]_1106 v1.4 MGH Corporate Model Hybrid v5c" xfId="619"/>
    <cellStyle name="Decimal [4]" xfId="620"/>
    <cellStyle name="Decimal [4] U" xfId="621"/>
    <cellStyle name="Decimal [4] U 2" xfId="622"/>
    <cellStyle name="Decimal [4]_1106 v1.4 MGH Corporate Model Hybrid v5c" xfId="623"/>
    <cellStyle name="Dezimal [0]_PERSON2" xfId="624"/>
    <cellStyle name="Dezimal_PERSON2" xfId="625"/>
    <cellStyle name="Disabled" xfId="626"/>
    <cellStyle name="Discount" xfId="627"/>
    <cellStyle name="dms_ColumnHGrey" xfId="2158"/>
    <cellStyle name="Dollars" xfId="80"/>
    <cellStyle name="Dotted Line" xfId="628"/>
    <cellStyle name="eárky [0]_laroux" xfId="629"/>
    <cellStyle name="eárky_laroux" xfId="630"/>
    <cellStyle name="Emphasis 1" xfId="631"/>
    <cellStyle name="Emphasis 2" xfId="632"/>
    <cellStyle name="Emphasis 3" xfId="633"/>
    <cellStyle name="Empty" xfId="634"/>
    <cellStyle name="Enter Currency (0)" xfId="635"/>
    <cellStyle name="Enter Currency (2)" xfId="636"/>
    <cellStyle name="Enter Units (0)" xfId="637"/>
    <cellStyle name="Enter Units (1)" xfId="638"/>
    <cellStyle name="Enter Units (2)" xfId="639"/>
    <cellStyle name="Entered" xfId="640"/>
    <cellStyle name="Error_Checks" xfId="641"/>
    <cellStyle name="Euro" xfId="81"/>
    <cellStyle name="Euro 2" xfId="642"/>
    <cellStyle name="Explanatory Text" xfId="22" builtinId="53" customBuiltin="1"/>
    <cellStyle name="Explanatory Text 2" xfId="643"/>
    <cellStyle name="EY House" xfId="644"/>
    <cellStyle name="EY House 2" xfId="645"/>
    <cellStyle name="EY%input" xfId="646"/>
    <cellStyle name="EY0dp" xfId="647"/>
    <cellStyle name="EY2dp" xfId="648"/>
    <cellStyle name="EYColumnHeading" xfId="649"/>
    <cellStyle name="EYtext" xfId="650"/>
    <cellStyle name="Fix0" xfId="651"/>
    <cellStyle name="Fix2" xfId="652"/>
    <cellStyle name="Fix4" xfId="653"/>
    <cellStyle name="Fixed" xfId="82"/>
    <cellStyle name="Fixed 2" xfId="654"/>
    <cellStyle name="Footer SBILogo1" xfId="655"/>
    <cellStyle name="Footer SBILogo2" xfId="656"/>
    <cellStyle name="Footnote" xfId="657"/>
    <cellStyle name="Footnote Reference" xfId="658"/>
    <cellStyle name="Footnote_7. Ass" xfId="659"/>
    <cellStyle name="fred" xfId="660"/>
    <cellStyle name="Fred%" xfId="661"/>
    <cellStyle name="GEN_Assumption" xfId="662"/>
    <cellStyle name="General" xfId="663"/>
    <cellStyle name="Gilsans" xfId="83"/>
    <cellStyle name="Gilsansl" xfId="84"/>
    <cellStyle name="Good" xfId="12" builtinId="26" customBuiltin="1"/>
    <cellStyle name="Good 2" xfId="664"/>
    <cellStyle name="Grey" xfId="665"/>
    <cellStyle name="Grey 2" xfId="666"/>
    <cellStyle name="Hard Percent" xfId="667"/>
    <cellStyle name="Hardcode" xfId="668"/>
    <cellStyle name="Header" xfId="669"/>
    <cellStyle name="Header - Page" xfId="670"/>
    <cellStyle name="Header - Title" xfId="671"/>
    <cellStyle name="Header - Year Row" xfId="672"/>
    <cellStyle name="Header Draft Stamp" xfId="673"/>
    <cellStyle name="Header_7. Ass" xfId="674"/>
    <cellStyle name="Header1" xfId="675"/>
    <cellStyle name="Header1 2" xfId="676"/>
    <cellStyle name="Header1_6. Ass-Fin" xfId="677"/>
    <cellStyle name="Header2" xfId="678"/>
    <cellStyle name="Header2 2" xfId="679"/>
    <cellStyle name="Header2_6. Ass-Fin" xfId="680"/>
    <cellStyle name="Heading" xfId="681"/>
    <cellStyle name="Heading 1" xfId="8" builtinId="16" customBuiltin="1"/>
    <cellStyle name="Heading 1 10" xfId="682"/>
    <cellStyle name="Heading 1 11" xfId="683"/>
    <cellStyle name="Heading 1 12" xfId="684"/>
    <cellStyle name="Heading 1 13" xfId="685"/>
    <cellStyle name="Heading 1 14" xfId="686"/>
    <cellStyle name="Heading 1 15" xfId="687"/>
    <cellStyle name="Heading 1 16" xfId="688"/>
    <cellStyle name="Heading 1 17" xfId="689"/>
    <cellStyle name="Heading 1 18" xfId="690"/>
    <cellStyle name="Heading 1 19" xfId="691"/>
    <cellStyle name="Heading 1 2" xfId="692"/>
    <cellStyle name="Heading 1 2 2" xfId="693"/>
    <cellStyle name="Heading 1 2 3" xfId="694"/>
    <cellStyle name="Heading 1 2_Budgeting Model - Corporate - 2 Year - 091112" xfId="695"/>
    <cellStyle name="Heading 1 3" xfId="696"/>
    <cellStyle name="Heading 1 3 2" xfId="697"/>
    <cellStyle name="Heading 1 4" xfId="698"/>
    <cellStyle name="Heading 1 5" xfId="699"/>
    <cellStyle name="Heading 1 6" xfId="700"/>
    <cellStyle name="Heading 1 7" xfId="701"/>
    <cellStyle name="Heading 1 8" xfId="702"/>
    <cellStyle name="Heading 1 9" xfId="703"/>
    <cellStyle name="Heading 1 Above" xfId="704"/>
    <cellStyle name="Heading 1 Number" xfId="705"/>
    <cellStyle name="Heading 1 Text" xfId="706"/>
    <cellStyle name="Heading 1." xfId="707"/>
    <cellStyle name="Heading 1+" xfId="708"/>
    <cellStyle name="Heading 10" xfId="709"/>
    <cellStyle name="Heading 10 2" xfId="710"/>
    <cellStyle name="Heading 11" xfId="711"/>
    <cellStyle name="Heading 11 2" xfId="712"/>
    <cellStyle name="Heading 12" xfId="713"/>
    <cellStyle name="Heading 13" xfId="714"/>
    <cellStyle name="Heading 14" xfId="715"/>
    <cellStyle name="Heading 15" xfId="716"/>
    <cellStyle name="Heading 16" xfId="717"/>
    <cellStyle name="Heading 2" xfId="9" builtinId="17" customBuiltin="1"/>
    <cellStyle name="Heading 2 10" xfId="718"/>
    <cellStyle name="Heading 2 11" xfId="719"/>
    <cellStyle name="Heading 2 12" xfId="720"/>
    <cellStyle name="Heading 2 13" xfId="721"/>
    <cellStyle name="Heading 2 14" xfId="722"/>
    <cellStyle name="Heading 2 15" xfId="723"/>
    <cellStyle name="Heading 2 16" xfId="724"/>
    <cellStyle name="Heading 2 17" xfId="725"/>
    <cellStyle name="Heading 2 18" xfId="726"/>
    <cellStyle name="Heading 2 2" xfId="727"/>
    <cellStyle name="Heading 2 2 2" xfId="728"/>
    <cellStyle name="Heading 2 3" xfId="729"/>
    <cellStyle name="Heading 2 3 2" xfId="730"/>
    <cellStyle name="Heading 2 4" xfId="731"/>
    <cellStyle name="Heading 2 5" xfId="732"/>
    <cellStyle name="Heading 2 6" xfId="733"/>
    <cellStyle name="Heading 2 7" xfId="734"/>
    <cellStyle name="Heading 2 8" xfId="735"/>
    <cellStyle name="Heading 2 9" xfId="736"/>
    <cellStyle name="Heading 2 Below" xfId="737"/>
    <cellStyle name="Heading 2 Text" xfId="738"/>
    <cellStyle name="Heading 2." xfId="739"/>
    <cellStyle name="Heading 2+" xfId="740"/>
    <cellStyle name="Heading 3" xfId="10" builtinId="18" customBuiltin="1"/>
    <cellStyle name="Heading 3 10" xfId="741"/>
    <cellStyle name="Heading 3 11" xfId="742"/>
    <cellStyle name="Heading 3 12" xfId="743"/>
    <cellStyle name="Heading 3 13" xfId="744"/>
    <cellStyle name="Heading 3 14" xfId="745"/>
    <cellStyle name="Heading 3 15" xfId="746"/>
    <cellStyle name="Heading 3 16" xfId="747"/>
    <cellStyle name="Heading 3 17" xfId="748"/>
    <cellStyle name="Heading 3 18" xfId="749"/>
    <cellStyle name="Heading 3 2" xfId="750"/>
    <cellStyle name="Heading 3 2 2" xfId="751"/>
    <cellStyle name="Heading 3 2 2 2" xfId="752"/>
    <cellStyle name="Heading 3 2 2 2 2" xfId="2159"/>
    <cellStyle name="Heading 3 2 2 2 2 2" xfId="2160"/>
    <cellStyle name="Heading 3 2 2 2 2 3" xfId="2161"/>
    <cellStyle name="Heading 3 2 2 2 2 4" xfId="2162"/>
    <cellStyle name="Heading 3 2 2 2 3" xfId="2163"/>
    <cellStyle name="Heading 3 2 2 2 4" xfId="2164"/>
    <cellStyle name="Heading 3 2 2 2 5" xfId="2165"/>
    <cellStyle name="Heading 3 2 2 3" xfId="2166"/>
    <cellStyle name="Heading 3 2 2 3 2" xfId="2167"/>
    <cellStyle name="Heading 3 2 2 3 2 2" xfId="2168"/>
    <cellStyle name="Heading 3 2 2 3 2 3" xfId="2169"/>
    <cellStyle name="Heading 3 2 2 3 2 4" xfId="2170"/>
    <cellStyle name="Heading 3 2 2 3 3" xfId="2171"/>
    <cellStyle name="Heading 3 2 2 3 4" xfId="2172"/>
    <cellStyle name="Heading 3 2 2 3 5" xfId="2173"/>
    <cellStyle name="Heading 3 2 2 4" xfId="2174"/>
    <cellStyle name="Heading 3 2 2 4 2" xfId="2175"/>
    <cellStyle name="Heading 3 2 2 4 3" xfId="2176"/>
    <cellStyle name="Heading 3 2 2 4 4" xfId="2177"/>
    <cellStyle name="Heading 3 2 2 5" xfId="2178"/>
    <cellStyle name="Heading 3 2 2 5 2" xfId="2179"/>
    <cellStyle name="Heading 3 2 2 5 3" xfId="2180"/>
    <cellStyle name="Heading 3 2 3" xfId="753"/>
    <cellStyle name="Heading 3 2 4" xfId="2181"/>
    <cellStyle name="Heading 3 2 4 2" xfId="2182"/>
    <cellStyle name="Heading 3 2 4 2 2" xfId="2183"/>
    <cellStyle name="Heading 3 2 4 2 3" xfId="2184"/>
    <cellStyle name="Heading 3 2 4 2 4" xfId="2185"/>
    <cellStyle name="Heading 3 2 4 3" xfId="2186"/>
    <cellStyle name="Heading 3 2 4 4" xfId="2187"/>
    <cellStyle name="Heading 3 2 4 5" xfId="2188"/>
    <cellStyle name="Heading 3 2 5" xfId="2189"/>
    <cellStyle name="Heading 3 2 5 2" xfId="2190"/>
    <cellStyle name="Heading 3 2 5 2 2" xfId="2191"/>
    <cellStyle name="Heading 3 2 5 2 3" xfId="2192"/>
    <cellStyle name="Heading 3 2 5 2 4" xfId="2193"/>
    <cellStyle name="Heading 3 2 5 3" xfId="2194"/>
    <cellStyle name="Heading 3 2 5 4" xfId="2195"/>
    <cellStyle name="Heading 3 2 5 5" xfId="2196"/>
    <cellStyle name="Heading 3 2 6" xfId="2197"/>
    <cellStyle name="Heading 3 2 6 2" xfId="2198"/>
    <cellStyle name="Heading 3 2 6 3" xfId="2199"/>
    <cellStyle name="Heading 3 2 6 4" xfId="2200"/>
    <cellStyle name="Heading 3 2 7" xfId="2201"/>
    <cellStyle name="Heading 3 2 7 2" xfId="2202"/>
    <cellStyle name="Heading 3 2 7 3" xfId="2203"/>
    <cellStyle name="Heading 3 3" xfId="754"/>
    <cellStyle name="Heading 3 3 2" xfId="755"/>
    <cellStyle name="Heading 3 4" xfId="756"/>
    <cellStyle name="Heading 3 5" xfId="757"/>
    <cellStyle name="Heading 3 6" xfId="758"/>
    <cellStyle name="Heading 3 7" xfId="759"/>
    <cellStyle name="Heading 3 8" xfId="760"/>
    <cellStyle name="Heading 3 9" xfId="761"/>
    <cellStyle name="Heading 3 Text" xfId="762"/>
    <cellStyle name="Heading 3." xfId="763"/>
    <cellStyle name="Heading 3+" xfId="764"/>
    <cellStyle name="Heading 4" xfId="11" builtinId="19" customBuiltin="1"/>
    <cellStyle name="Heading 4 10" xfId="765"/>
    <cellStyle name="Heading 4 11" xfId="766"/>
    <cellStyle name="Heading 4 12" xfId="767"/>
    <cellStyle name="Heading 4 13" xfId="768"/>
    <cellStyle name="Heading 4 14" xfId="769"/>
    <cellStyle name="Heading 4 15" xfId="770"/>
    <cellStyle name="Heading 4 16" xfId="771"/>
    <cellStyle name="Heading 4 17" xfId="772"/>
    <cellStyle name="Heading 4 18" xfId="773"/>
    <cellStyle name="Heading 4 2" xfId="774"/>
    <cellStyle name="Heading 4 2 2" xfId="775"/>
    <cellStyle name="Heading 4 3" xfId="776"/>
    <cellStyle name="Heading 4 3 2" xfId="777"/>
    <cellStyle name="Heading 4 4" xfId="778"/>
    <cellStyle name="Heading 4 5" xfId="779"/>
    <cellStyle name="Heading 4 6" xfId="780"/>
    <cellStyle name="Heading 4 7" xfId="781"/>
    <cellStyle name="Heading 4 8" xfId="782"/>
    <cellStyle name="Heading 4 9" xfId="783"/>
    <cellStyle name="Heading 4." xfId="784"/>
    <cellStyle name="Heading 5" xfId="785"/>
    <cellStyle name="Heading 5 2" xfId="786"/>
    <cellStyle name="Heading 5 2 2" xfId="787"/>
    <cellStyle name="Heading 5 3" xfId="788"/>
    <cellStyle name="Heading 5 3 2" xfId="789"/>
    <cellStyle name="Heading 5 4" xfId="790"/>
    <cellStyle name="Heading 6" xfId="791"/>
    <cellStyle name="Heading 6 2" xfId="792"/>
    <cellStyle name="Heading 6 2 2" xfId="793"/>
    <cellStyle name="Heading 6 3" xfId="794"/>
    <cellStyle name="Heading 6 3 2" xfId="795"/>
    <cellStyle name="Heading 6 4" xfId="796"/>
    <cellStyle name="Heading 7" xfId="797"/>
    <cellStyle name="Heading 7 2" xfId="798"/>
    <cellStyle name="Heading 8" xfId="799"/>
    <cellStyle name="Heading 8 2" xfId="800"/>
    <cellStyle name="Heading 9" xfId="801"/>
    <cellStyle name="Heading 9 2" xfId="802"/>
    <cellStyle name="Heading(4)" xfId="85"/>
    <cellStyle name="Heading1" xfId="803"/>
    <cellStyle name="Heading1 2" xfId="804"/>
    <cellStyle name="Heading2" xfId="805"/>
    <cellStyle name="Heading3" xfId="806"/>
    <cellStyle name="Heading4" xfId="807"/>
    <cellStyle name="Heading4 2" xfId="808"/>
    <cellStyle name="Heading4_7. Ass" xfId="809"/>
    <cellStyle name="Headings" xfId="810"/>
    <cellStyle name="Hidden" xfId="811"/>
    <cellStyle name="HPproduct" xfId="812"/>
    <cellStyle name="Hyperlink" xfId="2" builtinId="8"/>
    <cellStyle name="Hyperlink 2" xfId="50"/>
    <cellStyle name="Hyperlink 2 2" xfId="2204"/>
    <cellStyle name="Hyperlink 3" xfId="813"/>
    <cellStyle name="Hyperlink 4" xfId="814"/>
    <cellStyle name="Hyperlink 4 2" xfId="815"/>
    <cellStyle name="Hyperlink Arrow" xfId="816"/>
    <cellStyle name="Hyperlink Arrow." xfId="817"/>
    <cellStyle name="Hyperlink Check" xfId="818"/>
    <cellStyle name="Hyperlink Check." xfId="819"/>
    <cellStyle name="Hyperlink Text" xfId="820"/>
    <cellStyle name="Hyperlink Text." xfId="821"/>
    <cellStyle name="Hyperlink TOC 1." xfId="822"/>
    <cellStyle name="Hyperlink TOC 2." xfId="823"/>
    <cellStyle name="Hyperlink TOC 3." xfId="824"/>
    <cellStyle name="Hyperlink TOC 4." xfId="825"/>
    <cellStyle name="import" xfId="826"/>
    <cellStyle name="import%" xfId="827"/>
    <cellStyle name="import_ICRC Electricity model 1-1  (1 Feb 2003) " xfId="828"/>
    <cellStyle name="Index" xfId="829"/>
    <cellStyle name="INP_Background" xfId="830"/>
    <cellStyle name="Input" xfId="15" builtinId="20" customBuiltin="1"/>
    <cellStyle name="Input $" xfId="831"/>
    <cellStyle name="Input $ 2" xfId="832"/>
    <cellStyle name="Input $_6. Ass-Fin" xfId="833"/>
    <cellStyle name="Input %" xfId="834"/>
    <cellStyle name="Input [yellow]" xfId="835"/>
    <cellStyle name="Input [yellow] 2" xfId="836"/>
    <cellStyle name="Input 10" xfId="837"/>
    <cellStyle name="Input 11" xfId="838"/>
    <cellStyle name="Input 12" xfId="839"/>
    <cellStyle name="Input 13" xfId="840"/>
    <cellStyle name="Input 2" xfId="841"/>
    <cellStyle name="Input 2 2" xfId="842"/>
    <cellStyle name="Input 2 2 2" xfId="843"/>
    <cellStyle name="Input 2 2 2 2" xfId="844"/>
    <cellStyle name="Input 2 2 3" xfId="845"/>
    <cellStyle name="Input 2 2 3 2" xfId="846"/>
    <cellStyle name="Input 2 2 4" xfId="847"/>
    <cellStyle name="Input 2 3" xfId="848"/>
    <cellStyle name="Input 2 3 2" xfId="849"/>
    <cellStyle name="Input 2 3 2 2" xfId="850"/>
    <cellStyle name="Input 2 3 3" xfId="851"/>
    <cellStyle name="Input 2 3 3 2" xfId="852"/>
    <cellStyle name="Input 2 3 4" xfId="853"/>
    <cellStyle name="Input 2 4" xfId="854"/>
    <cellStyle name="Input 2 4 2" xfId="855"/>
    <cellStyle name="Input 2 4 2 2" xfId="856"/>
    <cellStyle name="Input 2 4 3" xfId="857"/>
    <cellStyle name="Input 2 4 3 2" xfId="858"/>
    <cellStyle name="Input 2 4 4" xfId="859"/>
    <cellStyle name="Input 2 5" xfId="860"/>
    <cellStyle name="Input 2 5 2" xfId="861"/>
    <cellStyle name="Input 2 5 2 2" xfId="862"/>
    <cellStyle name="Input 2 5 3" xfId="863"/>
    <cellStyle name="Input 2 5 3 2" xfId="864"/>
    <cellStyle name="Input 2 5 4" xfId="865"/>
    <cellStyle name="Input 2 6" xfId="866"/>
    <cellStyle name="Input 3" xfId="867"/>
    <cellStyle name="Input 4" xfId="868"/>
    <cellStyle name="Input 5" xfId="869"/>
    <cellStyle name="Input 6" xfId="870"/>
    <cellStyle name="Input 7" xfId="871"/>
    <cellStyle name="Input 8" xfId="872"/>
    <cellStyle name="Input 9" xfId="873"/>
    <cellStyle name="Input text" xfId="874"/>
    <cellStyle name="Input text 2" xfId="875"/>
    <cellStyle name="Input text_6. Ass-Fin" xfId="876"/>
    <cellStyle name="Input1" xfId="3"/>
    <cellStyle name="Input1 2" xfId="56"/>
    <cellStyle name="Input1 2 2" xfId="2205"/>
    <cellStyle name="Input1 3" xfId="57"/>
    <cellStyle name="Input1 3 2" xfId="2206"/>
    <cellStyle name="Input1 4" xfId="877"/>
    <cellStyle name="Input1%" xfId="878"/>
    <cellStyle name="Input1_ICRC Electricity model 1-1  (1 Feb 2003) " xfId="879"/>
    <cellStyle name="Input1default" xfId="880"/>
    <cellStyle name="Input1default%" xfId="881"/>
    <cellStyle name="Input2" xfId="882"/>
    <cellStyle name="Input2 2" xfId="883"/>
    <cellStyle name="Input2 3" xfId="2207"/>
    <cellStyle name="Input3" xfId="884"/>
    <cellStyle name="Input3 2" xfId="885"/>
    <cellStyle name="Input3 3" xfId="886"/>
    <cellStyle name="Input3 4" xfId="887"/>
    <cellStyle name="InputCell" xfId="2208"/>
    <cellStyle name="InputCell 2" xfId="2209"/>
    <cellStyle name="InputCellText" xfId="2210"/>
    <cellStyle name="InputCellText 2" xfId="2211"/>
    <cellStyle name="Integer" xfId="888"/>
    <cellStyle name="Internal Ref" xfId="889"/>
    <cellStyle name="JUNTR" xfId="890"/>
    <cellStyle name="key result" xfId="891"/>
    <cellStyle name="KPMG Heading 1" xfId="892"/>
    <cellStyle name="KPMG Heading 2" xfId="893"/>
    <cellStyle name="KPMG Heading 3" xfId="894"/>
    <cellStyle name="KPMG Heading 4" xfId="895"/>
    <cellStyle name="KPMG Normal" xfId="896"/>
    <cellStyle name="KPMG Normal Text" xfId="897"/>
    <cellStyle name="KPMG Normal_7. Ass" xfId="898"/>
    <cellStyle name="label" xfId="899"/>
    <cellStyle name="Line Calc" xfId="900"/>
    <cellStyle name="Line Total" xfId="901"/>
    <cellStyle name="Lines" xfId="86"/>
    <cellStyle name="Lines 2" xfId="902"/>
    <cellStyle name="Lines_7. Ass" xfId="903"/>
    <cellStyle name="Link Currency (0)" xfId="904"/>
    <cellStyle name="Link Currency (2)" xfId="905"/>
    <cellStyle name="Link Units (0)" xfId="906"/>
    <cellStyle name="Link Units (1)" xfId="907"/>
    <cellStyle name="Link Units (2)" xfId="908"/>
    <cellStyle name="Linked Cell" xfId="18" builtinId="24" customBuiltin="1"/>
    <cellStyle name="Linked Cell 2" xfId="909"/>
    <cellStyle name="List Price" xfId="910"/>
    <cellStyle name="Local import" xfId="911"/>
    <cellStyle name="Local import %" xfId="912"/>
    <cellStyle name="LongDate" xfId="913"/>
    <cellStyle name="Lookup Table Heading" xfId="914"/>
    <cellStyle name="Lookup Table Heading 2" xfId="915"/>
    <cellStyle name="Lookup Table Heading." xfId="916"/>
    <cellStyle name="Lookup Table Heading_6. Ass-Fin" xfId="917"/>
    <cellStyle name="Lookup Table Label" xfId="918"/>
    <cellStyle name="Lookup Table Label 2" xfId="919"/>
    <cellStyle name="Lookup Table Label." xfId="920"/>
    <cellStyle name="Lookup Table Label_6. Ass-Fin" xfId="921"/>
    <cellStyle name="Lookup Table Number" xfId="922"/>
    <cellStyle name="Lookup Table Number 2" xfId="923"/>
    <cellStyle name="Lookup Table Number." xfId="924"/>
    <cellStyle name="Lookup Table Number_6. Ass-Fin" xfId="925"/>
    <cellStyle name="Macro" xfId="926"/>
    <cellStyle name="Malý nadpis" xfId="927"/>
    <cellStyle name="meny_laroux" xfId="928"/>
    <cellStyle name="Milliers [0]_Dossier financier HECC" xfId="929"/>
    <cellStyle name="Millions" xfId="930"/>
    <cellStyle name="Mine" xfId="87"/>
    <cellStyle name="miny_laroux" xfId="931"/>
    <cellStyle name="Model Name" xfId="932"/>
    <cellStyle name="Model Name 2" xfId="933"/>
    <cellStyle name="Model Name." xfId="934"/>
    <cellStyle name="Moeda [0]_RESULTS" xfId="935"/>
    <cellStyle name="Moeda_RESULTS" xfId="936"/>
    <cellStyle name="multiple" xfId="937"/>
    <cellStyle name="Multiple." xfId="938"/>
    <cellStyle name="Neutral" xfId="14" builtinId="28" customBuiltin="1"/>
    <cellStyle name="Neutral 2" xfId="939"/>
    <cellStyle name="Non crit Input 0.0" xfId="940"/>
    <cellStyle name="NonInputCell" xfId="2212"/>
    <cellStyle name="NonInputCell 2" xfId="2213"/>
    <cellStyle name="Normal" xfId="0" builtinId="0"/>
    <cellStyle name="Normal - Style1" xfId="88"/>
    <cellStyle name="Normal - Style2" xfId="941"/>
    <cellStyle name="Normal - Style3" xfId="942"/>
    <cellStyle name="Normal - Style4" xfId="943"/>
    <cellStyle name="Normal - Style5" xfId="944"/>
    <cellStyle name="Normal 10" xfId="945"/>
    <cellStyle name="Normal 10 10" xfId="946"/>
    <cellStyle name="Normal 10 11" xfId="947"/>
    <cellStyle name="Normal 10 12" xfId="948"/>
    <cellStyle name="Normal 10 13" xfId="949"/>
    <cellStyle name="Normal 10 14" xfId="950"/>
    <cellStyle name="Normal 10 15" xfId="951"/>
    <cellStyle name="Normal 10 16" xfId="952"/>
    <cellStyle name="Normal 10 17" xfId="953"/>
    <cellStyle name="Normal 10 18" xfId="2122"/>
    <cellStyle name="Normal 10 2" xfId="954"/>
    <cellStyle name="Normal 10 2 10" xfId="955"/>
    <cellStyle name="Normal 10 2 11" xfId="956"/>
    <cellStyle name="Normal 10 2 12" xfId="957"/>
    <cellStyle name="Normal 10 2 13" xfId="958"/>
    <cellStyle name="Normal 10 2 14" xfId="959"/>
    <cellStyle name="Normal 10 2 15" xfId="960"/>
    <cellStyle name="Normal 10 2 16" xfId="961"/>
    <cellStyle name="Normal 10 2 2" xfId="962"/>
    <cellStyle name="Normal 10 2 2 2" xfId="963"/>
    <cellStyle name="Normal 10 2 3" xfId="964"/>
    <cellStyle name="Normal 10 2 4" xfId="965"/>
    <cellStyle name="Normal 10 2 5" xfId="966"/>
    <cellStyle name="Normal 10 2 6" xfId="967"/>
    <cellStyle name="Normal 10 2 7" xfId="968"/>
    <cellStyle name="Normal 10 2 8" xfId="969"/>
    <cellStyle name="Normal 10 2 9" xfId="970"/>
    <cellStyle name="Normal 10 3" xfId="971"/>
    <cellStyle name="Normal 10 4" xfId="972"/>
    <cellStyle name="Normal 10 5" xfId="973"/>
    <cellStyle name="Normal 10 6" xfId="974"/>
    <cellStyle name="Normal 10 7" xfId="975"/>
    <cellStyle name="Normal 10 8" xfId="976"/>
    <cellStyle name="Normal 10 9" xfId="977"/>
    <cellStyle name="Normal 10_7-11 Budget Scenarios v1.2" xfId="978"/>
    <cellStyle name="Normal 11" xfId="979"/>
    <cellStyle name="Normal 11 2" xfId="2214"/>
    <cellStyle name="Normal 11 3" xfId="2215"/>
    <cellStyle name="Normal 114" xfId="980"/>
    <cellStyle name="Normal 12" xfId="981"/>
    <cellStyle name="Normal 12 2" xfId="982"/>
    <cellStyle name="Normal 12 3" xfId="983"/>
    <cellStyle name="Normal 12 4" xfId="984"/>
    <cellStyle name="Normal 12 5" xfId="985"/>
    <cellStyle name="Normal 12_7-11 Budget Scenarios v1.2" xfId="986"/>
    <cellStyle name="Normal 13" xfId="987"/>
    <cellStyle name="Normal 13 2" xfId="988"/>
    <cellStyle name="Normal 13 2 2" xfId="989"/>
    <cellStyle name="Normal 13 2 2 2" xfId="990"/>
    <cellStyle name="Normal 13 2 2 3" xfId="991"/>
    <cellStyle name="Normal 13 2 3" xfId="992"/>
    <cellStyle name="Normal 13 2 4" xfId="993"/>
    <cellStyle name="Normal 13 2 5" xfId="994"/>
    <cellStyle name="Normal 13 3" xfId="995"/>
    <cellStyle name="Normal 13 3 2" xfId="996"/>
    <cellStyle name="Normal 13 4" xfId="997"/>
    <cellStyle name="Normal 13 5" xfId="998"/>
    <cellStyle name="Normal 13_29(d) - Gas extensions -tariffs" xfId="2216"/>
    <cellStyle name="Normal 14" xfId="999"/>
    <cellStyle name="Normal 14 2" xfId="1000"/>
    <cellStyle name="Normal 14 3" xfId="1001"/>
    <cellStyle name="Normal 14 3 2" xfId="2217"/>
    <cellStyle name="Normal 14 4" xfId="1002"/>
    <cellStyle name="Normal 14 5" xfId="1003"/>
    <cellStyle name="Normal 14_7-11 Budget Scenarios v1.2" xfId="1004"/>
    <cellStyle name="Normal 143" xfId="1005"/>
    <cellStyle name="Normal 144" xfId="1006"/>
    <cellStyle name="Normal 147" xfId="1007"/>
    <cellStyle name="Normal 148" xfId="1008"/>
    <cellStyle name="Normal 149" xfId="1009"/>
    <cellStyle name="Normal 15" xfId="1010"/>
    <cellStyle name="Normal 15 2" xfId="2218"/>
    <cellStyle name="Normal 150" xfId="1011"/>
    <cellStyle name="Normal 151" xfId="1012"/>
    <cellStyle name="Normal 152" xfId="1013"/>
    <cellStyle name="Normal 153" xfId="1014"/>
    <cellStyle name="Normal 154" xfId="1015"/>
    <cellStyle name="Normal 155" xfId="1016"/>
    <cellStyle name="Normal 156" xfId="1017"/>
    <cellStyle name="Normal 16" xfId="1018"/>
    <cellStyle name="Normal 16 2" xfId="1019"/>
    <cellStyle name="Normal 161" xfId="1020"/>
    <cellStyle name="Normal 162" xfId="1021"/>
    <cellStyle name="Normal 163" xfId="1022"/>
    <cellStyle name="Normal 164" xfId="1023"/>
    <cellStyle name="Normal 169" xfId="1024"/>
    <cellStyle name="Normal 17" xfId="1025"/>
    <cellStyle name="Normal 17 2" xfId="1026"/>
    <cellStyle name="Normal 17 2 2" xfId="2219"/>
    <cellStyle name="Normal 17 2 2 2" xfId="2220"/>
    <cellStyle name="Normal 17 2 3" xfId="2221"/>
    <cellStyle name="Normal 17 3" xfId="1027"/>
    <cellStyle name="Normal 17 3 2" xfId="2222"/>
    <cellStyle name="Normal 17 3 2 2" xfId="2223"/>
    <cellStyle name="Normal 17 3 3" xfId="2224"/>
    <cellStyle name="Normal 17 4" xfId="1028"/>
    <cellStyle name="Normal 17 4 2" xfId="2225"/>
    <cellStyle name="Normal 17 5" xfId="1029"/>
    <cellStyle name="Normal 170" xfId="1030"/>
    <cellStyle name="Normal 171" xfId="1031"/>
    <cellStyle name="Normal 172" xfId="1032"/>
    <cellStyle name="Normal 177" xfId="1033"/>
    <cellStyle name="Normal 178" xfId="1034"/>
    <cellStyle name="Normal 179" xfId="1035"/>
    <cellStyle name="Normal 18" xfId="1036"/>
    <cellStyle name="Normal 18 2" xfId="1037"/>
    <cellStyle name="Normal 180" xfId="1038"/>
    <cellStyle name="Normal 181" xfId="1039"/>
    <cellStyle name="Normal 182" xfId="1040"/>
    <cellStyle name="Normal 183" xfId="1041"/>
    <cellStyle name="Normal 184" xfId="1042"/>
    <cellStyle name="Normal 185" xfId="1043"/>
    <cellStyle name="Normal 186" xfId="1044"/>
    <cellStyle name="Normal 187" xfId="1045"/>
    <cellStyle name="Normal 188" xfId="1046"/>
    <cellStyle name="Normal 189" xfId="1047"/>
    <cellStyle name="Normal 19" xfId="1048"/>
    <cellStyle name="Normal 190" xfId="1049"/>
    <cellStyle name="Normal 192" xfId="1050"/>
    <cellStyle name="Normal 193" xfId="1051"/>
    <cellStyle name="Normal 196" xfId="1052"/>
    <cellStyle name="Normal 197" xfId="1053"/>
    <cellStyle name="Normal 198" xfId="1054"/>
    <cellStyle name="Normal 199" xfId="1055"/>
    <cellStyle name="Normal 2" xfId="53"/>
    <cellStyle name="Normal 2 10" xfId="1056"/>
    <cellStyle name="Normal 2 11" xfId="1057"/>
    <cellStyle name="Normal 2 12" xfId="1058"/>
    <cellStyle name="Normal 2 13" xfId="1059"/>
    <cellStyle name="Normal 2 14" xfId="1060"/>
    <cellStyle name="Normal 2 15" xfId="1061"/>
    <cellStyle name="Normal 2 16" xfId="1062"/>
    <cellStyle name="Normal 2 17" xfId="1063"/>
    <cellStyle name="Normal 2 17 2" xfId="1064"/>
    <cellStyle name="Normal 2 18" xfId="1065"/>
    <cellStyle name="Normal 2 19" xfId="1066"/>
    <cellStyle name="Normal 2 2" xfId="5"/>
    <cellStyle name="Normal 2 2 10" xfId="1067"/>
    <cellStyle name="Normal 2 2 11" xfId="1068"/>
    <cellStyle name="Normal 2 2 12" xfId="1069"/>
    <cellStyle name="Normal 2 2 13" xfId="1070"/>
    <cellStyle name="Normal 2 2 14" xfId="1071"/>
    <cellStyle name="Normal 2 2 15" xfId="1072"/>
    <cellStyle name="Normal 2 2 16" xfId="1073"/>
    <cellStyle name="Normal 2 2 17" xfId="1074"/>
    <cellStyle name="Normal 2 2 18" xfId="1075"/>
    <cellStyle name="Normal 2 2 19" xfId="1076"/>
    <cellStyle name="Normal 2 2 2" xfId="1077"/>
    <cellStyle name="Normal 2 2 2 10" xfId="1078"/>
    <cellStyle name="Normal 2 2 2 11" xfId="1079"/>
    <cellStyle name="Normal 2 2 2 12" xfId="1080"/>
    <cellStyle name="Normal 2 2 2 13" xfId="1081"/>
    <cellStyle name="Normal 2 2 2 14" xfId="1082"/>
    <cellStyle name="Normal 2 2 2 15" xfId="1083"/>
    <cellStyle name="Normal 2 2 2 16" xfId="1084"/>
    <cellStyle name="Normal 2 2 2 17" xfId="1085"/>
    <cellStyle name="Normal 2 2 2 18" xfId="1086"/>
    <cellStyle name="Normal 2 2 2 18 2" xfId="1087"/>
    <cellStyle name="Normal 2 2 2 19" xfId="1088"/>
    <cellStyle name="Normal 2 2 2 2" xfId="1089"/>
    <cellStyle name="Normal 2 2 2 2 10" xfId="1090"/>
    <cellStyle name="Normal 2 2 2 2 11" xfId="1091"/>
    <cellStyle name="Normal 2 2 2 2 12" xfId="1092"/>
    <cellStyle name="Normal 2 2 2 2 13" xfId="1093"/>
    <cellStyle name="Normal 2 2 2 2 14" xfId="1094"/>
    <cellStyle name="Normal 2 2 2 2 15" xfId="1095"/>
    <cellStyle name="Normal 2 2 2 2 16" xfId="1096"/>
    <cellStyle name="Normal 2 2 2 2 17" xfId="1097"/>
    <cellStyle name="Normal 2 2 2 2 18" xfId="1098"/>
    <cellStyle name="Normal 2 2 2 2 18 2" xfId="1099"/>
    <cellStyle name="Normal 2 2 2 2 19" xfId="1100"/>
    <cellStyle name="Normal 2 2 2 2 2" xfId="1101"/>
    <cellStyle name="Normal 2 2 2 2 2 10" xfId="1102"/>
    <cellStyle name="Normal 2 2 2 2 2 11" xfId="1103"/>
    <cellStyle name="Normal 2 2 2 2 2 12" xfId="1104"/>
    <cellStyle name="Normal 2 2 2 2 2 13" xfId="1105"/>
    <cellStyle name="Normal 2 2 2 2 2 14" xfId="1106"/>
    <cellStyle name="Normal 2 2 2 2 2 15" xfId="1107"/>
    <cellStyle name="Normal 2 2 2 2 2 16" xfId="1108"/>
    <cellStyle name="Normal 2 2 2 2 2 17" xfId="1109"/>
    <cellStyle name="Normal 2 2 2 2 2 17 2" xfId="1110"/>
    <cellStyle name="Normal 2 2 2 2 2 18" xfId="1111"/>
    <cellStyle name="Normal 2 2 2 2 2 19" xfId="1112"/>
    <cellStyle name="Normal 2 2 2 2 2 2" xfId="1113"/>
    <cellStyle name="Normal 2 2 2 2 2 2 10" xfId="1114"/>
    <cellStyle name="Normal 2 2 2 2 2 2 11" xfId="1115"/>
    <cellStyle name="Normal 2 2 2 2 2 2 12" xfId="1116"/>
    <cellStyle name="Normal 2 2 2 2 2 2 13" xfId="1117"/>
    <cellStyle name="Normal 2 2 2 2 2 2 14" xfId="1118"/>
    <cellStyle name="Normal 2 2 2 2 2 2 15" xfId="1119"/>
    <cellStyle name="Normal 2 2 2 2 2 2 16" xfId="1120"/>
    <cellStyle name="Normal 2 2 2 2 2 2 17" xfId="1121"/>
    <cellStyle name="Normal 2 2 2 2 2 2 17 2" xfId="1122"/>
    <cellStyle name="Normal 2 2 2 2 2 2 18" xfId="1123"/>
    <cellStyle name="Normal 2 2 2 2 2 2 19" xfId="1124"/>
    <cellStyle name="Normal 2 2 2 2 2 2 2" xfId="1125"/>
    <cellStyle name="Normal 2 2 2 2 2 2 2 10" xfId="1126"/>
    <cellStyle name="Normal 2 2 2 2 2 2 2 2" xfId="1127"/>
    <cellStyle name="Normal 2 2 2 2 2 2 2 2 10" xfId="1128"/>
    <cellStyle name="Normal 2 2 2 2 2 2 2 2 2" xfId="1129"/>
    <cellStyle name="Normal 2 2 2 2 2 2 2 2 2 2" xfId="1130"/>
    <cellStyle name="Normal 2 2 2 2 2 2 2 2 2 2 2" xfId="1131"/>
    <cellStyle name="Normal 2 2 2 2 2 2 2 2 2 2 2 2" xfId="1132"/>
    <cellStyle name="Normal 2 2 2 2 2 2 2 2 2 2 2 2 2" xfId="1133"/>
    <cellStyle name="Normal 2 2 2 2 2 2 2 2 2 2 2 2 2 2" xfId="1134"/>
    <cellStyle name="Normal 2 2 2 2 2 2 2 2 2 2 2 3" xfId="1135"/>
    <cellStyle name="Normal 2 2 2 2 2 2 2 2 2 2 3" xfId="1136"/>
    <cellStyle name="Normal 2 2 2 2 2 2 2 2 2 3" xfId="1137"/>
    <cellStyle name="Normal 2 2 2 2 2 2 2 2 2 4" xfId="1138"/>
    <cellStyle name="Normal 2 2 2 2 2 2 2 2 3" xfId="1139"/>
    <cellStyle name="Normal 2 2 2 2 2 2 2 2 4" xfId="1140"/>
    <cellStyle name="Normal 2 2 2 2 2 2 2 2 5" xfId="1141"/>
    <cellStyle name="Normal 2 2 2 2 2 2 2 2 6" xfId="1142"/>
    <cellStyle name="Normal 2 2 2 2 2 2 2 2 7" xfId="1143"/>
    <cellStyle name="Normal 2 2 2 2 2 2 2 2 8" xfId="1144"/>
    <cellStyle name="Normal 2 2 2 2 2 2 2 2 9" xfId="1145"/>
    <cellStyle name="Normal 2 2 2 2 2 2 2 3" xfId="1146"/>
    <cellStyle name="Normal 2 2 2 2 2 2 2 3 2" xfId="1147"/>
    <cellStyle name="Normal 2 2 2 2 2 2 2 4" xfId="1148"/>
    <cellStyle name="Normal 2 2 2 2 2 2 2 5" xfId="1149"/>
    <cellStyle name="Normal 2 2 2 2 2 2 2 6" xfId="1150"/>
    <cellStyle name="Normal 2 2 2 2 2 2 2 7" xfId="1151"/>
    <cellStyle name="Normal 2 2 2 2 2 2 2 8" xfId="1152"/>
    <cellStyle name="Normal 2 2 2 2 2 2 2 9" xfId="1153"/>
    <cellStyle name="Normal 2 2 2 2 2 2 20" xfId="1154"/>
    <cellStyle name="Normal 2 2 2 2 2 2 21" xfId="1155"/>
    <cellStyle name="Normal 2 2 2 2 2 2 22" xfId="1156"/>
    <cellStyle name="Normal 2 2 2 2 2 2 23" xfId="1157"/>
    <cellStyle name="Normal 2 2 2 2 2 2 24" xfId="1158"/>
    <cellStyle name="Normal 2 2 2 2 2 2 3" xfId="1159"/>
    <cellStyle name="Normal 2 2 2 2 2 2 4" xfId="1160"/>
    <cellStyle name="Normal 2 2 2 2 2 2 5" xfId="1161"/>
    <cellStyle name="Normal 2 2 2 2 2 2 6" xfId="1162"/>
    <cellStyle name="Normal 2 2 2 2 2 2 7" xfId="1163"/>
    <cellStyle name="Normal 2 2 2 2 2 2 8" xfId="1164"/>
    <cellStyle name="Normal 2 2 2 2 2 2 9" xfId="1165"/>
    <cellStyle name="Normal 2 2 2 2 2 20" xfId="1166"/>
    <cellStyle name="Normal 2 2 2 2 2 21" xfId="1167"/>
    <cellStyle name="Normal 2 2 2 2 2 22" xfId="1168"/>
    <cellStyle name="Normal 2 2 2 2 2 23" xfId="1169"/>
    <cellStyle name="Normal 2 2 2 2 2 24" xfId="1170"/>
    <cellStyle name="Normal 2 2 2 2 2 3" xfId="1171"/>
    <cellStyle name="Normal 2 2 2 2 2 3 2" xfId="1172"/>
    <cellStyle name="Normal 2 2 2 2 2 4" xfId="1173"/>
    <cellStyle name="Normal 2 2 2 2 2 5" xfId="1174"/>
    <cellStyle name="Normal 2 2 2 2 2 6" xfId="1175"/>
    <cellStyle name="Normal 2 2 2 2 2 7" xfId="1176"/>
    <cellStyle name="Normal 2 2 2 2 2 8" xfId="1177"/>
    <cellStyle name="Normal 2 2 2 2 2 9" xfId="1178"/>
    <cellStyle name="Normal 2 2 2 2 20" xfId="1179"/>
    <cellStyle name="Normal 2 2 2 2 21" xfId="1180"/>
    <cellStyle name="Normal 2 2 2 2 22" xfId="1181"/>
    <cellStyle name="Normal 2 2 2 2 23" xfId="1182"/>
    <cellStyle name="Normal 2 2 2 2 24" xfId="1183"/>
    <cellStyle name="Normal 2 2 2 2 25" xfId="1184"/>
    <cellStyle name="Normal 2 2 2 2 3" xfId="1185"/>
    <cellStyle name="Normal 2 2 2 2 4" xfId="1186"/>
    <cellStyle name="Normal 2 2 2 2 4 2" xfId="1187"/>
    <cellStyle name="Normal 2 2 2 2 5" xfId="1188"/>
    <cellStyle name="Normal 2 2 2 2 6" xfId="1189"/>
    <cellStyle name="Normal 2 2 2 2 7" xfId="1190"/>
    <cellStyle name="Normal 2 2 2 2 8" xfId="1191"/>
    <cellStyle name="Normal 2 2 2 2 9" xfId="1192"/>
    <cellStyle name="Normal 2 2 2 20" xfId="1193"/>
    <cellStyle name="Normal 2 2 2 21" xfId="1194"/>
    <cellStyle name="Normal 2 2 2 22" xfId="1195"/>
    <cellStyle name="Normal 2 2 2 23" xfId="1196"/>
    <cellStyle name="Normal 2 2 2 24" xfId="1197"/>
    <cellStyle name="Normal 2 2 2 25" xfId="1198"/>
    <cellStyle name="Normal 2 2 2 3" xfId="1199"/>
    <cellStyle name="Normal 2 2 2 3 2" xfId="1200"/>
    <cellStyle name="Normal 2 2 2 4" xfId="1201"/>
    <cellStyle name="Normal 2 2 2 4 2" xfId="1202"/>
    <cellStyle name="Normal 2 2 2 5" xfId="1203"/>
    <cellStyle name="Normal 2 2 2 6" xfId="1204"/>
    <cellStyle name="Normal 2 2 2 7" xfId="1205"/>
    <cellStyle name="Normal 2 2 2 8" xfId="1206"/>
    <cellStyle name="Normal 2 2 2 9" xfId="1207"/>
    <cellStyle name="Normal 2 2 20" xfId="1208"/>
    <cellStyle name="Normal 2 2 20 2" xfId="1209"/>
    <cellStyle name="Normal 2 2 21" xfId="1210"/>
    <cellStyle name="Normal 2 2 22" xfId="1211"/>
    <cellStyle name="Normal 2 2 23" xfId="1212"/>
    <cellStyle name="Normal 2 2 24" xfId="1213"/>
    <cellStyle name="Normal 2 2 25" xfId="1214"/>
    <cellStyle name="Normal 2 2 26" xfId="1215"/>
    <cellStyle name="Normal 2 2 27" xfId="1216"/>
    <cellStyle name="Normal 2 2 3" xfId="1217"/>
    <cellStyle name="Normal 2 2 3 2" xfId="1218"/>
    <cellStyle name="Normal 2 2 4" xfId="1219"/>
    <cellStyle name="Normal 2 2 5" xfId="1220"/>
    <cellStyle name="Normal 2 2 6" xfId="1221"/>
    <cellStyle name="Normal 2 2 6 2" xfId="1222"/>
    <cellStyle name="Normal 2 2 7" xfId="1223"/>
    <cellStyle name="Normal 2 2 8" xfId="1224"/>
    <cellStyle name="Normal 2 2 9" xfId="1225"/>
    <cellStyle name="Normal 2 2_Cost Comparison_v96" xfId="1226"/>
    <cellStyle name="Normal 2 20" xfId="1227"/>
    <cellStyle name="Normal 2 21" xfId="1228"/>
    <cellStyle name="Normal 2 21 2" xfId="1229"/>
    <cellStyle name="Normal 2 22" xfId="1230"/>
    <cellStyle name="Normal 2 23" xfId="1231"/>
    <cellStyle name="Normal 2 24" xfId="1232"/>
    <cellStyle name="Normal 2 25" xfId="1233"/>
    <cellStyle name="Normal 2 26" xfId="1234"/>
    <cellStyle name="Normal 2 27" xfId="1235"/>
    <cellStyle name="Normal 2 28" xfId="1236"/>
    <cellStyle name="Normal 2 29" xfId="1237"/>
    <cellStyle name="Normal 2 3" xfId="1238"/>
    <cellStyle name="Normal 2 3 2" xfId="1239"/>
    <cellStyle name="Normal 2 3 2 2" xfId="1240"/>
    <cellStyle name="Normal 2 3 3" xfId="1241"/>
    <cellStyle name="Normal 2 3_29(d) - Gas extensions -tariffs" xfId="2226"/>
    <cellStyle name="Normal 2 30" xfId="1242"/>
    <cellStyle name="Normal 2 31" xfId="1243"/>
    <cellStyle name="Normal 2 32" xfId="1244"/>
    <cellStyle name="Normal 2 33" xfId="1245"/>
    <cellStyle name="Normal 2 34" xfId="1246"/>
    <cellStyle name="Normal 2 35" xfId="1247"/>
    <cellStyle name="Normal 2 35 2" xfId="1248"/>
    <cellStyle name="Normal 2 36" xfId="1249"/>
    <cellStyle name="Normal 2 37" xfId="1250"/>
    <cellStyle name="Normal 2 38" xfId="1251"/>
    <cellStyle name="Normal 2 39" xfId="1252"/>
    <cellStyle name="Normal 2 4" xfId="1253"/>
    <cellStyle name="Normal 2 4 2" xfId="1254"/>
    <cellStyle name="Normal 2 4 3" xfId="2227"/>
    <cellStyle name="Normal 2 40" xfId="1255"/>
    <cellStyle name="Normal 2 41" xfId="1256"/>
    <cellStyle name="Normal 2 42" xfId="1257"/>
    <cellStyle name="Normal 2 43" xfId="1258"/>
    <cellStyle name="Normal 2 44" xfId="1259"/>
    <cellStyle name="Normal 2 45" xfId="1260"/>
    <cellStyle name="Normal 2 46" xfId="1261"/>
    <cellStyle name="Normal 2 47" xfId="1262"/>
    <cellStyle name="Normal 2 48" xfId="1263"/>
    <cellStyle name="Normal 2 49" xfId="1264"/>
    <cellStyle name="Normal 2 5" xfId="1265"/>
    <cellStyle name="Normal 2 50" xfId="1266"/>
    <cellStyle name="Normal 2 51" xfId="1267"/>
    <cellStyle name="Normal 2 52" xfId="1268"/>
    <cellStyle name="Normal 2 53" xfId="1269"/>
    <cellStyle name="Normal 2 54" xfId="1270"/>
    <cellStyle name="Normal 2 55" xfId="1271"/>
    <cellStyle name="Normal 2 56" xfId="1272"/>
    <cellStyle name="Normal 2 57" xfId="1273"/>
    <cellStyle name="Normal 2 58" xfId="1274"/>
    <cellStyle name="Normal 2 59" xfId="1275"/>
    <cellStyle name="Normal 2 6" xfId="1276"/>
    <cellStyle name="Normal 2 60" xfId="1277"/>
    <cellStyle name="Normal 2 61" xfId="1278"/>
    <cellStyle name="Normal 2 62" xfId="1279"/>
    <cellStyle name="Normal 2 63" xfId="1280"/>
    <cellStyle name="Normal 2 64" xfId="1281"/>
    <cellStyle name="Normal 2 65" xfId="1282"/>
    <cellStyle name="Normal 2 66" xfId="1283"/>
    <cellStyle name="Normal 2 67" xfId="1284"/>
    <cellStyle name="Normal 2 68" xfId="1285"/>
    <cellStyle name="Normal 2 7" xfId="1286"/>
    <cellStyle name="Normal 2 8" xfId="1287"/>
    <cellStyle name="Normal 2 9" xfId="1288"/>
    <cellStyle name="Normal 2_29(d) - Gas extensions -tariffs" xfId="2228"/>
    <cellStyle name="Normal 20" xfId="1289"/>
    <cellStyle name="Normal 20 2" xfId="1290"/>
    <cellStyle name="Normal 200" xfId="1291"/>
    <cellStyle name="Normal 201" xfId="1292"/>
    <cellStyle name="Normal 202" xfId="1293"/>
    <cellStyle name="Normal 203" xfId="1294"/>
    <cellStyle name="Normal 204" xfId="1295"/>
    <cellStyle name="Normal 205" xfId="1296"/>
    <cellStyle name="Normal 207" xfId="1297"/>
    <cellStyle name="Normal 208" xfId="1298"/>
    <cellStyle name="Normal 209" xfId="1299"/>
    <cellStyle name="Normal 21" xfId="1300"/>
    <cellStyle name="Normal 21 10" xfId="1301"/>
    <cellStyle name="Normal 21 11" xfId="1302"/>
    <cellStyle name="Normal 21 2" xfId="1303"/>
    <cellStyle name="Normal 21 2 2" xfId="1304"/>
    <cellStyle name="Normal 21 2 2 2" xfId="1305"/>
    <cellStyle name="Normal 21 2 2 2 2" xfId="1306"/>
    <cellStyle name="Normal 21 2 2 2 2 2" xfId="1307"/>
    <cellStyle name="Normal 21 2 2 3" xfId="1308"/>
    <cellStyle name="Normal 21 2 3" xfId="1309"/>
    <cellStyle name="Normal 21 2 4" xfId="1310"/>
    <cellStyle name="Normal 21 2 5" xfId="1311"/>
    <cellStyle name="Normal 21 2 6" xfId="1312"/>
    <cellStyle name="Normal 21 2 7" xfId="1313"/>
    <cellStyle name="Normal 21 2 8" xfId="1314"/>
    <cellStyle name="Normal 21 2 9" xfId="1315"/>
    <cellStyle name="Normal 21 3" xfId="1316"/>
    <cellStyle name="Normal 21 4" xfId="1317"/>
    <cellStyle name="Normal 21 4 2" xfId="1318"/>
    <cellStyle name="Normal 21 5" xfId="1319"/>
    <cellStyle name="Normal 21 6" xfId="1320"/>
    <cellStyle name="Normal 21 7" xfId="1321"/>
    <cellStyle name="Normal 21 8" xfId="1322"/>
    <cellStyle name="Normal 21 9" xfId="1323"/>
    <cellStyle name="Normal 210" xfId="1324"/>
    <cellStyle name="Normal 211" xfId="1325"/>
    <cellStyle name="Normal 212" xfId="1326"/>
    <cellStyle name="Normal 213" xfId="1327"/>
    <cellStyle name="Normal 214" xfId="1328"/>
    <cellStyle name="Normal 215" xfId="1329"/>
    <cellStyle name="Normal 216" xfId="1330"/>
    <cellStyle name="Normal 22" xfId="1331"/>
    <cellStyle name="Normal 23" xfId="1332"/>
    <cellStyle name="Normal 23 10" xfId="1333"/>
    <cellStyle name="Normal 23 11" xfId="1334"/>
    <cellStyle name="Normal 23 12" xfId="1335"/>
    <cellStyle name="Normal 23 13" xfId="1336"/>
    <cellStyle name="Normal 23 14" xfId="1337"/>
    <cellStyle name="Normal 23 15" xfId="1338"/>
    <cellStyle name="Normal 23 16" xfId="1339"/>
    <cellStyle name="Normal 23 2" xfId="1340"/>
    <cellStyle name="Normal 23 3" xfId="1341"/>
    <cellStyle name="Normal 23 4" xfId="1342"/>
    <cellStyle name="Normal 23 5" xfId="1343"/>
    <cellStyle name="Normal 23 6" xfId="1344"/>
    <cellStyle name="Normal 23 7" xfId="1345"/>
    <cellStyle name="Normal 23 8" xfId="1346"/>
    <cellStyle name="Normal 23 9" xfId="1347"/>
    <cellStyle name="Normal 24" xfId="1348"/>
    <cellStyle name="Normal 24 2" xfId="2229"/>
    <cellStyle name="Normal 25" xfId="1349"/>
    <cellStyle name="Normal 25 2" xfId="1350"/>
    <cellStyle name="Normal 25 3" xfId="1351"/>
    <cellStyle name="Normal 25 4" xfId="1352"/>
    <cellStyle name="Normal 25 5" xfId="1353"/>
    <cellStyle name="Normal 25 6" xfId="1354"/>
    <cellStyle name="Normal 25 7" xfId="1355"/>
    <cellStyle name="Normal 25 8" xfId="1356"/>
    <cellStyle name="Normal 26" xfId="1357"/>
    <cellStyle name="Normal 26 2" xfId="1358"/>
    <cellStyle name="Normal 27" xfId="1359"/>
    <cellStyle name="Normal 27 2" xfId="1360"/>
    <cellStyle name="Normal 27 3" xfId="1361"/>
    <cellStyle name="Normal 27 4" xfId="1362"/>
    <cellStyle name="Normal 27 5" xfId="1363"/>
    <cellStyle name="Normal 27 6" xfId="1364"/>
    <cellStyle name="Normal 27 7" xfId="1365"/>
    <cellStyle name="Normal 27 8" xfId="1366"/>
    <cellStyle name="Normal 28" xfId="1367"/>
    <cellStyle name="Normal 28 2" xfId="1368"/>
    <cellStyle name="Normal 28 3" xfId="1369"/>
    <cellStyle name="Normal 28 4" xfId="1370"/>
    <cellStyle name="Normal 28 5" xfId="1371"/>
    <cellStyle name="Normal 28 6" xfId="1372"/>
    <cellStyle name="Normal 28 7" xfId="1373"/>
    <cellStyle name="Normal 28 8" xfId="1374"/>
    <cellStyle name="Normal 28 9" xfId="2123"/>
    <cellStyle name="Normal 29" xfId="1375"/>
    <cellStyle name="Normal 29 2" xfId="1376"/>
    <cellStyle name="Normal 29 3" xfId="1377"/>
    <cellStyle name="Normal 29 4" xfId="1378"/>
    <cellStyle name="Normal 29 5" xfId="1379"/>
    <cellStyle name="Normal 29 6" xfId="1380"/>
    <cellStyle name="Normal 29 7" xfId="1381"/>
    <cellStyle name="Normal 29 8" xfId="1382"/>
    <cellStyle name="Normal 3" xfId="51"/>
    <cellStyle name="Normal 3 10" xfId="1383"/>
    <cellStyle name="Normal 3 11" xfId="1384"/>
    <cellStyle name="Normal 3 12" xfId="1385"/>
    <cellStyle name="Normal 3 13" xfId="1386"/>
    <cellStyle name="Normal 3 14" xfId="1387"/>
    <cellStyle name="Normal 3 15" xfId="1388"/>
    <cellStyle name="Normal 3 16" xfId="1389"/>
    <cellStyle name="Normal 3 17" xfId="1390"/>
    <cellStyle name="Normal 3 18" xfId="1391"/>
    <cellStyle name="Normal 3 19" xfId="1392"/>
    <cellStyle name="Normal 3 2" xfId="1393"/>
    <cellStyle name="Normal 3 2 10" xfId="1394"/>
    <cellStyle name="Normal 3 2 11" xfId="1395"/>
    <cellStyle name="Normal 3 2 12" xfId="1396"/>
    <cellStyle name="Normal 3 2 13" xfId="1397"/>
    <cellStyle name="Normal 3 2 2" xfId="1398"/>
    <cellStyle name="Normal 3 2 2 10" xfId="1399"/>
    <cellStyle name="Normal 3 2 2 11" xfId="1400"/>
    <cellStyle name="Normal 3 2 2 12" xfId="1401"/>
    <cellStyle name="Normal 3 2 2 13" xfId="1402"/>
    <cellStyle name="Normal 3 2 2 2" xfId="1403"/>
    <cellStyle name="Normal 3 2 2 2 10" xfId="1404"/>
    <cellStyle name="Normal 3 2 2 2 2" xfId="1405"/>
    <cellStyle name="Normal 3 2 2 2 2 10" xfId="1406"/>
    <cellStyle name="Normal 3 2 2 2 2 2" xfId="1407"/>
    <cellStyle name="Normal 3 2 2 2 2 2 2" xfId="1408"/>
    <cellStyle name="Normal 3 2 2 2 2 2 2 2" xfId="1409"/>
    <cellStyle name="Normal 3 2 2 2 2 2 2 2 2" xfId="1410"/>
    <cellStyle name="Normal 3 2 2 2 2 2 2 2 2 2" xfId="1411"/>
    <cellStyle name="Normal 3 2 2 2 2 2 2 2 2 2 2" xfId="1412"/>
    <cellStyle name="Normal 3 2 2 2 2 2 2 2 3" xfId="1413"/>
    <cellStyle name="Normal 3 2 2 2 2 2 2 3" xfId="1414"/>
    <cellStyle name="Normal 3 2 2 2 2 2 3" xfId="1415"/>
    <cellStyle name="Normal 3 2 2 2 2 2 4" xfId="1416"/>
    <cellStyle name="Normal 3 2 2 2 2 3" xfId="1417"/>
    <cellStyle name="Normal 3 2 2 2 2 4" xfId="1418"/>
    <cellStyle name="Normal 3 2 2 2 2 5" xfId="1419"/>
    <cellStyle name="Normal 3 2 2 2 2 6" xfId="1420"/>
    <cellStyle name="Normal 3 2 2 2 2 7" xfId="1421"/>
    <cellStyle name="Normal 3 2 2 2 2 8" xfId="1422"/>
    <cellStyle name="Normal 3 2 2 2 2 9" xfId="1423"/>
    <cellStyle name="Normal 3 2 2 2 3" xfId="1424"/>
    <cellStyle name="Normal 3 2 2 2 3 2" xfId="1425"/>
    <cellStyle name="Normal 3 2 2 2 4" xfId="1426"/>
    <cellStyle name="Normal 3 2 2 2 5" xfId="1427"/>
    <cellStyle name="Normal 3 2 2 2 6" xfId="1428"/>
    <cellStyle name="Normal 3 2 2 2 7" xfId="1429"/>
    <cellStyle name="Normal 3 2 2 2 8" xfId="1430"/>
    <cellStyle name="Normal 3 2 2 2 9" xfId="1431"/>
    <cellStyle name="Normal 3 2 2 3" xfId="1432"/>
    <cellStyle name="Normal 3 2 2 4" xfId="1433"/>
    <cellStyle name="Normal 3 2 2 5" xfId="1434"/>
    <cellStyle name="Normal 3 2 2 6" xfId="1435"/>
    <cellStyle name="Normal 3 2 2 6 2" xfId="1436"/>
    <cellStyle name="Normal 3 2 2 7" xfId="1437"/>
    <cellStyle name="Normal 3 2 2 8" xfId="1438"/>
    <cellStyle name="Normal 3 2 2 9" xfId="1439"/>
    <cellStyle name="Normal 3 2 3" xfId="1440"/>
    <cellStyle name="Normal 3 2 3 2" xfId="1441"/>
    <cellStyle name="Normal 3 2 4" xfId="1442"/>
    <cellStyle name="Normal 3 2 5" xfId="1443"/>
    <cellStyle name="Normal 3 2 6" xfId="1444"/>
    <cellStyle name="Normal 3 2 6 2" xfId="1445"/>
    <cellStyle name="Normal 3 2 7" xfId="1446"/>
    <cellStyle name="Normal 3 2 8" xfId="1447"/>
    <cellStyle name="Normal 3 2 9" xfId="1448"/>
    <cellStyle name="Normal 3 20" xfId="1449"/>
    <cellStyle name="Normal 3 21" xfId="1450"/>
    <cellStyle name="Normal 3 22" xfId="1451"/>
    <cellStyle name="Normal 3 23" xfId="1452"/>
    <cellStyle name="Normal 3 24" xfId="1453"/>
    <cellStyle name="Normal 3 25" xfId="1454"/>
    <cellStyle name="Normal 3 25 2" xfId="1455"/>
    <cellStyle name="Normal 3 26" xfId="1456"/>
    <cellStyle name="Normal 3 26 2" xfId="1457"/>
    <cellStyle name="Normal 3 27" xfId="1458"/>
    <cellStyle name="Normal 3 28" xfId="1459"/>
    <cellStyle name="Normal 3 3" xfId="1460"/>
    <cellStyle name="Normal 3 3 2" xfId="1461"/>
    <cellStyle name="Normal 3 4" xfId="1462"/>
    <cellStyle name="Normal 3 5" xfId="1463"/>
    <cellStyle name="Normal 3 5 2" xfId="2230"/>
    <cellStyle name="Normal 3 6" xfId="1464"/>
    <cellStyle name="Normal 3 7" xfId="1465"/>
    <cellStyle name="Normal 3 8" xfId="1466"/>
    <cellStyle name="Normal 3 9" xfId="1467"/>
    <cellStyle name="Normal 3_29(d) - Gas extensions -tariffs" xfId="2231"/>
    <cellStyle name="Normal 30" xfId="1468"/>
    <cellStyle name="Normal 30 2" xfId="1469"/>
    <cellStyle name="Normal 31" xfId="1470"/>
    <cellStyle name="Normal 31 2" xfId="1471"/>
    <cellStyle name="Normal 32" xfId="1472"/>
    <cellStyle name="Normal 32 2" xfId="1473"/>
    <cellStyle name="Normal 33" xfId="1474"/>
    <cellStyle name="Normal 33 2" xfId="1475"/>
    <cellStyle name="Normal 34" xfId="1476"/>
    <cellStyle name="Normal 34 2" xfId="1477"/>
    <cellStyle name="Normal 35" xfId="1478"/>
    <cellStyle name="Normal 35 2" xfId="1479"/>
    <cellStyle name="Normal 35 3" xfId="1480"/>
    <cellStyle name="Normal 36" xfId="1481"/>
    <cellStyle name="Normal 37" xfId="1482"/>
    <cellStyle name="Normal 38" xfId="1483"/>
    <cellStyle name="Normal 38 10" xfId="1484"/>
    <cellStyle name="Normal 38 11" xfId="1485"/>
    <cellStyle name="Normal 38 12" xfId="1486"/>
    <cellStyle name="Normal 38 13" xfId="1487"/>
    <cellStyle name="Normal 38 14" xfId="1488"/>
    <cellStyle name="Normal 38 15" xfId="1489"/>
    <cellStyle name="Normal 38 16" xfId="1490"/>
    <cellStyle name="Normal 38 17" xfId="1491"/>
    <cellStyle name="Normal 38 18" xfId="1492"/>
    <cellStyle name="Normal 38 19" xfId="1493"/>
    <cellStyle name="Normal 38 2" xfId="1494"/>
    <cellStyle name="Normal 38 20" xfId="1495"/>
    <cellStyle name="Normal 38 21" xfId="1496"/>
    <cellStyle name="Normal 38 22" xfId="1497"/>
    <cellStyle name="Normal 38 3" xfId="1498"/>
    <cellStyle name="Normal 38 4" xfId="1499"/>
    <cellStyle name="Normal 38 5" xfId="1500"/>
    <cellStyle name="Normal 38 6" xfId="1501"/>
    <cellStyle name="Normal 38 7" xfId="1502"/>
    <cellStyle name="Normal 38 8" xfId="1503"/>
    <cellStyle name="Normal 38 9" xfId="1504"/>
    <cellStyle name="Normal 38_29(d) - Gas extensions -tariffs" xfId="2232"/>
    <cellStyle name="Normal 39" xfId="1505"/>
    <cellStyle name="Normal 4" xfId="52"/>
    <cellStyle name="Normal 4 10" xfId="1506"/>
    <cellStyle name="Normal 4 11" xfId="1507"/>
    <cellStyle name="Normal 4 12" xfId="1508"/>
    <cellStyle name="Normal 4 13" xfId="1509"/>
    <cellStyle name="Normal 4 14" xfId="1510"/>
    <cellStyle name="Normal 4 15" xfId="1511"/>
    <cellStyle name="Normal 4 2" xfId="1512"/>
    <cellStyle name="Normal 4 2 2" xfId="1513"/>
    <cellStyle name="Normal 4 2 2 2" xfId="1514"/>
    <cellStyle name="Normal 4 2 2 2 2" xfId="2233"/>
    <cellStyle name="Normal 4 2 2 3" xfId="2234"/>
    <cellStyle name="Normal 4 2 3" xfId="1515"/>
    <cellStyle name="Normal 4 2 3 2" xfId="2235"/>
    <cellStyle name="Normal 4 2 3 2 2" xfId="2236"/>
    <cellStyle name="Normal 4 2 3 3" xfId="2237"/>
    <cellStyle name="Normal 4 2 4" xfId="1516"/>
    <cellStyle name="Normal 4 2 5" xfId="1517"/>
    <cellStyle name="Normal 4 3" xfId="1518"/>
    <cellStyle name="Normal 4 3 2" xfId="2238"/>
    <cellStyle name="Normal 4 3 2 2" xfId="2239"/>
    <cellStyle name="Normal 4 3 3" xfId="2240"/>
    <cellStyle name="Normal 4 4" xfId="1519"/>
    <cellStyle name="Normal 4 5" xfId="1520"/>
    <cellStyle name="Normal 4 6" xfId="1521"/>
    <cellStyle name="Normal 4 7" xfId="1522"/>
    <cellStyle name="Normal 4 8" xfId="1523"/>
    <cellStyle name="Normal 4 9" xfId="1524"/>
    <cellStyle name="Normal 4_29(d) - Gas extensions -tariffs" xfId="2241"/>
    <cellStyle name="Normal 40" xfId="1525"/>
    <cellStyle name="Normal 40 2" xfId="1526"/>
    <cellStyle name="Normal 40_29(d) - Gas extensions -tariffs" xfId="2242"/>
    <cellStyle name="Normal 41" xfId="1527"/>
    <cellStyle name="Normal 42" xfId="1528"/>
    <cellStyle name="Normal 43" xfId="1529"/>
    <cellStyle name="Normal 43 2" xfId="1530"/>
    <cellStyle name="Normal 44" xfId="1531"/>
    <cellStyle name="Normal 45" xfId="1532"/>
    <cellStyle name="Normal 45 2" xfId="1533"/>
    <cellStyle name="Normal 46" xfId="1534"/>
    <cellStyle name="Normal 46 2" xfId="1535"/>
    <cellStyle name="Normal 47" xfId="1536"/>
    <cellStyle name="Normal 47 2" xfId="1537"/>
    <cellStyle name="Normal 48" xfId="1538"/>
    <cellStyle name="Normal 49" xfId="1539"/>
    <cellStyle name="Normal 49 2" xfId="1540"/>
    <cellStyle name="Normal 5" xfId="89"/>
    <cellStyle name="Normal 5 10" xfId="1541"/>
    <cellStyle name="Normal 5 11" xfId="1542"/>
    <cellStyle name="Normal 5 12" xfId="1543"/>
    <cellStyle name="Normal 5 13" xfId="1544"/>
    <cellStyle name="Normal 5 14" xfId="1545"/>
    <cellStyle name="Normal 5 15" xfId="1546"/>
    <cellStyle name="Normal 5 16" xfId="1547"/>
    <cellStyle name="Normal 5 17" xfId="1548"/>
    <cellStyle name="Normal 5 18" xfId="1549"/>
    <cellStyle name="Normal 5 19" xfId="1550"/>
    <cellStyle name="Normal 5 2" xfId="1551"/>
    <cellStyle name="Normal 5 2 10" xfId="1552"/>
    <cellStyle name="Normal 5 2 11" xfId="1553"/>
    <cellStyle name="Normal 5 2 12" xfId="1554"/>
    <cellStyle name="Normal 5 2 13" xfId="1555"/>
    <cellStyle name="Normal 5 2 14" xfId="1556"/>
    <cellStyle name="Normal 5 2 15" xfId="1557"/>
    <cellStyle name="Normal 5 2 16" xfId="1558"/>
    <cellStyle name="Normal 5 2 17" xfId="1559"/>
    <cellStyle name="Normal 5 2 18" xfId="1560"/>
    <cellStyle name="Normal 5 2 19" xfId="1561"/>
    <cellStyle name="Normal 5 2 2" xfId="1562"/>
    <cellStyle name="Normal 5 2 2 10" xfId="1563"/>
    <cellStyle name="Normal 5 2 2 11" xfId="1564"/>
    <cellStyle name="Normal 5 2 2 12" xfId="1565"/>
    <cellStyle name="Normal 5 2 2 13" xfId="1566"/>
    <cellStyle name="Normal 5 2 2 14" xfId="1567"/>
    <cellStyle name="Normal 5 2 2 15" xfId="1568"/>
    <cellStyle name="Normal 5 2 2 16" xfId="1569"/>
    <cellStyle name="Normal 5 2 2 17" xfId="1570"/>
    <cellStyle name="Normal 5 2 2 18" xfId="1571"/>
    <cellStyle name="Normal 5 2 2 19" xfId="1572"/>
    <cellStyle name="Normal 5 2 2 2" xfId="1573"/>
    <cellStyle name="Normal 5 2 2 2 10" xfId="1574"/>
    <cellStyle name="Normal 5 2 2 2 11" xfId="1575"/>
    <cellStyle name="Normal 5 2 2 2 12" xfId="1576"/>
    <cellStyle name="Normal 5 2 2 2 13" xfId="1577"/>
    <cellStyle name="Normal 5 2 2 2 14" xfId="1578"/>
    <cellStyle name="Normal 5 2 2 2 15" xfId="1579"/>
    <cellStyle name="Normal 5 2 2 2 16" xfId="1580"/>
    <cellStyle name="Normal 5 2 2 2 17" xfId="1581"/>
    <cellStyle name="Normal 5 2 2 2 18" xfId="1582"/>
    <cellStyle name="Normal 5 2 2 2 19" xfId="1583"/>
    <cellStyle name="Normal 5 2 2 2 2" xfId="1584"/>
    <cellStyle name="Normal 5 2 2 2 2 10" xfId="1585"/>
    <cellStyle name="Normal 5 2 2 2 2 11" xfId="1586"/>
    <cellStyle name="Normal 5 2 2 2 2 12" xfId="1587"/>
    <cellStyle name="Normal 5 2 2 2 2 13" xfId="1588"/>
    <cellStyle name="Normal 5 2 2 2 2 14" xfId="1589"/>
    <cellStyle name="Normal 5 2 2 2 2 15" xfId="1590"/>
    <cellStyle name="Normal 5 2 2 2 2 16" xfId="1591"/>
    <cellStyle name="Normal 5 2 2 2 2 2" xfId="1592"/>
    <cellStyle name="Normal 5 2 2 2 2 2 10" xfId="1593"/>
    <cellStyle name="Normal 5 2 2 2 2 2 11" xfId="1594"/>
    <cellStyle name="Normal 5 2 2 2 2 2 12" xfId="1595"/>
    <cellStyle name="Normal 5 2 2 2 2 2 13" xfId="1596"/>
    <cellStyle name="Normal 5 2 2 2 2 2 14" xfId="1597"/>
    <cellStyle name="Normal 5 2 2 2 2 2 15" xfId="1598"/>
    <cellStyle name="Normal 5 2 2 2 2 2 16" xfId="1599"/>
    <cellStyle name="Normal 5 2 2 2 2 2 2" xfId="1600"/>
    <cellStyle name="Normal 5 2 2 2 2 2 2 2" xfId="1601"/>
    <cellStyle name="Normal 5 2 2 2 2 2 3" xfId="1602"/>
    <cellStyle name="Normal 5 2 2 2 2 2 4" xfId="1603"/>
    <cellStyle name="Normal 5 2 2 2 2 2 5" xfId="1604"/>
    <cellStyle name="Normal 5 2 2 2 2 2 6" xfId="1605"/>
    <cellStyle name="Normal 5 2 2 2 2 2 7" xfId="1606"/>
    <cellStyle name="Normal 5 2 2 2 2 2 8" xfId="1607"/>
    <cellStyle name="Normal 5 2 2 2 2 2 9" xfId="1608"/>
    <cellStyle name="Normal 5 2 2 2 2 3" xfId="1609"/>
    <cellStyle name="Normal 5 2 2 2 2 3 2" xfId="1610"/>
    <cellStyle name="Normal 5 2 2 2 2 4" xfId="1611"/>
    <cellStyle name="Normal 5 2 2 2 2 5" xfId="1612"/>
    <cellStyle name="Normal 5 2 2 2 2 6" xfId="1613"/>
    <cellStyle name="Normal 5 2 2 2 2 7" xfId="1614"/>
    <cellStyle name="Normal 5 2 2 2 2 8" xfId="1615"/>
    <cellStyle name="Normal 5 2 2 2 2 9" xfId="1616"/>
    <cellStyle name="Normal 5 2 2 2 3" xfId="1617"/>
    <cellStyle name="Normal 5 2 2 2 4" xfId="1618"/>
    <cellStyle name="Normal 5 2 2 2 5" xfId="1619"/>
    <cellStyle name="Normal 5 2 2 2 6" xfId="1620"/>
    <cellStyle name="Normal 5 2 2 2 6 2" xfId="1621"/>
    <cellStyle name="Normal 5 2 2 2 7" xfId="1622"/>
    <cellStyle name="Normal 5 2 2 2 8" xfId="1623"/>
    <cellStyle name="Normal 5 2 2 2 9" xfId="1624"/>
    <cellStyle name="Normal 5 2 2 3" xfId="1625"/>
    <cellStyle name="Normal 5 2 2 3 2" xfId="1626"/>
    <cellStyle name="Normal 5 2 2 4" xfId="1627"/>
    <cellStyle name="Normal 5 2 2 5" xfId="1628"/>
    <cellStyle name="Normal 5 2 2 6" xfId="1629"/>
    <cellStyle name="Normal 5 2 2 6 2" xfId="1630"/>
    <cellStyle name="Normal 5 2 2 7" xfId="1631"/>
    <cellStyle name="Normal 5 2 2 8" xfId="1632"/>
    <cellStyle name="Normal 5 2 2 9" xfId="1633"/>
    <cellStyle name="Normal 5 2 3" xfId="1634"/>
    <cellStyle name="Normal 5 2 3 2" xfId="1635"/>
    <cellStyle name="Normal 5 2 4" xfId="1636"/>
    <cellStyle name="Normal 5 2 5" xfId="1637"/>
    <cellStyle name="Normal 5 2 6" xfId="1638"/>
    <cellStyle name="Normal 5 2 6 2" xfId="1639"/>
    <cellStyle name="Normal 5 2 7" xfId="1640"/>
    <cellStyle name="Normal 5 2 8" xfId="1641"/>
    <cellStyle name="Normal 5 2 9" xfId="1642"/>
    <cellStyle name="Normal 5 20" xfId="1643"/>
    <cellStyle name="Normal 5 21" xfId="1644"/>
    <cellStyle name="Normal 5 22" xfId="1645"/>
    <cellStyle name="Normal 5 3" xfId="1646"/>
    <cellStyle name="Normal 5 4" xfId="1647"/>
    <cellStyle name="Normal 5 5" xfId="1648"/>
    <cellStyle name="Normal 5 6" xfId="1649"/>
    <cellStyle name="Normal 5 7" xfId="1650"/>
    <cellStyle name="Normal 5 8" xfId="1651"/>
    <cellStyle name="Normal 5 9" xfId="1652"/>
    <cellStyle name="Normal 5_7-11 Budget Scenarios v1.2" xfId="1653"/>
    <cellStyle name="Normal 50" xfId="1654"/>
    <cellStyle name="Normal 50 2" xfId="1655"/>
    <cellStyle name="Normal 51" xfId="1656"/>
    <cellStyle name="Normal 51 2" xfId="1657"/>
    <cellStyle name="Normal 52" xfId="1658"/>
    <cellStyle name="Normal 52 2" xfId="1659"/>
    <cellStyle name="Normal 53" xfId="1660"/>
    <cellStyle name="Normal 53 2" xfId="1661"/>
    <cellStyle name="Normal 54" xfId="1662"/>
    <cellStyle name="Normal 54 2" xfId="1663"/>
    <cellStyle name="Normal 55" xfId="1664"/>
    <cellStyle name="Normal 55 2" xfId="1665"/>
    <cellStyle name="Normal 56" xfId="1666"/>
    <cellStyle name="Normal 56 2" xfId="1667"/>
    <cellStyle name="Normal 57" xfId="1668"/>
    <cellStyle name="Normal 57 2" xfId="1669"/>
    <cellStyle name="Normal 58" xfId="1670"/>
    <cellStyle name="Normal 58 2" xfId="1671"/>
    <cellStyle name="Normal 59" xfId="1672"/>
    <cellStyle name="Normal 59 2" xfId="1673"/>
    <cellStyle name="Normal 6" xfId="62"/>
    <cellStyle name="Normal 6 10" xfId="1674"/>
    <cellStyle name="Normal 6 11" xfId="1675"/>
    <cellStyle name="Normal 6 2" xfId="1676"/>
    <cellStyle name="Normal 6 3" xfId="1677"/>
    <cellStyle name="Normal 6 4" xfId="1678"/>
    <cellStyle name="Normal 6 5" xfId="1679"/>
    <cellStyle name="Normal 6 6" xfId="1680"/>
    <cellStyle name="Normal 6 7" xfId="1681"/>
    <cellStyle name="Normal 6 8" xfId="1682"/>
    <cellStyle name="Normal 6 9" xfId="1683"/>
    <cellStyle name="Normal 6_7-11 Budget Scenarios v1.2" xfId="1684"/>
    <cellStyle name="Normal 60" xfId="1685"/>
    <cellStyle name="Normal 60 2" xfId="1686"/>
    <cellStyle name="Normal 61" xfId="1687"/>
    <cellStyle name="Normal 61 2" xfId="1688"/>
    <cellStyle name="Normal 62" xfId="1689"/>
    <cellStyle name="Normal 63" xfId="1690"/>
    <cellStyle name="Normal 63 2" xfId="1691"/>
    <cellStyle name="Normal 64" xfId="1692"/>
    <cellStyle name="Normal 65" xfId="1693"/>
    <cellStyle name="Normal 66" xfId="1694"/>
    <cellStyle name="Normal 66 2" xfId="1695"/>
    <cellStyle name="Normal 67" xfId="1696"/>
    <cellStyle name="Normal 67 2" xfId="1697"/>
    <cellStyle name="Normal 67 2 2" xfId="1698"/>
    <cellStyle name="Normal 67 3" xfId="1699"/>
    <cellStyle name="Normal 67 3 2" xfId="1700"/>
    <cellStyle name="Normal 67 4" xfId="1701"/>
    <cellStyle name="Normal 68" xfId="1702"/>
    <cellStyle name="Normal 68 2" xfId="1703"/>
    <cellStyle name="Normal 68 2 2" xfId="1704"/>
    <cellStyle name="Normal 68 3" xfId="1705"/>
    <cellStyle name="Normal 68 3 2" xfId="1706"/>
    <cellStyle name="Normal 68 4" xfId="1707"/>
    <cellStyle name="Normal 69" xfId="1708"/>
    <cellStyle name="Normal 69 2" xfId="1709"/>
    <cellStyle name="Normal 7" xfId="122"/>
    <cellStyle name="Normal 7 2" xfId="1710"/>
    <cellStyle name="Normal 7 2 2" xfId="1711"/>
    <cellStyle name="Normal 7 2 2 2" xfId="2243"/>
    <cellStyle name="Normal 7 2 3" xfId="2244"/>
    <cellStyle name="Normal 7 3" xfId="1712"/>
    <cellStyle name="Normal 7 4" xfId="1713"/>
    <cellStyle name="Normal 7 5" xfId="1714"/>
    <cellStyle name="Normal 7 6" xfId="1715"/>
    <cellStyle name="Normal 7 6 2" xfId="1716"/>
    <cellStyle name="Normal 7 7" xfId="1717"/>
    <cellStyle name="Normal 7 7 2" xfId="1718"/>
    <cellStyle name="Normal 70" xfId="1719"/>
    <cellStyle name="Normal 71" xfId="1720"/>
    <cellStyle name="Normal 72" xfId="1721"/>
    <cellStyle name="Normal 73" xfId="1722"/>
    <cellStyle name="Normal 74" xfId="1723"/>
    <cellStyle name="Normal 75" xfId="1724"/>
    <cellStyle name="Normal 76" xfId="1725"/>
    <cellStyle name="Normal 77" xfId="1726"/>
    <cellStyle name="Normal 8" xfId="124"/>
    <cellStyle name="Normal 8 2" xfId="1727"/>
    <cellStyle name="Normal 8 2 2" xfId="2245"/>
    <cellStyle name="Normal 8 2 3" xfId="2246"/>
    <cellStyle name="Normal 8 2 3 2" xfId="2247"/>
    <cellStyle name="Normal 8 2 4" xfId="2248"/>
    <cellStyle name="Normal 8 3" xfId="1728"/>
    <cellStyle name="Normal 8 4" xfId="1729"/>
    <cellStyle name="Normal 8_7-11 Budget Scenarios v1.2" xfId="1730"/>
    <cellStyle name="Normal 9" xfId="1731"/>
    <cellStyle name="Normal 9 2" xfId="1732"/>
    <cellStyle name="Normal 9 3" xfId="1733"/>
    <cellStyle name="Normal 9_7-11 Budget Scenarios v1.2" xfId="1734"/>
    <cellStyle name="Normal U" xfId="1735"/>
    <cellStyle name="Normal U 2" xfId="1736"/>
    <cellStyle name="Normal_2010 06 22 - IE - Scheme Template for data collection" xfId="4"/>
    <cellStyle name="Normal_2010 06 22 - IE - Scheme Template for data collection 2" xfId="2124"/>
    <cellStyle name="NormalGB" xfId="1737"/>
    <cellStyle name="NormalGB 2" xfId="1738"/>
    <cellStyle name="NormalGB_1109 v1.5 MGH Corporate Model" xfId="1739"/>
    <cellStyle name="normální_laroux" xfId="1740"/>
    <cellStyle name="Note" xfId="21" builtinId="10" customBuiltin="1"/>
    <cellStyle name="Note 2" xfId="1741"/>
    <cellStyle name="Note 2 2" xfId="1742"/>
    <cellStyle name="Note 2 2 2" xfId="1743"/>
    <cellStyle name="Note 2 2 2 2" xfId="1744"/>
    <cellStyle name="Note 2 2 3" xfId="1745"/>
    <cellStyle name="Note 2 3" xfId="1746"/>
    <cellStyle name="Note 2 3 2" xfId="1747"/>
    <cellStyle name="Note 2 3 2 2" xfId="1748"/>
    <cellStyle name="Note 2 3 3" xfId="1749"/>
    <cellStyle name="Note 2 4" xfId="1750"/>
    <cellStyle name="Note 2 4 2" xfId="1751"/>
    <cellStyle name="Note 2 4 2 2" xfId="1752"/>
    <cellStyle name="Note 2 4 3" xfId="1753"/>
    <cellStyle name="Note 2 5" xfId="1754"/>
    <cellStyle name="Note 2 5 2" xfId="1755"/>
    <cellStyle name="Note 2 5 2 2" xfId="1756"/>
    <cellStyle name="Note 2 5 3" xfId="1757"/>
    <cellStyle name="Note 2 6" xfId="1758"/>
    <cellStyle name="Note 2 6 2" xfId="1759"/>
    <cellStyle name="Note 2 6 2 2" xfId="1760"/>
    <cellStyle name="Note 2 6 3" xfId="1761"/>
    <cellStyle name="Note 2 7" xfId="1762"/>
    <cellStyle name="Note 3" xfId="1763"/>
    <cellStyle name="Note 3 2" xfId="2249"/>
    <cellStyle name="Note 3 3" xfId="2250"/>
    <cellStyle name="Note 4" xfId="1764"/>
    <cellStyle name="Note 4 2" xfId="1765"/>
    <cellStyle name="Note 4 3" xfId="2251"/>
    <cellStyle name="Notes" xfId="1766"/>
    <cellStyle name="NoUse" xfId="1767"/>
    <cellStyle name="Number" xfId="1768"/>
    <cellStyle name="Number." xfId="1769"/>
    <cellStyle name="Number_6. Ass-Fin" xfId="1770"/>
    <cellStyle name="Numbers 0" xfId="1771"/>
    <cellStyle name="Œ…‹æØ‚è [0.00]_results" xfId="1772"/>
    <cellStyle name="Œ…‹æØ‚è_results" xfId="1773"/>
    <cellStyle name="OLELink" xfId="1774"/>
    <cellStyle name="Output" xfId="16" builtinId="21" customBuiltin="1"/>
    <cellStyle name="Output 2" xfId="1775"/>
    <cellStyle name="Output 2 10" xfId="1776"/>
    <cellStyle name="Output 2 2" xfId="1777"/>
    <cellStyle name="Output 2 2 2" xfId="1778"/>
    <cellStyle name="Output 2 2 2 2" xfId="1779"/>
    <cellStyle name="Output 2 2 3" xfId="1780"/>
    <cellStyle name="Output 2 2 3 2" xfId="1781"/>
    <cellStyle name="Output 2 2 4" xfId="1782"/>
    <cellStyle name="Output 2 3" xfId="1783"/>
    <cellStyle name="Output 2 3 2" xfId="1784"/>
    <cellStyle name="Output 2 3 2 2" xfId="1785"/>
    <cellStyle name="Output 2 3 3" xfId="1786"/>
    <cellStyle name="Output 2 3 3 2" xfId="1787"/>
    <cellStyle name="Output 2 3 4" xfId="1788"/>
    <cellStyle name="Output 2 4" xfId="1789"/>
    <cellStyle name="Output 2 4 2" xfId="1790"/>
    <cellStyle name="Output 2 4 2 2" xfId="1791"/>
    <cellStyle name="Output 2 4 3" xfId="1792"/>
    <cellStyle name="Output 2 4 3 2" xfId="1793"/>
    <cellStyle name="Output 2 4 4" xfId="1794"/>
    <cellStyle name="Output 2 5" xfId="1795"/>
    <cellStyle name="Output 2 5 2" xfId="1796"/>
    <cellStyle name="Output 2 5 2 2" xfId="1797"/>
    <cellStyle name="Output 2 5 3" xfId="1798"/>
    <cellStyle name="Output 2 5 3 2" xfId="1799"/>
    <cellStyle name="Output 2 5 4" xfId="1800"/>
    <cellStyle name="Output 2 6" xfId="1801"/>
    <cellStyle name="Output 2 6 2" xfId="1802"/>
    <cellStyle name="Output 2 6 2 2" xfId="1803"/>
    <cellStyle name="Output 2 6 3" xfId="1804"/>
    <cellStyle name="Output 2 6 3 2" xfId="1805"/>
    <cellStyle name="Output 2 6 4" xfId="1806"/>
    <cellStyle name="Output 2 7" xfId="1807"/>
    <cellStyle name="Output 2 7 2" xfId="1808"/>
    <cellStyle name="Output 2 7 2 2" xfId="1809"/>
    <cellStyle name="Output 2 7 3" xfId="1810"/>
    <cellStyle name="Output 2 7 3 2" xfId="1811"/>
    <cellStyle name="Output 2 7 4" xfId="1812"/>
    <cellStyle name="Output 2 8" xfId="1813"/>
    <cellStyle name="Output 2 8 2" xfId="1814"/>
    <cellStyle name="Output 2 9" xfId="1815"/>
    <cellStyle name="Output 2 9 2" xfId="1816"/>
    <cellStyle name="Output millions" xfId="1817"/>
    <cellStyle name="P/N" xfId="1818"/>
    <cellStyle name="Page Number" xfId="1819"/>
    <cellStyle name="Page1" xfId="1820"/>
    <cellStyle name="Parameter" xfId="1821"/>
    <cellStyle name="Percent" xfId="2121" builtinId="5"/>
    <cellStyle name="Percent [0%]" xfId="1822"/>
    <cellStyle name="Percent [0%] 2" xfId="1823"/>
    <cellStyle name="Percent [0.00%]" xfId="1824"/>
    <cellStyle name="Percent [0.00%] 2" xfId="1825"/>
    <cellStyle name="Percent [0]" xfId="1826"/>
    <cellStyle name="Percent [00]" xfId="1827"/>
    <cellStyle name="Percent [2]" xfId="90"/>
    <cellStyle name="Percent [2] 2" xfId="2252"/>
    <cellStyle name="Percent [2] U" xfId="1828"/>
    <cellStyle name="Percent [2]_141702_1" xfId="1829"/>
    <cellStyle name="Percent 10" xfId="1830"/>
    <cellStyle name="Percent 11" xfId="1831"/>
    <cellStyle name="Percent 12" xfId="1832"/>
    <cellStyle name="Percent 12 2" xfId="2253"/>
    <cellStyle name="Percent 13" xfId="1833"/>
    <cellStyle name="Percent 13 2" xfId="1834"/>
    <cellStyle name="Percent 14" xfId="1835"/>
    <cellStyle name="Percent 15" xfId="1836"/>
    <cellStyle name="Percent 2" xfId="55"/>
    <cellStyle name="Percent 2 2" xfId="1837"/>
    <cellStyle name="Percent 2 2 2" xfId="2254"/>
    <cellStyle name="Percent 2 2 2 2" xfId="2255"/>
    <cellStyle name="Percent 2 2 2 2 2" xfId="2256"/>
    <cellStyle name="Percent 2 2 2 3" xfId="2257"/>
    <cellStyle name="Percent 2 2 3" xfId="2258"/>
    <cellStyle name="Percent 2 2 3 2" xfId="2259"/>
    <cellStyle name="Percent 2 2 3 2 2" xfId="2260"/>
    <cellStyle name="Percent 2 2 3 3" xfId="2261"/>
    <cellStyle name="Percent 2 3" xfId="1838"/>
    <cellStyle name="Percent 2 3 2" xfId="2262"/>
    <cellStyle name="Percent 2 3 2 2" xfId="2263"/>
    <cellStyle name="Percent 2 3 3" xfId="2264"/>
    <cellStyle name="Percent 2 4" xfId="1839"/>
    <cellStyle name="Percent 2 4 2" xfId="2265"/>
    <cellStyle name="Percent 2 4 2 2" xfId="2266"/>
    <cellStyle name="Percent 2 4 3" xfId="2267"/>
    <cellStyle name="Percent 2 5" xfId="1840"/>
    <cellStyle name="Percent 2 6" xfId="1841"/>
    <cellStyle name="Percent 3" xfId="123"/>
    <cellStyle name="Percent 3 2" xfId="1842"/>
    <cellStyle name="Percent 3 3" xfId="1843"/>
    <cellStyle name="Percent 3 4" xfId="2268"/>
    <cellStyle name="Percent 3 4 2" xfId="2269"/>
    <cellStyle name="Percent 4" xfId="1844"/>
    <cellStyle name="Percent 4 2" xfId="1845"/>
    <cellStyle name="Percent 4 3" xfId="1846"/>
    <cellStyle name="Percent 4 3 2" xfId="1847"/>
    <cellStyle name="Percent 4 4" xfId="1848"/>
    <cellStyle name="Percent 4 4 2" xfId="1849"/>
    <cellStyle name="Percent 4 5" xfId="1850"/>
    <cellStyle name="Percent 5" xfId="1851"/>
    <cellStyle name="Percent 5 2" xfId="1852"/>
    <cellStyle name="Percent 5 2 2" xfId="1853"/>
    <cellStyle name="Percent 5 3" xfId="1854"/>
    <cellStyle name="Percent 6" xfId="1855"/>
    <cellStyle name="Percent 6 2" xfId="1856"/>
    <cellStyle name="Percent 7" xfId="1857"/>
    <cellStyle name="Percent 8" xfId="1858"/>
    <cellStyle name="Percent 9" xfId="1859"/>
    <cellStyle name="Percentage" xfId="91"/>
    <cellStyle name="Percentage." xfId="1860"/>
    <cellStyle name="Period Title" xfId="1861"/>
    <cellStyle name="Period Title 2" xfId="1862"/>
    <cellStyle name="Period Title." xfId="1863"/>
    <cellStyle name="Period Title_7_11 Consolidated Budget Model 091123 bud" xfId="1864"/>
    <cellStyle name="Pnumber" xfId="1865"/>
    <cellStyle name="Popis" xfId="1866"/>
    <cellStyle name="Porcentagem_RESULTS" xfId="1867"/>
    <cellStyle name="Poznámka" xfId="1868"/>
    <cellStyle name="PrePop Currency (0)" xfId="1869"/>
    <cellStyle name="PrePop Currency (2)" xfId="1870"/>
    <cellStyle name="PrePop Units (0)" xfId="1871"/>
    <cellStyle name="PrePop Units (1)" xfId="1872"/>
    <cellStyle name="PrePop Units (2)" xfId="1873"/>
    <cellStyle name="Presentation Currency" xfId="1874"/>
    <cellStyle name="Presentation Currency." xfId="1875"/>
    <cellStyle name="Presentation Currency. 2" xfId="1876"/>
    <cellStyle name="Presentation Date" xfId="1877"/>
    <cellStyle name="Presentation Date." xfId="1878"/>
    <cellStyle name="Presentation Date. 2" xfId="1879"/>
    <cellStyle name="Presentation Heading 1" xfId="1880"/>
    <cellStyle name="Presentation Heading 1." xfId="1881"/>
    <cellStyle name="Presentation Heading 1. 2" xfId="1882"/>
    <cellStyle name="Presentation Heading 2" xfId="1883"/>
    <cellStyle name="Presentation Heading 2." xfId="1884"/>
    <cellStyle name="Presentation Heading 2. 2" xfId="1885"/>
    <cellStyle name="Presentation Heading 3" xfId="1886"/>
    <cellStyle name="Presentation Heading 3." xfId="1887"/>
    <cellStyle name="Presentation Heading 3. 2" xfId="1888"/>
    <cellStyle name="Presentation Heading 4" xfId="1889"/>
    <cellStyle name="Presentation Heading 4." xfId="1890"/>
    <cellStyle name="Presentation Heading 4. 2" xfId="1891"/>
    <cellStyle name="Presentation Hyperlink Arrow" xfId="1892"/>
    <cellStyle name="Presentation Hyperlink Arrow." xfId="1893"/>
    <cellStyle name="Presentation Hyperlink Check" xfId="1894"/>
    <cellStyle name="Presentation Hyperlink Check." xfId="1895"/>
    <cellStyle name="Presentation Hyperlink Text" xfId="1896"/>
    <cellStyle name="Presentation Hyperlink Text." xfId="1897"/>
    <cellStyle name="Presentation Hyperlink Text. 2" xfId="1898"/>
    <cellStyle name="Presentation Model Name" xfId="1899"/>
    <cellStyle name="Presentation Model Name." xfId="1900"/>
    <cellStyle name="Presentation Model Name. 2" xfId="1901"/>
    <cellStyle name="Presentation Multiple" xfId="1902"/>
    <cellStyle name="Presentation Multiple." xfId="1903"/>
    <cellStyle name="Presentation Multiple. 2" xfId="1904"/>
    <cellStyle name="Presentation Normal" xfId="1905"/>
    <cellStyle name="Presentation Normal." xfId="1906"/>
    <cellStyle name="Presentation Normal. 2" xfId="1907"/>
    <cellStyle name="Presentation Number" xfId="1908"/>
    <cellStyle name="Presentation Number." xfId="1909"/>
    <cellStyle name="Presentation Number. 2" xfId="1910"/>
    <cellStyle name="Presentation Percentage" xfId="1911"/>
    <cellStyle name="Presentation Percentage." xfId="1912"/>
    <cellStyle name="Presentation Percentage. 2" xfId="1913"/>
    <cellStyle name="Presentation Period Title" xfId="1914"/>
    <cellStyle name="Presentation Period Title." xfId="1915"/>
    <cellStyle name="Presentation Period Title. 2" xfId="1916"/>
    <cellStyle name="Presentation Section Number" xfId="1917"/>
    <cellStyle name="Presentation Section Number." xfId="1918"/>
    <cellStyle name="Presentation Section Number. 2" xfId="1919"/>
    <cellStyle name="Presentation Sheet Title" xfId="1920"/>
    <cellStyle name="Presentation Sheet Title." xfId="1921"/>
    <cellStyle name="Presentation Sheet Title. 2" xfId="1922"/>
    <cellStyle name="Presentation Sub Total." xfId="1923"/>
    <cellStyle name="Presentation Sub Total. 2" xfId="1924"/>
    <cellStyle name="Presentation TOC 1." xfId="1925"/>
    <cellStyle name="Presentation TOC 1. 2" xfId="1926"/>
    <cellStyle name="Presentation TOC 2." xfId="1927"/>
    <cellStyle name="Presentation TOC 2. 2" xfId="1928"/>
    <cellStyle name="Presentation TOC 3." xfId="1929"/>
    <cellStyle name="Presentation TOC 3. 2" xfId="1930"/>
    <cellStyle name="Presentation TOC 4." xfId="1931"/>
    <cellStyle name="Presentation TOC 4. 2" xfId="1932"/>
    <cellStyle name="Presentation Year" xfId="1933"/>
    <cellStyle name="Presentation Year." xfId="1934"/>
    <cellStyle name="Presentation Year. 2" xfId="1935"/>
    <cellStyle name="Proportion" xfId="1936"/>
    <cellStyle name="PSChar" xfId="92"/>
    <cellStyle name="PSDate" xfId="93"/>
    <cellStyle name="PSDec" xfId="94"/>
    <cellStyle name="PSDetail" xfId="95"/>
    <cellStyle name="PSDetail 2" xfId="1937"/>
    <cellStyle name="PSHeading" xfId="96"/>
    <cellStyle name="PSHeading 2" xfId="2270"/>
    <cellStyle name="PSHeading 2 2" xfId="2271"/>
    <cellStyle name="PSHeading 3" xfId="2272"/>
    <cellStyle name="PSHeading 3 2" xfId="2273"/>
    <cellStyle name="PSHeading 4" xfId="2274"/>
    <cellStyle name="PSInt" xfId="97"/>
    <cellStyle name="PSSpacer" xfId="98"/>
    <cellStyle name="Quarter" xfId="1938"/>
    <cellStyle name="Range Name Description" xfId="1939"/>
    <cellStyle name="Ratio" xfId="99"/>
    <cellStyle name="ratio - Style2" xfId="1940"/>
    <cellStyle name="Ratio 2" xfId="2275"/>
    <cellStyle name="Ratio_1106 v1.4 MGH Corporate Model Hybrid v5c" xfId="1941"/>
    <cellStyle name="RevList" xfId="1942"/>
    <cellStyle name="Right Currency" xfId="1943"/>
    <cellStyle name="Right Currency 2" xfId="1944"/>
    <cellStyle name="Right Currency_7_11 Consolidated Budget Model 091123 bud" xfId="1945"/>
    <cellStyle name="Right Date" xfId="1946"/>
    <cellStyle name="Right Date 2" xfId="1947"/>
    <cellStyle name="Right Date_6. Ass-Fin" xfId="1948"/>
    <cellStyle name="Right Multiple" xfId="1949"/>
    <cellStyle name="Right Multiple 2" xfId="1950"/>
    <cellStyle name="Right Multiple_7_11 Consolidated Budget Model 091123 bud" xfId="1951"/>
    <cellStyle name="Right Number" xfId="1952"/>
    <cellStyle name="Right Number 2" xfId="1953"/>
    <cellStyle name="Right Number_7_11 Consolidated Budget Model 091123 bud" xfId="1954"/>
    <cellStyle name="Right Percentage" xfId="1955"/>
    <cellStyle name="Right Percentage 2" xfId="1956"/>
    <cellStyle name="Right Percentage_7_11 Consolidated Budget Model 091123 bud" xfId="1957"/>
    <cellStyle name="Right Year" xfId="1958"/>
    <cellStyle name="Right Year 2" xfId="1959"/>
    <cellStyle name="Right Year_7_11 Consolidated Budget Model 091123 bud" xfId="1960"/>
    <cellStyle name="RIN_TB2" xfId="2276"/>
    <cellStyle name="Row Ref" xfId="1961"/>
    <cellStyle name="Row_Summary" xfId="1962"/>
    <cellStyle name="rt" xfId="1963"/>
    <cellStyle name="Salomon Logo" xfId="1964"/>
    <cellStyle name="Salomon Logo 2" xfId="1965"/>
    <cellStyle name="Salomon Logo 2 2" xfId="1966"/>
    <cellStyle name="Salomon Logo 3" xfId="1967"/>
    <cellStyle name="Salomon Logo_6. Ass-Fin" xfId="1968"/>
    <cellStyle name="SAPError" xfId="100"/>
    <cellStyle name="SAPError 2" xfId="2277"/>
    <cellStyle name="SAPKey" xfId="101"/>
    <cellStyle name="SAPKey 2" xfId="2278"/>
    <cellStyle name="SAPLocked" xfId="102"/>
    <cellStyle name="SAPLocked 2" xfId="2279"/>
    <cellStyle name="SAPOutput" xfId="103"/>
    <cellStyle name="SAPOutput 2" xfId="2280"/>
    <cellStyle name="SAPSpace" xfId="104"/>
    <cellStyle name="SAPSpace 2" xfId="2281"/>
    <cellStyle name="SAPText" xfId="105"/>
    <cellStyle name="SAPText 2" xfId="2282"/>
    <cellStyle name="SAPUnLocked" xfId="106"/>
    <cellStyle name="SAPUnLocked 2" xfId="2283"/>
    <cellStyle name="sbt2" xfId="1969"/>
    <cellStyle name="SDate" xfId="1970"/>
    <cellStyle name="SDEntry" xfId="1971"/>
    <cellStyle name="SDHeader" xfId="1972"/>
    <cellStyle name="Section Number" xfId="1973"/>
    <cellStyle name="Section Number." xfId="1974"/>
    <cellStyle name="Section Number_6. Ass-Fin" xfId="1975"/>
    <cellStyle name="SEEntry" xfId="1976"/>
    <cellStyle name="SEFormula" xfId="1977"/>
    <cellStyle name="SEHeader" xfId="1978"/>
    <cellStyle name="SELocked" xfId="1979"/>
    <cellStyle name="SEM-BPS-data" xfId="1980"/>
    <cellStyle name="SEM-BPS-headdata" xfId="1981"/>
    <cellStyle name="SEM-BPS-headkey" xfId="1982"/>
    <cellStyle name="SEM-BPS-input-on" xfId="1983"/>
    <cellStyle name="SEM-BPS-key" xfId="1984"/>
    <cellStyle name="Sheet Title" xfId="1985"/>
    <cellStyle name="Sheet Title 2" xfId="1986"/>
    <cellStyle name="Sheet Title." xfId="1987"/>
    <cellStyle name="ShortDate" xfId="1988"/>
    <cellStyle name="Standard" xfId="1989"/>
    <cellStyle name="Standard 2" xfId="1990"/>
    <cellStyle name="std" xfId="1991"/>
    <cellStyle name="Style 1" xfId="58"/>
    <cellStyle name="Style 1 2" xfId="59"/>
    <cellStyle name="Style 1 2 2" xfId="2284"/>
    <cellStyle name="Style 1 3" xfId="60"/>
    <cellStyle name="Style 1 3 2" xfId="2285"/>
    <cellStyle name="Style 1 3 3" xfId="2286"/>
    <cellStyle name="Style 1 4" xfId="1992"/>
    <cellStyle name="Style 1_29(d) - Gas extensions -tariffs" xfId="2287"/>
    <cellStyle name="STYLE1" xfId="1993"/>
    <cellStyle name="style1a" xfId="1994"/>
    <cellStyle name="Style2" xfId="107"/>
    <cellStyle name="Style2 2" xfId="1995"/>
    <cellStyle name="Style2_7. Ass" xfId="1996"/>
    <cellStyle name="Style3" xfId="108"/>
    <cellStyle name="Style3 2" xfId="1997"/>
    <cellStyle name="Style3_7. Ass" xfId="1998"/>
    <cellStyle name="Style4" xfId="109"/>
    <cellStyle name="Style4 2" xfId="2288"/>
    <cellStyle name="Style4_29(d) - Gas extensions -tariffs" xfId="2289"/>
    <cellStyle name="Style5" xfId="110"/>
    <cellStyle name="Style5 2" xfId="2290"/>
    <cellStyle name="Style5_29(d) - Gas extensions -tariffs" xfId="2291"/>
    <cellStyle name="STYLE6" xfId="1999"/>
    <cellStyle name="STYLE7" xfId="2000"/>
    <cellStyle name="style9" xfId="2001"/>
    <cellStyle name="style9 2" xfId="2002"/>
    <cellStyle name="style9_6. Ass-Fin" xfId="2003"/>
    <cellStyle name="Sub Total." xfId="2004"/>
    <cellStyle name="Sub totals" xfId="2005"/>
    <cellStyle name="Sub totals 2" xfId="2006"/>
    <cellStyle name="Sub totals 3" xfId="2007"/>
    <cellStyle name="Sub totals_6. Ass-Fin" xfId="2008"/>
    <cellStyle name="Subheading" xfId="2009"/>
    <cellStyle name="subt1" xfId="2010"/>
    <cellStyle name="Subtotal" xfId="2011"/>
    <cellStyle name="Table Head" xfId="2012"/>
    <cellStyle name="Table Head Aligned" xfId="2013"/>
    <cellStyle name="Table Head Aligned 2" xfId="2014"/>
    <cellStyle name="Table Head Aligned 2 2" xfId="2015"/>
    <cellStyle name="Table Head Aligned 2 2 2" xfId="2016"/>
    <cellStyle name="Table Head Aligned 2 3" xfId="2017"/>
    <cellStyle name="Table Head Aligned 2 3 2" xfId="2018"/>
    <cellStyle name="Table Head Aligned 2 4" xfId="2019"/>
    <cellStyle name="Table Head Aligned 3" xfId="2020"/>
    <cellStyle name="Table Head Blue" xfId="2021"/>
    <cellStyle name="Table Head Green" xfId="111"/>
    <cellStyle name="Table Head Green 2" xfId="2022"/>
    <cellStyle name="Table Head Green 2 2" xfId="2023"/>
    <cellStyle name="Table Head Green 2 2 2" xfId="2024"/>
    <cellStyle name="Table Head Green 2 3" xfId="2025"/>
    <cellStyle name="Table Head Green 2 3 2" xfId="2026"/>
    <cellStyle name="Table Head Green 2 4" xfId="2027"/>
    <cellStyle name="Table Head Green 3" xfId="2028"/>
    <cellStyle name="Table Head_7. Ass" xfId="2029"/>
    <cellStyle name="Table Heading" xfId="2030"/>
    <cellStyle name="Table Source" xfId="112"/>
    <cellStyle name="Table Text" xfId="2031"/>
    <cellStyle name="Table Title" xfId="2032"/>
    <cellStyle name="Table Units" xfId="113"/>
    <cellStyle name="Table_Heading" xfId="2033"/>
    <cellStyle name="TableLvl2" xfId="2292"/>
    <cellStyle name="TableLvl3" xfId="2293"/>
    <cellStyle name="Text" xfId="114"/>
    <cellStyle name="Text 1" xfId="2034"/>
    <cellStyle name="Text 2" xfId="115"/>
    <cellStyle name="Text 3" xfId="2035"/>
    <cellStyle name="Text Head 1" xfId="116"/>
    <cellStyle name="Text Head 2" xfId="117"/>
    <cellStyle name="Text Indent 1" xfId="2036"/>
    <cellStyle name="Text Indent 2" xfId="118"/>
    <cellStyle name="Text Indent A" xfId="2037"/>
    <cellStyle name="Text Indent B" xfId="2038"/>
    <cellStyle name="Text Indent C" xfId="2039"/>
    <cellStyle name="Theirs" xfId="119"/>
    <cellStyle name="Thousands" xfId="2040"/>
    <cellStyle name="Thousands 2" xfId="2041"/>
    <cellStyle name="Title" xfId="7" builtinId="15" customBuiltin="1"/>
    <cellStyle name="Title 2" xfId="2042"/>
    <cellStyle name="Title 3" xfId="2043"/>
    <cellStyle name="TOC 1" xfId="2044"/>
    <cellStyle name="TOC 2" xfId="120"/>
    <cellStyle name="TOC 2 2" xfId="2045"/>
    <cellStyle name="TOC 3" xfId="2046"/>
    <cellStyle name="TOC 4" xfId="2047"/>
    <cellStyle name="Total" xfId="23" builtinId="25" customBuiltin="1"/>
    <cellStyle name="Total 1" xfId="2048"/>
    <cellStyle name="Total 1 2" xfId="2049"/>
    <cellStyle name="Total 2" xfId="2050"/>
    <cellStyle name="Total 2 10" xfId="2051"/>
    <cellStyle name="Total 2 2" xfId="2052"/>
    <cellStyle name="Total 2 2 2" xfId="2053"/>
    <cellStyle name="Total 2 2 2 2" xfId="2054"/>
    <cellStyle name="Total 2 2 3" xfId="2055"/>
    <cellStyle name="Total 2 2 3 2" xfId="2056"/>
    <cellStyle name="Total 2 2 4" xfId="2057"/>
    <cellStyle name="Total 2 3" xfId="2058"/>
    <cellStyle name="Total 2 3 2" xfId="2059"/>
    <cellStyle name="Total 2 3 2 2" xfId="2060"/>
    <cellStyle name="Total 2 3 3" xfId="2061"/>
    <cellStyle name="Total 2 3 3 2" xfId="2062"/>
    <cellStyle name="Total 2 3 4" xfId="2063"/>
    <cellStyle name="Total 2 4" xfId="2064"/>
    <cellStyle name="Total 2 4 2" xfId="2065"/>
    <cellStyle name="Total 2 4 2 2" xfId="2066"/>
    <cellStyle name="Total 2 4 3" xfId="2067"/>
    <cellStyle name="Total 2 4 3 2" xfId="2068"/>
    <cellStyle name="Total 2 4 4" xfId="2069"/>
    <cellStyle name="Total 2 5" xfId="2070"/>
    <cellStyle name="Total 2 5 2" xfId="2071"/>
    <cellStyle name="Total 2 5 2 2" xfId="2072"/>
    <cellStyle name="Total 2 5 3" xfId="2073"/>
    <cellStyle name="Total 2 5 3 2" xfId="2074"/>
    <cellStyle name="Total 2 5 4" xfId="2075"/>
    <cellStyle name="Total 2 6" xfId="2076"/>
    <cellStyle name="Total 2 6 2" xfId="2077"/>
    <cellStyle name="Total 2 6 2 2" xfId="2078"/>
    <cellStyle name="Total 2 6 3" xfId="2079"/>
    <cellStyle name="Total 2 6 3 2" xfId="2080"/>
    <cellStyle name="Total 2 6 4" xfId="2081"/>
    <cellStyle name="Total 2 7" xfId="2082"/>
    <cellStyle name="Total 2 7 2" xfId="2083"/>
    <cellStyle name="Total 2 7 2 2" xfId="2084"/>
    <cellStyle name="Total 2 7 3" xfId="2085"/>
    <cellStyle name="Total 2 7 3 2" xfId="2086"/>
    <cellStyle name="Total 2 7 4" xfId="2087"/>
    <cellStyle name="Total 2 8" xfId="2088"/>
    <cellStyle name="Total 2 8 2" xfId="2089"/>
    <cellStyle name="Total 2 9" xfId="2090"/>
    <cellStyle name="Total 2 9 2" xfId="2091"/>
    <cellStyle name="Total 3" xfId="2092"/>
    <cellStyle name="Total 3 2" xfId="2093"/>
    <cellStyle name="Total 4" xfId="2094"/>
    <cellStyle name="Total 4 2" xfId="2095"/>
    <cellStyle name="Total 4 3" xfId="2096"/>
    <cellStyle name="Total 5" xfId="2097"/>
    <cellStyle name="Totals" xfId="2098"/>
    <cellStyle name="Totals 2" xfId="2099"/>
    <cellStyle name="Totals_6. Ass-Fin" xfId="2100"/>
    <cellStyle name="Units" xfId="2101"/>
    <cellStyle name="Velký nadpis" xfId="2102"/>
    <cellStyle name="Währung [0]_PERSON2" xfId="2103"/>
    <cellStyle name="Währung_PERSON2" xfId="2104"/>
    <cellStyle name="Warning" xfId="2105"/>
    <cellStyle name="Warning 2" xfId="2106"/>
    <cellStyle name="Warning Text" xfId="20" builtinId="11" customBuiltin="1"/>
    <cellStyle name="Warning Text 2" xfId="2107"/>
    <cellStyle name="WIP" xfId="2108"/>
    <cellStyle name="Word_Formula" xfId="2109"/>
    <cellStyle name="year" xfId="121"/>
    <cellStyle name="year 2" xfId="2110"/>
    <cellStyle name="year 2 2" xfId="2111"/>
    <cellStyle name="year 2 2 2" xfId="2112"/>
    <cellStyle name="year 2 3" xfId="2113"/>
    <cellStyle name="year 2 3 2" xfId="2114"/>
    <cellStyle name="year 2 4" xfId="2115"/>
    <cellStyle name="year 3" xfId="2116"/>
    <cellStyle name="Year." xfId="2117"/>
    <cellStyle name="year_29(d) - Gas extensions -tariffs" xfId="2294"/>
    <cellStyle name="YR_MTH" xfId="2118"/>
    <cellStyle name="Záhlaví" xfId="2119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4 Operational data'!A1"/><Relationship Id="rId3" Type="http://schemas.openxmlformats.org/officeDocument/2006/relationships/hyperlink" Target="#'3.6 Quality of services'!A1"/><Relationship Id="rId7" Type="http://schemas.openxmlformats.org/officeDocument/2006/relationships/hyperlink" Target="#'3.3 Assets (RAB)'!A1"/><Relationship Id="rId2" Type="http://schemas.openxmlformats.org/officeDocument/2006/relationships/hyperlink" Target="#'3.7 Operating environment'!A1"/><Relationship Id="rId1" Type="http://schemas.openxmlformats.org/officeDocument/2006/relationships/hyperlink" Target="#'1. Contents'!A1"/><Relationship Id="rId6" Type="http://schemas.openxmlformats.org/officeDocument/2006/relationships/hyperlink" Target="#'3.1 Revenue'!A1"/><Relationship Id="rId5" Type="http://schemas.openxmlformats.org/officeDocument/2006/relationships/hyperlink" Target="#'3.2 Opex'!A1"/><Relationship Id="rId4" Type="http://schemas.openxmlformats.org/officeDocument/2006/relationships/hyperlink" Target="#'3.5 Physical Asset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161925</xdr:rowOff>
    </xdr:from>
    <xdr:to>
      <xdr:col>3</xdr:col>
      <xdr:colOff>562800</xdr:colOff>
      <xdr:row>5</xdr:row>
      <xdr:rowOff>104925</xdr:rowOff>
    </xdr:to>
    <xdr:sp macro="" textlink="">
      <xdr:nvSpPr>
        <xdr:cNvPr id="10" name="Rectangle 9">
          <a:hlinkClick xmlns:r="http://schemas.openxmlformats.org/officeDocument/2006/relationships" r:id="rId1"/>
        </xdr:cNvPr>
        <xdr:cNvSpPr/>
      </xdr:nvSpPr>
      <xdr:spPr>
        <a:xfrm>
          <a:off x="266700" y="80010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1.</a:t>
          </a:r>
          <a:r>
            <a:rPr lang="en-AU" sz="1100" baseline="0"/>
            <a:t> Contents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20</xdr:row>
      <xdr:rowOff>114300</xdr:rowOff>
    </xdr:from>
    <xdr:to>
      <xdr:col>3</xdr:col>
      <xdr:colOff>562800</xdr:colOff>
      <xdr:row>22</xdr:row>
      <xdr:rowOff>57300</xdr:rowOff>
    </xdr:to>
    <xdr:sp macro="" textlink="">
      <xdr:nvSpPr>
        <xdr:cNvPr id="12" name="Rectangle 11">
          <a:hlinkClick xmlns:r="http://schemas.openxmlformats.org/officeDocument/2006/relationships" r:id="rId2"/>
        </xdr:cNvPr>
        <xdr:cNvSpPr/>
      </xdr:nvSpPr>
      <xdr:spPr>
        <a:xfrm>
          <a:off x="266700" y="39909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3.7</a:t>
          </a:r>
          <a:r>
            <a:rPr lang="en-AU" sz="1100" baseline="0"/>
            <a:t> Operating environment</a:t>
          </a:r>
        </a:p>
        <a:p>
          <a:pPr algn="l"/>
          <a:endParaRPr lang="en-AU" sz="1100"/>
        </a:p>
      </xdr:txBody>
    </xdr:sp>
    <xdr:clientData/>
  </xdr:twoCellAnchor>
  <xdr:twoCellAnchor>
    <xdr:from>
      <xdr:col>1</xdr:col>
      <xdr:colOff>9524</xdr:colOff>
      <xdr:row>18</xdr:row>
      <xdr:rowOff>104775</xdr:rowOff>
    </xdr:from>
    <xdr:to>
      <xdr:col>3</xdr:col>
      <xdr:colOff>572324</xdr:colOff>
      <xdr:row>20</xdr:row>
      <xdr:rowOff>47775</xdr:rowOff>
    </xdr:to>
    <xdr:sp macro="" textlink="">
      <xdr:nvSpPr>
        <xdr:cNvPr id="13" name="Rectangle 12">
          <a:hlinkClick xmlns:r="http://schemas.openxmlformats.org/officeDocument/2006/relationships" r:id="rId3"/>
        </xdr:cNvPr>
        <xdr:cNvSpPr/>
      </xdr:nvSpPr>
      <xdr:spPr>
        <a:xfrm>
          <a:off x="276224" y="360045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3.6 Quality of services</a:t>
          </a:r>
        </a:p>
      </xdr:txBody>
    </xdr:sp>
    <xdr:clientData/>
  </xdr:twoCellAnchor>
  <xdr:twoCellAnchor>
    <xdr:from>
      <xdr:col>1</xdr:col>
      <xdr:colOff>9523</xdr:colOff>
      <xdr:row>16</xdr:row>
      <xdr:rowOff>38100</xdr:rowOff>
    </xdr:from>
    <xdr:to>
      <xdr:col>3</xdr:col>
      <xdr:colOff>572323</xdr:colOff>
      <xdr:row>17</xdr:row>
      <xdr:rowOff>171600</xdr:rowOff>
    </xdr:to>
    <xdr:sp macro="" textlink="">
      <xdr:nvSpPr>
        <xdr:cNvPr id="14" name="Rectangle 13">
          <a:hlinkClick xmlns:r="http://schemas.openxmlformats.org/officeDocument/2006/relationships" r:id="rId4"/>
        </xdr:cNvPr>
        <xdr:cNvSpPr/>
      </xdr:nvSpPr>
      <xdr:spPr>
        <a:xfrm>
          <a:off x="276223" y="31527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3.5</a:t>
          </a:r>
          <a:r>
            <a:rPr lang="en-AU" sz="1100" baseline="0"/>
            <a:t> Physical assets</a:t>
          </a:r>
          <a:endParaRPr lang="en-AU" sz="1100"/>
        </a:p>
      </xdr:txBody>
    </xdr:sp>
    <xdr:clientData/>
  </xdr:twoCellAnchor>
  <xdr:twoCellAnchor>
    <xdr:from>
      <xdr:col>1</xdr:col>
      <xdr:colOff>19049</xdr:colOff>
      <xdr:row>9</xdr:row>
      <xdr:rowOff>66674</xdr:rowOff>
    </xdr:from>
    <xdr:to>
      <xdr:col>3</xdr:col>
      <xdr:colOff>581849</xdr:colOff>
      <xdr:row>11</xdr:row>
      <xdr:rowOff>9674</xdr:rowOff>
    </xdr:to>
    <xdr:sp macro="" textlink="">
      <xdr:nvSpPr>
        <xdr:cNvPr id="15" name="Rectangle 14">
          <a:hlinkClick xmlns:r="http://schemas.openxmlformats.org/officeDocument/2006/relationships" r:id="rId5"/>
        </xdr:cNvPr>
        <xdr:cNvSpPr/>
      </xdr:nvSpPr>
      <xdr:spPr>
        <a:xfrm>
          <a:off x="285749" y="184784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3.2</a:t>
          </a:r>
          <a:r>
            <a:rPr lang="en-AU" sz="1100" baseline="0"/>
            <a:t> Opex</a:t>
          </a:r>
          <a:endParaRPr lang="en-AU" sz="1100"/>
        </a:p>
      </xdr:txBody>
    </xdr:sp>
    <xdr:clientData/>
  </xdr:twoCellAnchor>
  <xdr:twoCellAnchor>
    <xdr:from>
      <xdr:col>1</xdr:col>
      <xdr:colOff>19050</xdr:colOff>
      <xdr:row>7</xdr:row>
      <xdr:rowOff>0</xdr:rowOff>
    </xdr:from>
    <xdr:to>
      <xdr:col>3</xdr:col>
      <xdr:colOff>581850</xdr:colOff>
      <xdr:row>8</xdr:row>
      <xdr:rowOff>133500</xdr:rowOff>
    </xdr:to>
    <xdr:sp macro="" textlink="">
      <xdr:nvSpPr>
        <xdr:cNvPr id="16" name="Rectangle 15">
          <a:hlinkClick xmlns:r="http://schemas.openxmlformats.org/officeDocument/2006/relationships" r:id="rId6"/>
        </xdr:cNvPr>
        <xdr:cNvSpPr/>
      </xdr:nvSpPr>
      <xdr:spPr>
        <a:xfrm>
          <a:off x="285750" y="14001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3.1 Revenue</a:t>
          </a:r>
        </a:p>
      </xdr:txBody>
    </xdr:sp>
    <xdr:clientData/>
  </xdr:twoCellAnchor>
  <xdr:twoCellAnchor>
    <xdr:from>
      <xdr:col>1</xdr:col>
      <xdr:colOff>19050</xdr:colOff>
      <xdr:row>11</xdr:row>
      <xdr:rowOff>133350</xdr:rowOff>
    </xdr:from>
    <xdr:to>
      <xdr:col>3</xdr:col>
      <xdr:colOff>581850</xdr:colOff>
      <xdr:row>13</xdr:row>
      <xdr:rowOff>76350</xdr:rowOff>
    </xdr:to>
    <xdr:sp macro="" textlink="">
      <xdr:nvSpPr>
        <xdr:cNvPr id="17" name="Rectangle 16">
          <a:hlinkClick xmlns:r="http://schemas.openxmlformats.org/officeDocument/2006/relationships" r:id="rId7"/>
        </xdr:cNvPr>
        <xdr:cNvSpPr/>
      </xdr:nvSpPr>
      <xdr:spPr>
        <a:xfrm>
          <a:off x="285750" y="22955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3.3</a:t>
          </a:r>
          <a:r>
            <a:rPr lang="en-AU" sz="1100" baseline="0"/>
            <a:t> Assets (RAB)</a:t>
          </a:r>
          <a:endParaRPr lang="en-AU" sz="1100"/>
        </a:p>
      </xdr:txBody>
    </xdr:sp>
    <xdr:clientData/>
  </xdr:twoCellAnchor>
  <xdr:twoCellAnchor>
    <xdr:from>
      <xdr:col>1</xdr:col>
      <xdr:colOff>19049</xdr:colOff>
      <xdr:row>13</xdr:row>
      <xdr:rowOff>190499</xdr:rowOff>
    </xdr:from>
    <xdr:to>
      <xdr:col>3</xdr:col>
      <xdr:colOff>581849</xdr:colOff>
      <xdr:row>15</xdr:row>
      <xdr:rowOff>133499</xdr:rowOff>
    </xdr:to>
    <xdr:sp macro="" textlink="">
      <xdr:nvSpPr>
        <xdr:cNvPr id="18" name="Rectangle 17">
          <a:hlinkClick xmlns:r="http://schemas.openxmlformats.org/officeDocument/2006/relationships" r:id="rId8"/>
        </xdr:cNvPr>
        <xdr:cNvSpPr/>
      </xdr:nvSpPr>
      <xdr:spPr>
        <a:xfrm>
          <a:off x="285749" y="2733674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3.4</a:t>
          </a:r>
          <a:r>
            <a:rPr lang="en-AU" sz="1100" baseline="0"/>
            <a:t> Operational data</a:t>
          </a:r>
          <a:endParaRPr lang="en-A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nta.net.int\TAL3\WORKCOORD\Capex\2007%205%20year%20capex%20review\Budget%20Development\Budget%20versions\Week_rpt\2000\11_November_00\TEMP\July-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Taylor\FASSETS\Ytdmar99\99DEP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prd17\netmgt\ManAcc02\Snapshot%20YE31Dec01\Reports\E02_C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braham\AppData\Local\Microsoft\Windows\Temporary%20Internet%20Files\Content.IE5\L7PP0UNH\MGH%20ver15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ltinet%20Cost%20Model\PIES%20Budget%20Model%20MASTER%20v2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fung01\Documents\UE%20MG\From%20Kylie\Cost%20Model\MGH_OverallCostModel_v2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prd16\finance\ManAcc02\Snapshot%20YE31Dec01\Reports\E02_C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prd17\netmgt\ManAcc04\Budget\5am\Mods\Alinta34em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DNEY"/>
      <sheetName val="SYDN WEST"/>
      <sheetName val="BATHURST"/>
      <sheetName val="CANBERRA"/>
      <sheetName val="GOULBURN"/>
      <sheetName val="WOLLONGONG"/>
      <sheetName val="SUMMARY"/>
      <sheetName val="MACRO"/>
      <sheetName val="NCC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l admin "/>
      <sheetName val="mbl bspbk"/>
      <sheetName val="mbl bucoi"/>
      <sheetName val="mbl cppsf"/>
      <sheetName val="mbl isd"/>
      <sheetName val="mel eqres"/>
      <sheetName val="mel eqsal"/>
      <sheetName val="mfuk admin"/>
      <sheetName val="SUMMARY"/>
      <sheetName val="BALANCES"/>
      <sheetName val="1005"/>
      <sheetName val="1005 PETTY CASH "/>
      <sheetName val="1100"/>
      <sheetName val="1100HSBC"/>
      <sheetName val="1100 (PROD SAL)"/>
      <sheetName val="1250clearing"/>
      <sheetName val="Trans"/>
      <sheetName val="1250HEALTH"/>
      <sheetName val="1250salaries"/>
      <sheetName val="1250salaries Syd"/>
      <sheetName val="sal advances"/>
      <sheetName val="1250tax"/>
      <sheetName val="1800PREPMTS"/>
      <sheetName val="ANALYSIS"/>
      <sheetName val="1800 Trans"/>
      <sheetName val="MSUK 2500"/>
      <sheetName val="MEL 2900"/>
      <sheetName val="3500APClear"/>
      <sheetName val="3500OTHER AUD"/>
      <sheetName val="3500OTHERGBP"/>
      <sheetName val="3550SUPER"/>
      <sheetName val="MBL 3545"/>
      <sheetName val="MSUK 3575"/>
      <sheetName val="MBL 3610"/>
      <sheetName val="MEUK 3610"/>
      <sheetName val="MSUK 3610"/>
      <sheetName val="3620"/>
      <sheetName val="3700BT"/>
      <sheetName val="4650"/>
      <sheetName val="Ass"/>
      <sheetName val="99DEPN"/>
      <sheetName val="KBICL Budget 2004"/>
      <sheetName val="Timing"/>
      <sheetName val="Financing Inputs"/>
      <sheetName val="ProfitLoss"/>
      <sheetName val="Sheet1"/>
      <sheetName val="FLS Stages 1 &amp; 2 - Macq Bank"/>
      <sheetName val="mbl_admin_"/>
      <sheetName val="mbl_bspbk"/>
      <sheetName val="mbl_bucoi"/>
      <sheetName val="mbl_cppsf"/>
      <sheetName val="mbl_isd"/>
      <sheetName val="mel_eqres"/>
      <sheetName val="mel_eqsal"/>
      <sheetName val="mfuk_admin"/>
      <sheetName val="1005_PETTY_CASH_"/>
      <sheetName val="1100_(PROD_SAL)"/>
      <sheetName val="1250salaries_Syd"/>
      <sheetName val="sal_advances"/>
      <sheetName val="1800_Trans"/>
      <sheetName val="MSUK_2500"/>
      <sheetName val="MEL_2900"/>
      <sheetName val="3500OTHER_AUD"/>
      <sheetName val="MBL_3545"/>
      <sheetName val="MSUK_3575"/>
      <sheetName val="MBL_3610"/>
      <sheetName val="MEUK_3610"/>
      <sheetName val="MSUK_3610"/>
      <sheetName val="KBICL_Budget_2004"/>
      <sheetName val="Financing_Inputs"/>
      <sheetName val="FLS_Stages_1_&amp;_2_-_Macq_Ba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PL for BBJC"/>
      <sheetName val="PAR Cons PL"/>
      <sheetName val="PAR PL by Coy"/>
      <sheetName val="SS_CORT_ PL"/>
      <sheetName val="SS_AFIN_ PL"/>
      <sheetName val="PAR CapWork"/>
      <sheetName val="PAR BS by Coy"/>
      <sheetName val="PAR Cashflow"/>
      <sheetName val="HR&amp;SAFETY KPI"/>
      <sheetName val="SHARE KPI"/>
      <sheetName val="DataGraph"/>
      <sheetName val="DataAct"/>
      <sheetName val="DataBud"/>
      <sheetName val="DataActCORT"/>
      <sheetName val="DataBudCORT"/>
      <sheetName val="DataActAFIN"/>
      <sheetName val="DataBudAFIN"/>
      <sheetName val="DataAct Capex"/>
      <sheetName val="DataBud Capex"/>
      <sheetName val="Date"/>
      <sheetName val="PAR PL by Coy (copy)"/>
      <sheetName val="PAR Cashflow (copy)"/>
      <sheetName val="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Formats_Styles_&amp;_Naming_Key_BO"/>
      <sheetName val="Ver_Log_BA"/>
      <sheetName val="DeltaFY_TA"/>
      <sheetName val="DeltaCY_TA"/>
      <sheetName val="CPI&amp;Int_FA"/>
      <sheetName val="GA"/>
      <sheetName val="RevMthly_FA"/>
      <sheetName val="RevQtrly_FA"/>
      <sheetName val="Volume_FA"/>
      <sheetName val="RevMisc_BA"/>
      <sheetName val="OpexMthly_FA"/>
      <sheetName val="OpexQtrly_FA"/>
      <sheetName val="CapexMthly_FA"/>
      <sheetName val="CapexQtrly_FA"/>
      <sheetName val="WACC_FA"/>
      <sheetName val="Reg_Opex_FA"/>
      <sheetName val="CarryOver_FA"/>
      <sheetName val="Reg_Capex_FA"/>
      <sheetName val="Tax_Wedge_FA"/>
      <sheetName val="Debt_BA"/>
      <sheetName val="Divs_NewEquity_FA"/>
      <sheetName val="Tax_FA"/>
      <sheetName val="Hist_Fin_Stmt_FA"/>
      <sheetName val="Eq_Val_FA"/>
      <sheetName val="Ent_Val_FA"/>
      <sheetName val="Valn_WACC_BA"/>
      <sheetName val="CapexMthly_FO"/>
      <sheetName val="CapexQtrly_FO"/>
      <sheetName val="CapexAnn_FO"/>
      <sheetName val="Capex_Subsidy_FO"/>
      <sheetName val="Depn_Exist_Asst_FA"/>
      <sheetName val="Depn_BA"/>
      <sheetName val="Depn_Bk_FO"/>
      <sheetName val="Depn_Tax_FO"/>
      <sheetName val="RegMisc_FA"/>
      <sheetName val="RAB_Bk_FO"/>
      <sheetName val="DebtDraw_FO"/>
      <sheetName val="DebtMthly_FO"/>
      <sheetName val="DebtSummMthly_FO"/>
      <sheetName val="DebtQtrly_FO"/>
      <sheetName val="DebtSummQtrly_FO"/>
      <sheetName val="ClassB_Divs_FO"/>
      <sheetName val="Tax_FO"/>
      <sheetName val="Reg_Rev_FO"/>
      <sheetName val="P&amp;LQtrly_FO"/>
      <sheetName val="P&amp;LAnn_FO"/>
      <sheetName val="CashFQtrly_FO"/>
      <sheetName val="CashFAnn_FO"/>
      <sheetName val="BalShtQtrly_FO"/>
      <sheetName val="BalShtAnn_FO"/>
      <sheetName val="Board_FO"/>
      <sheetName val="P&amp;LMthly_FO"/>
      <sheetName val="CashFMthly_FO"/>
      <sheetName val="BalShtMthly_FO"/>
      <sheetName val="Eq_Val_FO"/>
      <sheetName val="Ent_Val_FO"/>
      <sheetName val="ChartQtrly_FO"/>
      <sheetName val="ChartYrly_TO"/>
      <sheetName val="Ratings_BO"/>
      <sheetName val="Banks_BO"/>
      <sheetName val="Business_BO"/>
      <sheetName val="Err_Chks_BO"/>
      <sheetName val="Sens_Chks_BO"/>
      <sheetName val="Alt_Chks_BO"/>
      <sheetName val="GL"/>
    </sheetNames>
    <sheetDataSet>
      <sheetData sheetId="0">
        <row r="10">
          <cell r="C10" t="str">
            <v>MGH Corporate Model (8 Alerts Detected)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B1" t="str">
            <v>CPI, Interest Rate &amp; Debt Margin Assumptions</v>
          </cell>
        </row>
      </sheetData>
      <sheetData sheetId="7">
        <row r="1">
          <cell r="B1" t="str">
            <v>General Assumptions &amp; Scenario Selections</v>
          </cell>
        </row>
      </sheetData>
      <sheetData sheetId="8">
        <row r="24">
          <cell r="H24">
            <v>41090</v>
          </cell>
        </row>
      </sheetData>
      <sheetData sheetId="9">
        <row r="32">
          <cell r="I32">
            <v>0</v>
          </cell>
        </row>
      </sheetData>
      <sheetData sheetId="10">
        <row r="35">
          <cell r="I35">
            <v>0</v>
          </cell>
        </row>
      </sheetData>
      <sheetData sheetId="11">
        <row r="11">
          <cell r="I11">
            <v>1</v>
          </cell>
        </row>
      </sheetData>
      <sheetData sheetId="12">
        <row r="24">
          <cell r="H24">
            <v>41090</v>
          </cell>
        </row>
      </sheetData>
      <sheetData sheetId="13">
        <row r="51">
          <cell r="I51">
            <v>0</v>
          </cell>
        </row>
      </sheetData>
      <sheetData sheetId="14">
        <row r="70">
          <cell r="I70">
            <v>0</v>
          </cell>
        </row>
      </sheetData>
      <sheetData sheetId="15">
        <row r="73">
          <cell r="I73">
            <v>0</v>
          </cell>
        </row>
      </sheetData>
      <sheetData sheetId="16"/>
      <sheetData sheetId="17">
        <row r="70">
          <cell r="L70">
            <v>0</v>
          </cell>
        </row>
      </sheetData>
      <sheetData sheetId="18"/>
      <sheetData sheetId="19">
        <row r="62">
          <cell r="H62">
            <v>0</v>
          </cell>
        </row>
        <row r="83">
          <cell r="H83">
            <v>1</v>
          </cell>
        </row>
      </sheetData>
      <sheetData sheetId="20"/>
      <sheetData sheetId="21">
        <row r="113">
          <cell r="J113">
            <v>0.8</v>
          </cell>
        </row>
      </sheetData>
      <sheetData sheetId="22">
        <row r="34">
          <cell r="I34">
            <v>1</v>
          </cell>
        </row>
      </sheetData>
      <sheetData sheetId="23">
        <row r="24">
          <cell r="C24" t="b">
            <v>1</v>
          </cell>
        </row>
      </sheetData>
      <sheetData sheetId="24">
        <row r="1">
          <cell r="B1" t="str">
            <v>Historical Financial Statements (Qtrly) ($'000,Nominal)</v>
          </cell>
        </row>
        <row r="310">
          <cell r="I310">
            <v>0</v>
          </cell>
        </row>
      </sheetData>
      <sheetData sheetId="25">
        <row r="24">
          <cell r="C24" t="b">
            <v>1</v>
          </cell>
        </row>
      </sheetData>
      <sheetData sheetId="26">
        <row r="24">
          <cell r="C24" t="b">
            <v>1</v>
          </cell>
        </row>
      </sheetData>
      <sheetData sheetId="27"/>
      <sheetData sheetId="28">
        <row r="55">
          <cell r="I55">
            <v>0</v>
          </cell>
        </row>
      </sheetData>
      <sheetData sheetId="29">
        <row r="68">
          <cell r="I68">
            <v>0</v>
          </cell>
        </row>
      </sheetData>
      <sheetData sheetId="30">
        <row r="55">
          <cell r="I55">
            <v>0</v>
          </cell>
        </row>
      </sheetData>
      <sheetData sheetId="31">
        <row r="31">
          <cell r="I31">
            <v>0</v>
          </cell>
        </row>
      </sheetData>
      <sheetData sheetId="32"/>
      <sheetData sheetId="33">
        <row r="10">
          <cell r="K10">
            <v>783100</v>
          </cell>
        </row>
      </sheetData>
      <sheetData sheetId="34">
        <row r="41">
          <cell r="I41">
            <v>0</v>
          </cell>
        </row>
      </sheetData>
      <sheetData sheetId="35">
        <row r="40">
          <cell r="I40">
            <v>0</v>
          </cell>
        </row>
      </sheetData>
      <sheetData sheetId="36">
        <row r="21">
          <cell r="O21">
            <v>187.15738338231415</v>
          </cell>
        </row>
      </sheetData>
      <sheetData sheetId="37">
        <row r="52">
          <cell r="I52">
            <v>0</v>
          </cell>
        </row>
      </sheetData>
      <sheetData sheetId="38">
        <row r="1">
          <cell r="B1" t="str">
            <v>WCF &amp; SCF Drawdowns by Quarter - Forecast ($'000,Nominal)</v>
          </cell>
        </row>
        <row r="156">
          <cell r="I156">
            <v>0</v>
          </cell>
        </row>
      </sheetData>
      <sheetData sheetId="39">
        <row r="77">
          <cell r="I77">
            <v>0</v>
          </cell>
        </row>
      </sheetData>
      <sheetData sheetId="40">
        <row r="234">
          <cell r="I234">
            <v>0</v>
          </cell>
        </row>
      </sheetData>
      <sheetData sheetId="41">
        <row r="82">
          <cell r="I82">
            <v>0</v>
          </cell>
        </row>
      </sheetData>
      <sheetData sheetId="42">
        <row r="263">
          <cell r="I263">
            <v>1</v>
          </cell>
        </row>
      </sheetData>
      <sheetData sheetId="43">
        <row r="33">
          <cell r="I33">
            <v>1</v>
          </cell>
        </row>
      </sheetData>
      <sheetData sheetId="44">
        <row r="1">
          <cell r="B1" t="str">
            <v>Taxation - Outputs ($'000,Nominal)</v>
          </cell>
        </row>
        <row r="191">
          <cell r="I191">
            <v>0</v>
          </cell>
        </row>
        <row r="208">
          <cell r="I208">
            <v>0</v>
          </cell>
        </row>
      </sheetData>
      <sheetData sheetId="45">
        <row r="74">
          <cell r="I74">
            <v>0</v>
          </cell>
        </row>
      </sheetData>
      <sheetData sheetId="46">
        <row r="125">
          <cell r="I125">
            <v>0</v>
          </cell>
        </row>
      </sheetData>
      <sheetData sheetId="47"/>
      <sheetData sheetId="48">
        <row r="152">
          <cell r="I152">
            <v>0</v>
          </cell>
        </row>
      </sheetData>
      <sheetData sheetId="49">
        <row r="76">
          <cell r="I76">
            <v>0</v>
          </cell>
        </row>
      </sheetData>
      <sheetData sheetId="50">
        <row r="125">
          <cell r="K125">
            <v>0</v>
          </cell>
        </row>
      </sheetData>
      <sheetData sheetId="51">
        <row r="95">
          <cell r="I95">
            <v>0</v>
          </cell>
        </row>
      </sheetData>
      <sheetData sheetId="52">
        <row r="1">
          <cell r="B1" t="str">
            <v>Board Reports &amp; Data Book ($'000,Nominal)</v>
          </cell>
        </row>
        <row r="309">
          <cell r="I309">
            <v>0</v>
          </cell>
        </row>
        <row r="389">
          <cell r="I389">
            <v>0</v>
          </cell>
        </row>
        <row r="420">
          <cell r="I420">
            <v>0</v>
          </cell>
        </row>
      </sheetData>
      <sheetData sheetId="53">
        <row r="117">
          <cell r="I117">
            <v>0</v>
          </cell>
        </row>
      </sheetData>
      <sheetData sheetId="54">
        <row r="120">
          <cell r="I120">
            <v>0</v>
          </cell>
        </row>
      </sheetData>
      <sheetData sheetId="55">
        <row r="124">
          <cell r="I124">
            <v>1</v>
          </cell>
        </row>
      </sheetData>
      <sheetData sheetId="56">
        <row r="66">
          <cell r="H66">
            <v>0</v>
          </cell>
        </row>
      </sheetData>
      <sheetData sheetId="57">
        <row r="68">
          <cell r="H68">
            <v>0</v>
          </cell>
        </row>
      </sheetData>
      <sheetData sheetId="58">
        <row r="81">
          <cell r="D81" t="str">
            <v>FFOIC Rolling 12m</v>
          </cell>
        </row>
      </sheetData>
      <sheetData sheetId="59"/>
      <sheetData sheetId="60"/>
      <sheetData sheetId="61"/>
      <sheetData sheetId="62"/>
      <sheetData sheetId="63">
        <row r="9">
          <cell r="C9" t="b">
            <v>1</v>
          </cell>
        </row>
      </sheetData>
      <sheetData sheetId="64">
        <row r="9">
          <cell r="C9" t="b">
            <v>1</v>
          </cell>
        </row>
      </sheetData>
      <sheetData sheetId="65">
        <row r="9">
          <cell r="C9" t="b">
            <v>1</v>
          </cell>
        </row>
      </sheetData>
      <sheetData sheetId="66">
        <row r="13">
          <cell r="C13" t="str">
            <v>January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Assumptions_SC"/>
      <sheetName val="GenAssum_BA"/>
      <sheetName val="AllocAssum_BA"/>
      <sheetName val="Escalation_TA"/>
      <sheetName val="CostCentre_BA"/>
      <sheetName val="Sheet5"/>
      <sheetName val="Sheet4"/>
      <sheetName val="FTEAssum_TA"/>
      <sheetName val="OpexSharedAssum_TA"/>
      <sheetName val="OpexUEDAssum_TA"/>
      <sheetName val="OpexMGHAssum_TA"/>
      <sheetName val="CapexUED_TA"/>
      <sheetName val="CapexMGH"/>
      <sheetName val="Rev&amp;Dep UED"/>
      <sheetName val="Rev&amp;Dep MGH"/>
      <sheetName val="Op Bal Sheet UED"/>
      <sheetName val="Op Bal Sheet MGH"/>
      <sheetName val="Debt UED"/>
      <sheetName val="Debt MGH"/>
      <sheetName val="Outputs_SC"/>
      <sheetName val="FTE_Summary_TO"/>
      <sheetName val="UED P&amp;L-Cal Yr"/>
      <sheetName val="UED P&amp;L-Fin Yr"/>
      <sheetName val="UED P&amp;L-Qtr"/>
      <sheetName val="UED P&amp;L-Month"/>
      <sheetName val="UED Capex-Cal Yr"/>
      <sheetName val="UED Capex-Fin Yr"/>
      <sheetName val="UED Capex-Qtr"/>
      <sheetName val="UED Capex-Month"/>
      <sheetName val="UED Cash Flow-Month"/>
      <sheetName val="UED Balance Sheet-Month"/>
      <sheetName val="MGH P&amp;L-Cal Yr"/>
      <sheetName val="MGH P&amp;L-Fin Yr"/>
      <sheetName val="MGH P&amp;L-Qtr"/>
      <sheetName val="MGH P&amp;L-Month"/>
      <sheetName val="MGH Capex-Cal Yr"/>
      <sheetName val="MGH Capex-Fin Yr"/>
      <sheetName val="MGH Capex-Qtr"/>
      <sheetName val="MGH Capex-Month"/>
      <sheetName val="MGH Cash Flow-Month"/>
      <sheetName val="MGH Balance Sheet-Month"/>
      <sheetName val="UED Debt"/>
      <sheetName val="UED Sum by Function"/>
      <sheetName val="UED Sum by Account"/>
      <sheetName val="Budget Presentation UED"/>
      <sheetName val="MGH Debt"/>
      <sheetName val="MGH Sum by Function"/>
      <sheetName val="MGH Sum by Account"/>
      <sheetName val="Budget Presentation MGH"/>
      <sheetName val="Asset Management Report"/>
      <sheetName val="CEO Report"/>
      <sheetName val="CMM Report"/>
      <sheetName val="COM Report"/>
      <sheetName val="FIN Report"/>
      <sheetName val="HR Report"/>
      <sheetName val="IT Report"/>
      <sheetName val="NIT Report"/>
      <sheetName val="OHS Report"/>
      <sheetName val="REG Report"/>
      <sheetName val="RISK Report"/>
      <sheetName val="SDN Report"/>
      <sheetName val="SDS Report"/>
      <sheetName val="UED-AAA Report"/>
      <sheetName val="UED-BBB Report"/>
      <sheetName val="UED-CCC Report"/>
      <sheetName val="UED-DDD Report"/>
      <sheetName val="MGH-AAA Report"/>
      <sheetName val="MGH-BBB Report"/>
      <sheetName val="MGH-CCC Report"/>
      <sheetName val="MGH-DDD Report"/>
      <sheetName val="AD Report"/>
      <sheetName val="PIES"/>
      <sheetName val="Appendices_SC"/>
      <sheetName val="Lookup_Tables_SSC"/>
      <sheetName val="TS_LU"/>
      <sheetName val="Checks_SSC"/>
      <sheetName val="Checks_BO"/>
      <sheetName val="Sheet1"/>
    </sheetNames>
    <sheetDataSet>
      <sheetData sheetId="0">
        <row r="10">
          <cell r="C10" t="str">
            <v>Budget MASTER (7 Errors Detected)</v>
          </cell>
        </row>
      </sheetData>
      <sheetData sheetId="1"/>
      <sheetData sheetId="2"/>
      <sheetData sheetId="3">
        <row r="12">
          <cell r="J12" t="str">
            <v>Monthly</v>
          </cell>
        </row>
      </sheetData>
      <sheetData sheetId="4">
        <row r="1">
          <cell r="B1" t="str">
            <v>Allocation Assumptions</v>
          </cell>
        </row>
      </sheetData>
      <sheetData sheetId="5"/>
      <sheetData sheetId="6">
        <row r="10">
          <cell r="F10" t="str">
            <v>CEO Office</v>
          </cell>
        </row>
      </sheetData>
      <sheetData sheetId="7"/>
      <sheetData sheetId="8"/>
      <sheetData sheetId="9"/>
      <sheetData sheetId="10">
        <row r="19">
          <cell r="A19" t="str">
            <v>1210Utilities</v>
          </cell>
        </row>
      </sheetData>
      <sheetData sheetId="11">
        <row r="19">
          <cell r="A19" t="str">
            <v>1420OMSA</v>
          </cell>
        </row>
      </sheetData>
      <sheetData sheetId="12">
        <row r="19">
          <cell r="A19" t="str">
            <v>2300IT Infrastructure Management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 t="str">
            <v>Resources Costs Summary by Financial Year ($'000,Nominal)</v>
          </cell>
        </row>
        <row r="127">
          <cell r="I127">
            <v>1</v>
          </cell>
        </row>
      </sheetData>
      <sheetData sheetId="23"/>
      <sheetData sheetId="24"/>
      <sheetData sheetId="25"/>
      <sheetData sheetId="26"/>
      <sheetData sheetId="27">
        <row r="1">
          <cell r="B1" t="str">
            <v>UED - Capex by Calendar Year ($'000,Nominal)</v>
          </cell>
        </row>
        <row r="87">
          <cell r="F87">
            <v>0</v>
          </cell>
        </row>
      </sheetData>
      <sheetData sheetId="28">
        <row r="1">
          <cell r="B1" t="str">
            <v>UED - Capex by Financial Year ($'000,Nominal)</v>
          </cell>
        </row>
        <row r="87">
          <cell r="F87">
            <v>0</v>
          </cell>
        </row>
      </sheetData>
      <sheetData sheetId="29">
        <row r="1">
          <cell r="B1" t="str">
            <v>UED - Capex by Quarter ($'000,Nominal)</v>
          </cell>
        </row>
        <row r="87">
          <cell r="F87">
            <v>0</v>
          </cell>
        </row>
      </sheetData>
      <sheetData sheetId="30">
        <row r="1">
          <cell r="B1" t="str">
            <v>UED - Capex by Month ($'000,Nominal)</v>
          </cell>
        </row>
        <row r="96">
          <cell r="F96">
            <v>0</v>
          </cell>
        </row>
      </sheetData>
      <sheetData sheetId="31"/>
      <sheetData sheetId="32">
        <row r="1">
          <cell r="B1" t="str">
            <v>UED - Balance Sheet by Month ($'000,Nominal)</v>
          </cell>
        </row>
        <row r="90">
          <cell r="F90">
            <v>1</v>
          </cell>
        </row>
      </sheetData>
      <sheetData sheetId="33"/>
      <sheetData sheetId="34"/>
      <sheetData sheetId="35"/>
      <sheetData sheetId="36"/>
      <sheetData sheetId="37">
        <row r="1">
          <cell r="B1" t="str">
            <v>MGH - Capex by Calendar Year ($'000,Nominal)</v>
          </cell>
        </row>
        <row r="69">
          <cell r="F69">
            <v>0</v>
          </cell>
        </row>
      </sheetData>
      <sheetData sheetId="38">
        <row r="1">
          <cell r="B1" t="str">
            <v>MGH - Capex by Financial Year ($'000,Nominal)</v>
          </cell>
        </row>
        <row r="69">
          <cell r="F69">
            <v>0</v>
          </cell>
        </row>
      </sheetData>
      <sheetData sheetId="39">
        <row r="1">
          <cell r="B1" t="str">
            <v>MGH - Capex by Quarter ($'000,Nominal)</v>
          </cell>
        </row>
        <row r="69">
          <cell r="F69">
            <v>0</v>
          </cell>
        </row>
      </sheetData>
      <sheetData sheetId="40">
        <row r="1">
          <cell r="B1" t="str">
            <v>MGH - Capex by Month ($'000,Nominal)</v>
          </cell>
        </row>
        <row r="78">
          <cell r="F78">
            <v>0</v>
          </cell>
        </row>
      </sheetData>
      <sheetData sheetId="41"/>
      <sheetData sheetId="42">
        <row r="1">
          <cell r="B1" t="str">
            <v>MGH - Balance Sheet by Month ($'000,Nominal)</v>
          </cell>
        </row>
        <row r="70">
          <cell r="F70">
            <v>0</v>
          </cell>
        </row>
      </sheetData>
      <sheetData sheetId="43"/>
      <sheetData sheetId="44">
        <row r="1">
          <cell r="B1" t="str">
            <v>UED - Dept Summary by Month ($'000,Nominal) NOT IN USE</v>
          </cell>
        </row>
        <row r="170">
          <cell r="F170">
            <v>0</v>
          </cell>
        </row>
        <row r="171">
          <cell r="F171">
            <v>1</v>
          </cell>
        </row>
      </sheetData>
      <sheetData sheetId="45">
        <row r="1">
          <cell r="B1" t="str">
            <v>UED - Account Summary by Month ($'000,Nominal)</v>
          </cell>
        </row>
        <row r="414">
          <cell r="F414">
            <v>0</v>
          </cell>
        </row>
      </sheetData>
      <sheetData sheetId="46"/>
      <sheetData sheetId="47"/>
      <sheetData sheetId="48">
        <row r="1">
          <cell r="B1" t="str">
            <v>MGH - Dept Summary by Month ($'000,Nominal) NOT IN USE</v>
          </cell>
        </row>
        <row r="166">
          <cell r="F166">
            <v>0</v>
          </cell>
        </row>
        <row r="167">
          <cell r="F167">
            <v>1</v>
          </cell>
        </row>
      </sheetData>
      <sheetData sheetId="49">
        <row r="1">
          <cell r="B1" t="str">
            <v>MGH - Account Summary by Month</v>
          </cell>
        </row>
        <row r="328">
          <cell r="F328">
            <v>0</v>
          </cell>
        </row>
      </sheetData>
      <sheetData sheetId="50"/>
      <sheetData sheetId="51">
        <row r="1">
          <cell r="B1" t="str">
            <v>Cost Centre Report by Month CEM ($'000,Nominal)</v>
          </cell>
        </row>
      </sheetData>
      <sheetData sheetId="52">
        <row r="1">
          <cell r="B1" t="str">
            <v>Cost Centre Report by Month CEO ($'000,Nominal)</v>
          </cell>
        </row>
      </sheetData>
      <sheetData sheetId="53">
        <row r="1">
          <cell r="B1" t="str">
            <v>Cost Centre Report by Month CMM ($'000,Nominal)</v>
          </cell>
        </row>
      </sheetData>
      <sheetData sheetId="54">
        <row r="1">
          <cell r="B1" t="str">
            <v>Cost Centre Report by Month COM ($'000,Nominal)</v>
          </cell>
        </row>
      </sheetData>
      <sheetData sheetId="55">
        <row r="1">
          <cell r="B1" t="str">
            <v>Cost Centre Report by Month FIN ($'000,Nominal)</v>
          </cell>
        </row>
      </sheetData>
      <sheetData sheetId="56">
        <row r="1">
          <cell r="B1" t="str">
            <v>Cost Centre Report by Month HR ($'000,Nominal)</v>
          </cell>
        </row>
      </sheetData>
      <sheetData sheetId="57">
        <row r="1">
          <cell r="B1" t="str">
            <v>Cost Centre Report by Month IT ($'000,Nominal)</v>
          </cell>
        </row>
      </sheetData>
      <sheetData sheetId="58">
        <row r="1">
          <cell r="B1" t="str">
            <v>Cost Centre Report by Month NIT ($'000,Nominal)</v>
          </cell>
        </row>
      </sheetData>
      <sheetData sheetId="59">
        <row r="1">
          <cell r="B1" t="str">
            <v>Cost Centre Report by Month OHS ($'000,Nominal)</v>
          </cell>
        </row>
      </sheetData>
      <sheetData sheetId="60">
        <row r="1">
          <cell r="B1" t="str">
            <v>Cost Centre Report by Month REG ($'000,Nominal)</v>
          </cell>
        </row>
      </sheetData>
      <sheetData sheetId="61">
        <row r="1">
          <cell r="B1" t="str">
            <v>Cost Centre Report by Month RISK ($'000,Nominal)</v>
          </cell>
        </row>
      </sheetData>
      <sheetData sheetId="62">
        <row r="1">
          <cell r="B1" t="str">
            <v>Cost Centre Report by Month SDN ($'000,Nominal)</v>
          </cell>
        </row>
      </sheetData>
      <sheetData sheetId="63">
        <row r="1">
          <cell r="B1" t="str">
            <v>Cost Centre Report by Month SDS ($'000,Nominal)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">
          <cell r="B1" t="str">
            <v>Cost Centre 1430 - Report by Month ($'000,Nominal)</v>
          </cell>
        </row>
        <row r="1110">
          <cell r="P1110">
            <v>0</v>
          </cell>
        </row>
      </sheetData>
      <sheetData sheetId="73"/>
      <sheetData sheetId="74"/>
      <sheetData sheetId="75"/>
      <sheetData sheetId="76">
        <row r="12">
          <cell r="D12">
            <v>1</v>
          </cell>
        </row>
      </sheetData>
      <sheetData sheetId="77"/>
      <sheetData sheetId="78">
        <row r="7">
          <cell r="B7" t="str">
            <v>Error Checks</v>
          </cell>
        </row>
        <row r="66">
          <cell r="B66" t="str">
            <v>Sensitivity Checks</v>
          </cell>
        </row>
        <row r="82">
          <cell r="B82" t="str">
            <v>Alert Checks</v>
          </cell>
        </row>
      </sheetData>
      <sheetData sheetId="7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S)"/>
      <sheetName val="Capex (N)"/>
      <sheetName val="4. Capex Cost Summary (S)"/>
      <sheetName val="4. Capex Cost Summary (N)"/>
      <sheetName val="3. Opex Cost Summary (S)"/>
      <sheetName val="3. Opex Cost Summary (N)"/>
      <sheetName val="IT CAPEX"/>
      <sheetName val="Summary by Year (NEW)"/>
      <sheetName val="4.3.0 Neg1 Quantitative Summary"/>
      <sheetName val="CMS - Meter Reading Pricing"/>
      <sheetName val="Field Services Transition"/>
      <sheetName val="FTE Budget"/>
      <sheetName val="Other Ntwk Svcs Costs"/>
      <sheetName val="NSP"/>
      <sheetName val="Contents"/>
      <sheetName val="Description"/>
      <sheetName val="Summary by Year"/>
      <sheetName val="A1. Budget by Month(New)"/>
      <sheetName val="A1. Budget by Month"/>
      <sheetName val="A2. Labour Budget"/>
      <sheetName val="A3. Labour Budget Assumptions"/>
      <sheetName val="A4. BudgetForecastAssump"/>
      <sheetName val="A5. IT Budget"/>
      <sheetName val="C1. Capex by Qtr"/>
      <sheetName val="D1. AMP by Qtr FY11-13"/>
      <sheetName val="D2. Updated AMP by Qtr FY 14-18"/>
      <sheetName val="D3. Capex Internal OH by Qtr"/>
      <sheetName val="F1. Ref Line (AS)"/>
      <sheetName val="RAS 7- Meters"/>
      <sheetName val="F2. Forecast (AS)"/>
      <sheetName val="F3. Summary (AS)"/>
      <sheetName val="F4. Maint (AS)"/>
      <sheetName val="Other Operating"/>
      <sheetName val="F5. Other (AS)"/>
      <sheetName val="G1. RBA Inflation"/>
      <sheetName val="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PL for BBJC"/>
      <sheetName val="PAR Cons PL"/>
      <sheetName val="PAR PL by Coy"/>
      <sheetName val="SS_CORT_ PL"/>
      <sheetName val="SS_AFIN_ PL"/>
      <sheetName val="PAR CapWork"/>
      <sheetName val="PAR BS by Coy"/>
      <sheetName val="PAR Cashflow"/>
      <sheetName val="HR&amp;SAFETY KPI"/>
      <sheetName val="SHARE KPI"/>
      <sheetName val="DataGraph"/>
      <sheetName val="DataAct"/>
      <sheetName val="DataBud"/>
      <sheetName val="DataActCORT"/>
      <sheetName val="DataBudCORT"/>
      <sheetName val="DataActAFIN"/>
      <sheetName val="DataBudAFIN"/>
      <sheetName val="DataAct Capex"/>
      <sheetName val="DataBud Capex"/>
      <sheetName val="Date"/>
      <sheetName val="PAR PL by Coy (copy)"/>
      <sheetName val="PAR Cashflow (copy)"/>
      <sheetName val=" Lookup sheet (shared)"/>
      <sheetName val="Cost Centres"/>
      <sheetName val="YTD Direct Costs"/>
      <sheetName val="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Control"/>
      <sheetName val="SUMMARY"/>
      <sheetName val="OUTPUT"/>
      <sheetName val="Scenario"/>
      <sheetName val="Inputs I"/>
      <sheetName val="Inputs II"/>
      <sheetName val="Cons PL"/>
      <sheetName val="PL Proof"/>
      <sheetName val="Cons CF"/>
      <sheetName val="CF Proof"/>
      <sheetName val="Cons BS"/>
      <sheetName val="BS Proof"/>
      <sheetName val="ANH Cons PL"/>
      <sheetName val="ANH PL Proof"/>
      <sheetName val="ANH Cons BS"/>
      <sheetName val="ANH Proof BS"/>
      <sheetName val="ANH Cons CF"/>
      <sheetName val="ANH CF Proof"/>
      <sheetName val="ALN"/>
      <sheetName val="AFI"/>
      <sheetName val="AGS"/>
      <sheetName val="AGN"/>
      <sheetName val="ANH"/>
      <sheetName val="ANS"/>
      <sheetName val="ACO"/>
      <sheetName val="UEC"/>
      <sheetName val="ALN BS"/>
      <sheetName val="AFI BS"/>
      <sheetName val="AGS BS"/>
      <sheetName val="AGN BS"/>
      <sheetName val="ANH BS"/>
      <sheetName val="ANW BS"/>
      <sheetName val="ANS BS"/>
      <sheetName val="ACO BS"/>
      <sheetName val="NPS"/>
      <sheetName val="NPSWA"/>
      <sheetName val="WAGH BS"/>
      <sheetName val="NPS BS"/>
      <sheetName val="NPSWA BS"/>
      <sheetName val="UEC BS"/>
      <sheetName val="Fees"/>
      <sheetName val="Allocation NDA"/>
      <sheetName val="Assumptions Book"/>
      <sheetName val="Sub PL"/>
      <sheetName val="Sub BS"/>
      <sheetName val="Sub CF"/>
      <sheetName val="Sub PL Proof"/>
      <sheetName val="Sub BS Proof"/>
      <sheetName val="Sub CF Proof"/>
      <sheetName val="Share Split"/>
      <sheetName val="ANSAGS"/>
      <sheetName val="Bank"/>
      <sheetName val="Payments Matr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D3" t="str">
            <v>Months</v>
          </cell>
        </row>
        <row r="4">
          <cell r="D4">
            <v>37622</v>
          </cell>
          <cell r="E4">
            <v>37653</v>
          </cell>
          <cell r="F4">
            <v>37681</v>
          </cell>
          <cell r="G4">
            <v>37712</v>
          </cell>
          <cell r="H4">
            <v>37742</v>
          </cell>
          <cell r="I4">
            <v>37773</v>
          </cell>
        </row>
        <row r="66">
          <cell r="D66">
            <v>0.19574522</v>
          </cell>
          <cell r="E66">
            <v>0.20021327999999999</v>
          </cell>
          <cell r="F66">
            <v>0.21542022</v>
          </cell>
          <cell r="G66">
            <v>0.22216348000000002</v>
          </cell>
          <cell r="H66">
            <v>0.20868173000000001</v>
          </cell>
          <cell r="I66">
            <v>0.24229541000000002</v>
          </cell>
        </row>
        <row r="67">
          <cell r="D67">
            <v>6.6526274999999986</v>
          </cell>
          <cell r="E67">
            <v>5.6483580200000008</v>
          </cell>
          <cell r="F67">
            <v>6.5873309299999994</v>
          </cell>
          <cell r="G67">
            <v>7.6297353499999989</v>
          </cell>
          <cell r="H67">
            <v>8.5977521999999986</v>
          </cell>
          <cell r="I67">
            <v>13.40591893</v>
          </cell>
        </row>
        <row r="68">
          <cell r="D68">
            <v>0.10084497000000001</v>
          </cell>
          <cell r="E68">
            <v>0.45071291999999996</v>
          </cell>
          <cell r="F68">
            <v>0.33245094999999997</v>
          </cell>
          <cell r="G68">
            <v>0.12253295</v>
          </cell>
          <cell r="H68">
            <v>0.43522712999999996</v>
          </cell>
          <cell r="I68">
            <v>0.34255707000000002</v>
          </cell>
        </row>
        <row r="69">
          <cell r="D69">
            <v>0.11761000000000001</v>
          </cell>
          <cell r="E69">
            <v>0.10989400000000001</v>
          </cell>
          <cell r="F69">
            <v>0.12453220000000001</v>
          </cell>
          <cell r="G69">
            <v>0.10846739999999999</v>
          </cell>
          <cell r="H69">
            <v>0.108533</v>
          </cell>
          <cell r="I69">
            <v>0.10716500000000001</v>
          </cell>
        </row>
        <row r="72">
          <cell r="D72">
            <v>1.45327703</v>
          </cell>
          <cell r="E72">
            <v>1.80779125</v>
          </cell>
          <cell r="F72">
            <v>1.4405014000000003</v>
          </cell>
          <cell r="G72">
            <v>1.65200587</v>
          </cell>
          <cell r="H72">
            <v>2.0616600699999998</v>
          </cell>
          <cell r="I72">
            <v>1.8285125200000005</v>
          </cell>
        </row>
        <row r="75">
          <cell r="D75">
            <v>0.16472487000000002</v>
          </cell>
          <cell r="E75">
            <v>0.15130452</v>
          </cell>
          <cell r="F75">
            <v>0.16847494000000002</v>
          </cell>
          <cell r="G75">
            <v>0.17660049999999999</v>
          </cell>
          <cell r="H75">
            <v>0.29827707000000003</v>
          </cell>
          <cell r="I75">
            <v>0.30686773000000001</v>
          </cell>
        </row>
        <row r="76">
          <cell r="D76">
            <v>0.76559107999999987</v>
          </cell>
          <cell r="E76">
            <v>0.76095891000000004</v>
          </cell>
          <cell r="F76">
            <v>0.76504378999999989</v>
          </cell>
          <cell r="G76">
            <v>0.76026196000000001</v>
          </cell>
          <cell r="H76">
            <v>0.76876995999999997</v>
          </cell>
          <cell r="I76">
            <v>0.8503343699999999</v>
          </cell>
        </row>
        <row r="78">
          <cell r="D78">
            <v>2.3835929799999995</v>
          </cell>
          <cell r="E78">
            <v>2.7200546800000001</v>
          </cell>
          <cell r="F78">
            <v>2.3740201300000003</v>
          </cell>
          <cell r="G78">
            <v>2.5888683299999999</v>
          </cell>
          <cell r="H78">
            <v>3.1287070999999997</v>
          </cell>
          <cell r="I78">
            <v>2.9857146200000004</v>
          </cell>
        </row>
        <row r="80">
          <cell r="D80">
            <v>1.4763949999999999</v>
          </cell>
          <cell r="E80">
            <v>1.4818950000000002</v>
          </cell>
          <cell r="F80">
            <v>1.4872270000000001</v>
          </cell>
          <cell r="G80">
            <v>1.4934500000000002</v>
          </cell>
          <cell r="H80">
            <v>1.4979420000000003</v>
          </cell>
          <cell r="I80">
            <v>1.5037787900000004</v>
          </cell>
        </row>
        <row r="81">
          <cell r="D81">
            <v>6.8099999999999994E-2</v>
          </cell>
          <cell r="E81">
            <v>6.8099999999999994E-2</v>
          </cell>
          <cell r="F81">
            <v>6.8099999999999994E-2</v>
          </cell>
          <cell r="G81">
            <v>6.8099999999999994E-2</v>
          </cell>
          <cell r="H81">
            <v>6.8099999999999994E-2</v>
          </cell>
          <cell r="I81">
            <v>6.8099999999999994E-2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2.5569472599999998</v>
          </cell>
          <cell r="E83">
            <v>2.30045156</v>
          </cell>
          <cell r="F83">
            <v>2.5469285199999998</v>
          </cell>
          <cell r="G83">
            <v>2.4114196400000001</v>
          </cell>
          <cell r="H83">
            <v>2.4762618700000001</v>
          </cell>
          <cell r="I83">
            <v>2.28719589</v>
          </cell>
        </row>
        <row r="84">
          <cell r="D84">
            <v>0.26204100000000002</v>
          </cell>
          <cell r="E84">
            <v>3.2655999999999998E-2</v>
          </cell>
          <cell r="F84">
            <v>0.32258600000000004</v>
          </cell>
          <cell r="G84">
            <v>0.54174500000000003</v>
          </cell>
          <cell r="H84">
            <v>0.74151300000000009</v>
          </cell>
          <cell r="I84">
            <v>2.41694349</v>
          </cell>
        </row>
        <row r="86">
          <cell r="D86">
            <v>0.31975144999999899</v>
          </cell>
          <cell r="E86">
            <v>-0.19397901999999936</v>
          </cell>
          <cell r="F86">
            <v>0.46087264999999911</v>
          </cell>
          <cell r="G86">
            <v>0.97931620999999891</v>
          </cell>
          <cell r="H86">
            <v>1.4376700899999979</v>
          </cell>
          <cell r="I86">
            <v>4.8362036199999983</v>
          </cell>
        </row>
        <row r="87">
          <cell r="D87">
            <v>0.3197514499999991</v>
          </cell>
          <cell r="E87">
            <v>-0.19397901999999975</v>
          </cell>
          <cell r="F87">
            <v>0.46087265000000044</v>
          </cell>
          <cell r="G87">
            <v>0.9793162099999978</v>
          </cell>
          <cell r="H87">
            <v>1.4376700899999977</v>
          </cell>
          <cell r="I87">
            <v>4.8362036200000009</v>
          </cell>
        </row>
        <row r="88">
          <cell r="D88">
            <v>0</v>
          </cell>
          <cell r="E88">
            <v>3.8857805861880479E-16</v>
          </cell>
          <cell r="F88">
            <v>-1.3322676295501878E-15</v>
          </cell>
          <cell r="G88">
            <v>1.1102230246251565E-15</v>
          </cell>
          <cell r="H88">
            <v>0</v>
          </cell>
          <cell r="I88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2">
          <cell r="E92">
            <v>2.6322251999999997</v>
          </cell>
        </row>
        <row r="95">
          <cell r="F95">
            <v>1.524</v>
          </cell>
          <cell r="G95">
            <v>0</v>
          </cell>
          <cell r="H95">
            <v>0</v>
          </cell>
          <cell r="I95">
            <v>1.8110029999999999</v>
          </cell>
        </row>
        <row r="96">
          <cell r="F96">
            <v>19.241</v>
          </cell>
          <cell r="G96">
            <v>0</v>
          </cell>
          <cell r="H96">
            <v>0</v>
          </cell>
          <cell r="I96">
            <v>29.960605000000001</v>
          </cell>
        </row>
        <row r="99">
          <cell r="F99">
            <v>-6.14</v>
          </cell>
          <cell r="G99">
            <v>0</v>
          </cell>
          <cell r="H99">
            <v>0</v>
          </cell>
          <cell r="I99">
            <v>-6.8271939999999995</v>
          </cell>
        </row>
        <row r="101">
          <cell r="F101">
            <v>-0.48499999999999999</v>
          </cell>
          <cell r="G101">
            <v>0</v>
          </cell>
          <cell r="H101">
            <v>0</v>
          </cell>
          <cell r="I101">
            <v>-0.83881300000000014</v>
          </cell>
        </row>
        <row r="102">
          <cell r="F102">
            <v>-2.2650000000000001</v>
          </cell>
          <cell r="G102">
            <v>0</v>
          </cell>
          <cell r="H102">
            <v>0</v>
          </cell>
          <cell r="I102">
            <v>-2.2985972600000024</v>
          </cell>
        </row>
        <row r="105">
          <cell r="F105">
            <v>-7.4039999999999999</v>
          </cell>
          <cell r="G105">
            <v>0</v>
          </cell>
          <cell r="H105">
            <v>0</v>
          </cell>
          <cell r="I105">
            <v>-7.1752047400000016</v>
          </cell>
        </row>
        <row r="107">
          <cell r="F107">
            <v>-1.9E-2</v>
          </cell>
          <cell r="G107">
            <v>0</v>
          </cell>
          <cell r="H107">
            <v>0</v>
          </cell>
          <cell r="I107">
            <v>-7.1293350000000002</v>
          </cell>
        </row>
        <row r="108">
          <cell r="F108">
            <v>1.1319999999999999</v>
          </cell>
          <cell r="G108">
            <v>0</v>
          </cell>
          <cell r="H108">
            <v>0</v>
          </cell>
          <cell r="I108">
            <v>0.8099320000000001</v>
          </cell>
        </row>
        <row r="109">
          <cell r="F109">
            <v>-6.13</v>
          </cell>
          <cell r="G109">
            <v>0</v>
          </cell>
          <cell r="H109">
            <v>0</v>
          </cell>
          <cell r="I109">
            <v>-5.9832560000000017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4.0016259999999999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0.03</v>
          </cell>
          <cell r="G113">
            <v>0</v>
          </cell>
          <cell r="H113">
            <v>0</v>
          </cell>
          <cell r="I113">
            <v>2.1567000000000003E-2</v>
          </cell>
        </row>
        <row r="118">
          <cell r="F118">
            <v>-0.51599599999999968</v>
          </cell>
          <cell r="G118">
            <v>0</v>
          </cell>
          <cell r="H118">
            <v>0</v>
          </cell>
          <cell r="I118">
            <v>6.3525889999999965</v>
          </cell>
        </row>
        <row r="119">
          <cell r="D119">
            <v>0</v>
          </cell>
          <cell r="E119">
            <v>0</v>
          </cell>
          <cell r="F119">
            <v>-0.51600000000000024</v>
          </cell>
          <cell r="G119">
            <v>0</v>
          </cell>
          <cell r="H119">
            <v>0</v>
          </cell>
          <cell r="I119">
            <v>6.3523329999999962</v>
          </cell>
        </row>
        <row r="120">
          <cell r="D120">
            <v>0</v>
          </cell>
          <cell r="E120">
            <v>0</v>
          </cell>
          <cell r="F120">
            <v>4.0000000005591119E-6</v>
          </cell>
          <cell r="G120">
            <v>0</v>
          </cell>
          <cell r="H120">
            <v>0</v>
          </cell>
          <cell r="I120">
            <v>2.5600000000025602E-4</v>
          </cell>
        </row>
        <row r="124">
          <cell r="D124">
            <v>2.8582734614946603E-2</v>
          </cell>
          <cell r="E124">
            <v>3.4232852731059291E-2</v>
          </cell>
          <cell r="F124">
            <v>3.1666632403568082E-2</v>
          </cell>
          <cell r="G124">
            <v>2.8294236185414531E-2</v>
          </cell>
          <cell r="H124">
            <v>2.3696507764522572E-2</v>
          </cell>
          <cell r="I124">
            <v>1.7752901878884182E-2</v>
          </cell>
        </row>
        <row r="215">
          <cell r="D215">
            <v>9.854281799999999</v>
          </cell>
          <cell r="E215">
            <v>8.9825889300000004</v>
          </cell>
          <cell r="F215">
            <v>9.8308480300000003</v>
          </cell>
          <cell r="G215">
            <v>10.177830830000001</v>
          </cell>
          <cell r="H215">
            <v>11.018244780000002</v>
          </cell>
          <cell r="I215">
            <v>9.4764652499999986</v>
          </cell>
        </row>
        <row r="216">
          <cell r="D216">
            <v>5.9971599000000007</v>
          </cell>
          <cell r="E216">
            <v>8.4497309999999999</v>
          </cell>
          <cell r="F216">
            <v>7.2008519100000008</v>
          </cell>
          <cell r="G216">
            <v>6.5356442999999995</v>
          </cell>
          <cell r="H216">
            <v>7.853317370000001</v>
          </cell>
          <cell r="I216">
            <v>7.3989395300000007</v>
          </cell>
        </row>
        <row r="217">
          <cell r="D217">
            <v>5.3051068497332965</v>
          </cell>
          <cell r="E217">
            <v>4.6650009692545984</v>
          </cell>
          <cell r="F217">
            <v>4.9094742415818136</v>
          </cell>
          <cell r="G217">
            <v>4.8225569312808965</v>
          </cell>
          <cell r="H217">
            <v>4.031710205642514</v>
          </cell>
          <cell r="I217">
            <v>4.6463238306589396</v>
          </cell>
        </row>
        <row r="218">
          <cell r="D218">
            <v>0.16472486999999997</v>
          </cell>
          <cell r="E218">
            <v>0.15130452</v>
          </cell>
          <cell r="F218">
            <v>0.16847494000000002</v>
          </cell>
          <cell r="G218">
            <v>0.17660050000000002</v>
          </cell>
          <cell r="H218">
            <v>0.29827706999999998</v>
          </cell>
          <cell r="I218">
            <v>0.30686773000000001</v>
          </cell>
        </row>
        <row r="219">
          <cell r="D219">
            <v>0.16472486999999997</v>
          </cell>
          <cell r="E219">
            <v>0.15130452</v>
          </cell>
          <cell r="F219">
            <v>0.16847494000000002</v>
          </cell>
          <cell r="G219">
            <v>0.17660050000000002</v>
          </cell>
          <cell r="H219">
            <v>0.29827706999999998</v>
          </cell>
          <cell r="I219">
            <v>0.30686773000000001</v>
          </cell>
        </row>
        <row r="220">
          <cell r="D220">
            <v>10.626437710000001</v>
          </cell>
          <cell r="E220">
            <v>8.8445519400000006</v>
          </cell>
          <cell r="F220">
            <v>10.040015199999999</v>
          </cell>
          <cell r="G220">
            <v>11.51082774</v>
          </cell>
          <cell r="H220">
            <v>14.343634590000001</v>
          </cell>
          <cell r="I220">
            <v>24.047649740000001</v>
          </cell>
        </row>
        <row r="221">
          <cell r="D221">
            <v>3.0374959999999999E-2</v>
          </cell>
          <cell r="E221">
            <v>5.8234379999999995E-2</v>
          </cell>
          <cell r="F221">
            <v>0.10089484</v>
          </cell>
          <cell r="G221">
            <v>0.11951416000000001</v>
          </cell>
          <cell r="H221">
            <v>5.4791379999999994E-2</v>
          </cell>
          <cell r="I221">
            <v>0.11821836000000001</v>
          </cell>
        </row>
        <row r="222">
          <cell r="D222">
            <v>11.757473156856772</v>
          </cell>
          <cell r="E222">
            <v>10.621675542931829</v>
          </cell>
          <cell r="F222">
            <v>8.0101553197087476</v>
          </cell>
          <cell r="G222">
            <v>8.4008517198620858</v>
          </cell>
          <cell r="H222">
            <v>11.451933140090585</v>
          </cell>
          <cell r="I222">
            <v>12.389795310404889</v>
          </cell>
        </row>
        <row r="223">
          <cell r="D223">
            <v>4.2779999999999996</v>
          </cell>
          <cell r="E223">
            <v>3.7509999999999999</v>
          </cell>
          <cell r="F223">
            <v>4.1820000000000004</v>
          </cell>
          <cell r="G223">
            <v>4.1415800000000003</v>
          </cell>
          <cell r="H223">
            <v>5.2730560000000004</v>
          </cell>
          <cell r="I223">
            <v>5.3670069999999992</v>
          </cell>
        </row>
        <row r="224">
          <cell r="D224">
            <v>6.7702375000000004</v>
          </cell>
          <cell r="E224">
            <v>5.7582520199999996</v>
          </cell>
          <cell r="F224">
            <v>6.7118631299999993</v>
          </cell>
          <cell r="G224">
            <v>7.7382027500000001</v>
          </cell>
          <cell r="H224">
            <v>8.7062851999999982</v>
          </cell>
          <cell r="I224">
            <v>13.513083929999999</v>
          </cell>
        </row>
        <row r="225">
          <cell r="D225">
            <v>6.7702375000000004</v>
          </cell>
          <cell r="E225">
            <v>5.7582520199999996</v>
          </cell>
          <cell r="F225">
            <v>6.7118631299999993</v>
          </cell>
          <cell r="G225">
            <v>7.7382027500000001</v>
          </cell>
          <cell r="H225">
            <v>8.7062851999999982</v>
          </cell>
          <cell r="I225">
            <v>13.513083929999999</v>
          </cell>
        </row>
        <row r="226">
          <cell r="D226">
            <v>0.38730850000000006</v>
          </cell>
          <cell r="E226">
            <v>0.37649360000000004</v>
          </cell>
          <cell r="F226">
            <v>0.39768987999999994</v>
          </cell>
          <cell r="G226">
            <v>0.34015878000000005</v>
          </cell>
          <cell r="H226">
            <v>0.37642578000000004</v>
          </cell>
          <cell r="I226">
            <v>0.39305464000000001</v>
          </cell>
        </row>
        <row r="227">
          <cell r="D227">
            <v>0.14559234000000001</v>
          </cell>
          <cell r="E227">
            <v>0.14559234000000001</v>
          </cell>
          <cell r="F227">
            <v>0.14559234000000001</v>
          </cell>
          <cell r="G227">
            <v>0.14559234000000001</v>
          </cell>
          <cell r="H227">
            <v>0.14559234000000001</v>
          </cell>
          <cell r="I227">
            <v>0.14559234000000001</v>
          </cell>
        </row>
        <row r="228">
          <cell r="D228">
            <v>0.53979997999999996</v>
          </cell>
          <cell r="E228">
            <v>0.48565089</v>
          </cell>
          <cell r="F228">
            <v>0.42448808999999998</v>
          </cell>
          <cell r="G228">
            <v>0.37510971999999998</v>
          </cell>
          <cell r="H228">
            <v>0.38519629</v>
          </cell>
          <cell r="I228">
            <v>0.35578603000000003</v>
          </cell>
        </row>
        <row r="229">
          <cell r="D229">
            <v>-1.8637500000000236E-3</v>
          </cell>
          <cell r="E229">
            <v>-0.11354050000000007</v>
          </cell>
          <cell r="F229">
            <v>-8.2957100000000238E-3</v>
          </cell>
          <cell r="G229">
            <v>4.0189699999999993E-3</v>
          </cell>
          <cell r="H229">
            <v>-3.896650000000008E-3</v>
          </cell>
          <cell r="I229">
            <v>-6.2350200000000373E-3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5.7563999999999997E-2</v>
          </cell>
        </row>
        <row r="232">
          <cell r="D232">
            <v>0.23880679000000002</v>
          </cell>
          <cell r="E232">
            <v>0.22840154000000001</v>
          </cell>
          <cell r="F232">
            <v>0.49530427999999993</v>
          </cell>
          <cell r="G232">
            <v>0.18176017000000005</v>
          </cell>
          <cell r="H232">
            <v>0.22227309000000006</v>
          </cell>
          <cell r="I232">
            <v>0.14132816000000001</v>
          </cell>
        </row>
        <row r="233">
          <cell r="D233">
            <v>0.60916539999999997</v>
          </cell>
          <cell r="E233">
            <v>0.8092743200000001</v>
          </cell>
          <cell r="F233">
            <v>0.56662335000000008</v>
          </cell>
          <cell r="G233">
            <v>0.82676479999999986</v>
          </cell>
          <cell r="H233">
            <v>0.78780936999999995</v>
          </cell>
          <cell r="I233">
            <v>0.90530736999999983</v>
          </cell>
        </row>
        <row r="234">
          <cell r="D234">
            <v>0.9627529199999999</v>
          </cell>
          <cell r="E234">
            <v>0.93647306000000008</v>
          </cell>
          <cell r="F234">
            <v>0.97488092000000004</v>
          </cell>
          <cell r="G234">
            <v>0.93767449000000003</v>
          </cell>
          <cell r="H234">
            <v>0.97674641999999989</v>
          </cell>
          <cell r="I234">
            <v>0.91344458000000006</v>
          </cell>
        </row>
        <row r="235">
          <cell r="D235">
            <v>1.1519999999999998E-3</v>
          </cell>
          <cell r="E235">
            <v>1.15E-3</v>
          </cell>
          <cell r="F235">
            <v>1.1510000000000001E-3</v>
          </cell>
          <cell r="G235">
            <v>1.15E-3</v>
          </cell>
          <cell r="H235">
            <v>8.7000000000000001E-4</v>
          </cell>
          <cell r="I235">
            <v>8.7199999999999995E-4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D237">
            <v>0.93833</v>
          </cell>
          <cell r="E237">
            <v>1.5826300000000002</v>
          </cell>
          <cell r="F237">
            <v>2.2081360000000001</v>
          </cell>
          <cell r="G237">
            <v>2.1488100000000001</v>
          </cell>
          <cell r="H237">
            <v>2.1172840000000002</v>
          </cell>
          <cell r="I237">
            <v>2.7228546200000001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41">
          <cell r="D241">
            <v>0</v>
          </cell>
          <cell r="E241">
            <v>0</v>
          </cell>
          <cell r="F241">
            <v>77.745999999999995</v>
          </cell>
          <cell r="G241">
            <v>0</v>
          </cell>
          <cell r="H241">
            <v>0</v>
          </cell>
          <cell r="I241">
            <v>81.060345999999996</v>
          </cell>
        </row>
        <row r="242">
          <cell r="D242">
            <v>0</v>
          </cell>
          <cell r="E242">
            <v>0</v>
          </cell>
          <cell r="F242">
            <v>0.48399999999999999</v>
          </cell>
          <cell r="G242">
            <v>0</v>
          </cell>
          <cell r="H242">
            <v>0</v>
          </cell>
          <cell r="I242">
            <v>0.83981300000000014</v>
          </cell>
        </row>
        <row r="243">
          <cell r="D243">
            <v>0</v>
          </cell>
          <cell r="E243">
            <v>0</v>
          </cell>
          <cell r="F243">
            <v>-52.593000000000004</v>
          </cell>
          <cell r="G243">
            <v>0</v>
          </cell>
          <cell r="H243">
            <v>0</v>
          </cell>
          <cell r="I243">
            <v>-45.805410999999992</v>
          </cell>
        </row>
        <row r="244">
          <cell r="D244">
            <v>0</v>
          </cell>
          <cell r="E244">
            <v>0</v>
          </cell>
          <cell r="F244">
            <v>-18.888000000000002</v>
          </cell>
          <cell r="G244">
            <v>0</v>
          </cell>
          <cell r="H244">
            <v>0</v>
          </cell>
          <cell r="I244">
            <v>-29.6337229999999</v>
          </cell>
        </row>
        <row r="245">
          <cell r="D245">
            <v>0</v>
          </cell>
          <cell r="E245">
            <v>0</v>
          </cell>
          <cell r="F245">
            <v>-3.2280000000000002</v>
          </cell>
          <cell r="G245">
            <v>0</v>
          </cell>
          <cell r="H245">
            <v>0</v>
          </cell>
          <cell r="I245">
            <v>-3.1539870000000954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D247">
            <v>0</v>
          </cell>
          <cell r="E247">
            <v>0</v>
          </cell>
          <cell r="F247">
            <v>1.45</v>
          </cell>
          <cell r="G247">
            <v>0</v>
          </cell>
          <cell r="H247">
            <v>0</v>
          </cell>
          <cell r="I247">
            <v>1.1160309999999998</v>
          </cell>
        </row>
        <row r="248">
          <cell r="D248">
            <v>0</v>
          </cell>
          <cell r="E248">
            <v>0</v>
          </cell>
          <cell r="F248">
            <v>-2.6560000000000001</v>
          </cell>
          <cell r="G248">
            <v>0</v>
          </cell>
          <cell r="H248">
            <v>0</v>
          </cell>
          <cell r="I248">
            <v>-3.3349259999999998</v>
          </cell>
        </row>
        <row r="249">
          <cell r="D249">
            <v>0</v>
          </cell>
          <cell r="E249">
            <v>0</v>
          </cell>
          <cell r="F249">
            <v>-4.8239999999999998</v>
          </cell>
          <cell r="G249">
            <v>0</v>
          </cell>
          <cell r="H249">
            <v>0</v>
          </cell>
          <cell r="I249">
            <v>-5.8389720000000001</v>
          </cell>
        </row>
        <row r="250">
          <cell r="D250">
            <v>0</v>
          </cell>
          <cell r="E250">
            <v>0</v>
          </cell>
          <cell r="F250">
            <v>1.9999999999999999E-6</v>
          </cell>
          <cell r="G250">
            <v>0</v>
          </cell>
          <cell r="H250">
            <v>0</v>
          </cell>
          <cell r="I250">
            <v>-1.9999999999999999E-6</v>
          </cell>
        </row>
        <row r="251">
          <cell r="D251">
            <v>0</v>
          </cell>
          <cell r="E251">
            <v>0</v>
          </cell>
          <cell r="F251">
            <v>4.0000000000000001E-3</v>
          </cell>
          <cell r="G251">
            <v>0</v>
          </cell>
          <cell r="H251">
            <v>0</v>
          </cell>
          <cell r="I251">
            <v>2.9273000000000004E-2</v>
          </cell>
        </row>
        <row r="252">
          <cell r="D252">
            <v>0</v>
          </cell>
          <cell r="E252">
            <v>0</v>
          </cell>
          <cell r="F252">
            <v>20</v>
          </cell>
          <cell r="G252">
            <v>0</v>
          </cell>
          <cell r="H252">
            <v>0</v>
          </cell>
          <cell r="I252">
            <v>5</v>
          </cell>
        </row>
        <row r="253">
          <cell r="D253">
            <v>0</v>
          </cell>
          <cell r="E253">
            <v>0</v>
          </cell>
          <cell r="F253">
            <v>1.9999999999999999E-6</v>
          </cell>
          <cell r="G253">
            <v>0</v>
          </cell>
          <cell r="H253">
            <v>0</v>
          </cell>
          <cell r="I253">
            <v>-1.9999999999999999E-6</v>
          </cell>
        </row>
        <row r="254">
          <cell r="D254">
            <v>0</v>
          </cell>
          <cell r="E254">
            <v>0</v>
          </cell>
          <cell r="F254">
            <v>-22.4</v>
          </cell>
          <cell r="G254">
            <v>0</v>
          </cell>
          <cell r="H254">
            <v>0</v>
          </cell>
          <cell r="I254">
            <v>0</v>
          </cell>
        </row>
        <row r="255">
          <cell r="D255">
            <v>0</v>
          </cell>
          <cell r="E255">
            <v>0</v>
          </cell>
          <cell r="F255">
            <v>-4.9049960000000148</v>
          </cell>
          <cell r="G255">
            <v>0</v>
          </cell>
          <cell r="H255">
            <v>0</v>
          </cell>
          <cell r="I255">
            <v>0.27844000000001429</v>
          </cell>
        </row>
        <row r="263">
          <cell r="D263">
            <v>0.1136421</v>
          </cell>
          <cell r="E263">
            <v>0.10224229</v>
          </cell>
          <cell r="F263">
            <v>0.11319682</v>
          </cell>
          <cell r="G263">
            <v>0.10717421000000001</v>
          </cell>
          <cell r="H263">
            <v>0.21230173000000002</v>
          </cell>
          <cell r="I263">
            <v>0.25413288000000001</v>
          </cell>
        </row>
        <row r="264">
          <cell r="D264">
            <v>1.7683440000000001</v>
          </cell>
          <cell r="E264">
            <v>1.73743197</v>
          </cell>
          <cell r="F264">
            <v>1.77992471</v>
          </cell>
          <cell r="G264">
            <v>1.7379364500000001</v>
          </cell>
          <cell r="H264">
            <v>1.78551638</v>
          </cell>
          <cell r="I264">
            <v>1.7462149500000002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D267">
            <v>0.37806241000000002</v>
          </cell>
          <cell r="E267">
            <v>0.387264</v>
          </cell>
          <cell r="F267">
            <v>0.38883475000000001</v>
          </cell>
          <cell r="G267">
            <v>0.38465199999999999</v>
          </cell>
          <cell r="H267">
            <v>0.38871909000000004</v>
          </cell>
          <cell r="I267">
            <v>0.51356221000000002</v>
          </cell>
        </row>
        <row r="268">
          <cell r="D268">
            <v>0.6375906699999998</v>
          </cell>
          <cell r="E268">
            <v>0.71307552999999979</v>
          </cell>
          <cell r="F268">
            <v>0.38082792999999998</v>
          </cell>
          <cell r="G268">
            <v>0.54555745999999983</v>
          </cell>
          <cell r="H268">
            <v>0.66379633000000005</v>
          </cell>
          <cell r="I268">
            <v>0.97709790000000019</v>
          </cell>
        </row>
        <row r="269">
          <cell r="D269">
            <v>1.54221031</v>
          </cell>
          <cell r="E269">
            <v>3.4342427100000004</v>
          </cell>
          <cell r="F269">
            <v>2.31216891</v>
          </cell>
          <cell r="G269">
            <v>3.2908031999999996</v>
          </cell>
          <cell r="H269">
            <v>3.2501553900000002</v>
          </cell>
          <cell r="I269">
            <v>-0.20899783999999971</v>
          </cell>
        </row>
        <row r="271">
          <cell r="D271">
            <v>0.32660400000000001</v>
          </cell>
          <cell r="E271">
            <v>0.32676100000000002</v>
          </cell>
          <cell r="F271">
            <v>0.32700699999999999</v>
          </cell>
          <cell r="G271">
            <v>0.327407</v>
          </cell>
          <cell r="H271">
            <v>0.32808499999999996</v>
          </cell>
          <cell r="I271">
            <v>0.32866073999999995</v>
          </cell>
        </row>
        <row r="272">
          <cell r="D272">
            <v>9.0783999999999993E-4</v>
          </cell>
          <cell r="E272">
            <v>8.6903999999999996E-4</v>
          </cell>
          <cell r="F272">
            <v>8.3001000000000006E-4</v>
          </cell>
          <cell r="G272">
            <v>8.5921999999999995E-4</v>
          </cell>
          <cell r="H272">
            <v>8.1632000000000004E-4</v>
          </cell>
          <cell r="I272">
            <v>7.7316999999999989E-4</v>
          </cell>
        </row>
        <row r="273">
          <cell r="D273">
            <v>0.14845</v>
          </cell>
          <cell r="E273">
            <v>7.0004000000000011E-2</v>
          </cell>
          <cell r="F273">
            <v>4.5050000000000003E-3</v>
          </cell>
          <cell r="G273">
            <v>0.229798</v>
          </cell>
          <cell r="H273">
            <v>4.9337000000000006E-2</v>
          </cell>
          <cell r="I273">
            <v>-0.27622079999999999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1.389</v>
          </cell>
          <cell r="G277">
            <v>0</v>
          </cell>
          <cell r="H277">
            <v>0</v>
          </cell>
          <cell r="I277">
            <v>0.42813699999999999</v>
          </cell>
        </row>
        <row r="278">
          <cell r="F278">
            <v>5.2610000000000001</v>
          </cell>
          <cell r="G278">
            <v>0</v>
          </cell>
          <cell r="H278">
            <v>0</v>
          </cell>
          <cell r="I278">
            <v>5.245309999999999</v>
          </cell>
        </row>
        <row r="279">
          <cell r="F279">
            <v>-10.426</v>
          </cell>
          <cell r="G279">
            <v>0</v>
          </cell>
          <cell r="H279">
            <v>0</v>
          </cell>
          <cell r="I279">
            <v>0.4529999999999994</v>
          </cell>
        </row>
        <row r="280">
          <cell r="F280">
            <v>0.32900000000000001</v>
          </cell>
          <cell r="G280">
            <v>0</v>
          </cell>
          <cell r="H280">
            <v>0</v>
          </cell>
          <cell r="I280">
            <v>0.57369000000000003</v>
          </cell>
        </row>
        <row r="281">
          <cell r="F281">
            <v>-3.0000000000000001E-3</v>
          </cell>
          <cell r="G281">
            <v>0</v>
          </cell>
          <cell r="H281">
            <v>0</v>
          </cell>
          <cell r="I281">
            <v>-2E-3</v>
          </cell>
        </row>
        <row r="282">
          <cell r="F282">
            <v>0.309</v>
          </cell>
          <cell r="G282">
            <v>0</v>
          </cell>
          <cell r="H282">
            <v>0</v>
          </cell>
          <cell r="I282">
            <v>0.192</v>
          </cell>
        </row>
        <row r="283">
          <cell r="F283">
            <v>-8.0000000000000002E-3</v>
          </cell>
          <cell r="G283">
            <v>0</v>
          </cell>
          <cell r="H283">
            <v>0</v>
          </cell>
          <cell r="I283">
            <v>-3.1579999999999999</v>
          </cell>
        </row>
        <row r="284">
          <cell r="F284">
            <v>22.4</v>
          </cell>
          <cell r="G284">
            <v>0</v>
          </cell>
          <cell r="H284">
            <v>0</v>
          </cell>
          <cell r="I284">
            <v>0</v>
          </cell>
        </row>
        <row r="285">
          <cell r="F285">
            <v>-0.38300000000000001</v>
          </cell>
          <cell r="G285">
            <v>0</v>
          </cell>
          <cell r="H285">
            <v>0</v>
          </cell>
          <cell r="I285">
            <v>-0.51400000000000001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-34.001626000000002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36</v>
          </cell>
        </row>
        <row r="290">
          <cell r="F290">
            <v>-22.4</v>
          </cell>
          <cell r="G290">
            <v>0</v>
          </cell>
          <cell r="H290">
            <v>0</v>
          </cell>
          <cell r="I290">
            <v>0</v>
          </cell>
        </row>
        <row r="291">
          <cell r="E291">
            <v>0</v>
          </cell>
          <cell r="F291">
            <v>-3.532</v>
          </cell>
          <cell r="G291">
            <v>0</v>
          </cell>
          <cell r="H291">
            <v>0</v>
          </cell>
          <cell r="I291">
            <v>5.216510999999997</v>
          </cell>
        </row>
        <row r="293">
          <cell r="D293">
            <v>6.6130320000000005</v>
          </cell>
        </row>
        <row r="301">
          <cell r="D301">
            <v>5.7229260000000004E-2</v>
          </cell>
          <cell r="E301">
            <v>5.0932180000000001E-2</v>
          </cell>
          <cell r="F301">
            <v>3.5628550000000002E-2</v>
          </cell>
          <cell r="G301">
            <v>3.464851E-2</v>
          </cell>
          <cell r="H301">
            <v>8.5922149999999989E-2</v>
          </cell>
          <cell r="I301">
            <v>3.9065289999999996E-2</v>
          </cell>
        </row>
        <row r="302">
          <cell r="D302">
            <v>2.4433051600000004</v>
          </cell>
          <cell r="E302">
            <v>2.19820927</v>
          </cell>
          <cell r="F302">
            <v>2.4337317000000001</v>
          </cell>
          <cell r="G302">
            <v>2.3042454299999999</v>
          </cell>
          <cell r="H302">
            <v>2.36620579</v>
          </cell>
          <cell r="I302">
            <v>2.1855427400000003</v>
          </cell>
        </row>
        <row r="303">
          <cell r="D303">
            <v>1.37203E-3</v>
          </cell>
          <cell r="E303">
            <v>1.53268E-3</v>
          </cell>
          <cell r="F303">
            <v>1.4462100000000001E-3</v>
          </cell>
          <cell r="G303">
            <v>6.6048800000000005E-3</v>
          </cell>
          <cell r="H303">
            <v>1.8685000000000002E-3</v>
          </cell>
          <cell r="I303">
            <v>1.45772E-3</v>
          </cell>
        </row>
        <row r="304">
          <cell r="D304">
            <v>0.04</v>
          </cell>
          <cell r="E304">
            <v>0.04</v>
          </cell>
          <cell r="F304">
            <v>0.04</v>
          </cell>
          <cell r="G304">
            <v>0.04</v>
          </cell>
          <cell r="H304">
            <v>0.04</v>
          </cell>
          <cell r="I304">
            <v>0.04</v>
          </cell>
        </row>
        <row r="305">
          <cell r="D305">
            <v>1.9113914400000003</v>
          </cell>
          <cell r="E305">
            <v>1.7260774000000001</v>
          </cell>
          <cell r="F305">
            <v>1.9614394999999996</v>
          </cell>
          <cell r="G305">
            <v>1.9349308700000003</v>
          </cell>
          <cell r="H305">
            <v>1.8802489599999999</v>
          </cell>
          <cell r="I305">
            <v>3.9797834900000004</v>
          </cell>
        </row>
        <row r="306">
          <cell r="D306">
            <v>0.53979997999999996</v>
          </cell>
          <cell r="E306">
            <v>0.48565088999999989</v>
          </cell>
          <cell r="F306">
            <v>0.42448809000000004</v>
          </cell>
          <cell r="G306">
            <v>0.37510971999999998</v>
          </cell>
          <cell r="H306">
            <v>0.48744193999999996</v>
          </cell>
          <cell r="I306">
            <v>0.50826576000000001</v>
          </cell>
        </row>
        <row r="307">
          <cell r="D307">
            <v>2.3909999999999999E-3</v>
          </cell>
          <cell r="E307">
            <v>-1.2359999999999999E-3</v>
          </cell>
          <cell r="F307">
            <v>1.2596E-2</v>
          </cell>
          <cell r="G307">
            <v>-5.3249999999999999E-3</v>
          </cell>
          <cell r="H307">
            <v>1.2771000000000001E-2</v>
          </cell>
          <cell r="I307">
            <v>-0.69147000000000003</v>
          </cell>
        </row>
        <row r="308">
          <cell r="D308">
            <v>0.10481</v>
          </cell>
        </row>
        <row r="311">
          <cell r="F311">
            <v>0.21</v>
          </cell>
          <cell r="G311">
            <v>0</v>
          </cell>
          <cell r="H311">
            <v>0</v>
          </cell>
          <cell r="I311">
            <v>0.19050900000000001</v>
          </cell>
        </row>
        <row r="312">
          <cell r="F312">
            <v>-0.123</v>
          </cell>
          <cell r="G312">
            <v>0</v>
          </cell>
          <cell r="H312">
            <v>0</v>
          </cell>
          <cell r="I312">
            <v>-0.11699999999999999</v>
          </cell>
        </row>
        <row r="313">
          <cell r="F313">
            <v>0.14399999999999999</v>
          </cell>
          <cell r="G313">
            <v>0</v>
          </cell>
          <cell r="H313">
            <v>0</v>
          </cell>
          <cell r="I313">
            <v>0.15942599999999998</v>
          </cell>
        </row>
        <row r="314">
          <cell r="F314">
            <v>7.0750000000000002</v>
          </cell>
          <cell r="G314">
            <v>0</v>
          </cell>
          <cell r="H314">
            <v>0</v>
          </cell>
          <cell r="I314">
            <v>6.8562399999999988</v>
          </cell>
        </row>
        <row r="315">
          <cell r="F315">
            <v>-2.8959999999999999</v>
          </cell>
          <cell r="G315">
            <v>0</v>
          </cell>
          <cell r="H315">
            <v>0</v>
          </cell>
          <cell r="I315">
            <v>-10.132197999999999</v>
          </cell>
        </row>
        <row r="316">
          <cell r="F316">
            <v>-1.4470000000000001</v>
          </cell>
          <cell r="G316">
            <v>0</v>
          </cell>
          <cell r="H316">
            <v>0</v>
          </cell>
          <cell r="I316">
            <v>-1.3737559999999998</v>
          </cell>
        </row>
        <row r="317">
          <cell r="F317">
            <v>2.8000000000000001E-2</v>
          </cell>
          <cell r="G317">
            <v>0</v>
          </cell>
          <cell r="H317">
            <v>0</v>
          </cell>
          <cell r="I317">
            <v>2.1011999999999999E-2</v>
          </cell>
        </row>
        <row r="318">
          <cell r="F318">
            <v>-1.2E-2</v>
          </cell>
          <cell r="G318">
            <v>0</v>
          </cell>
          <cell r="H318">
            <v>0</v>
          </cell>
          <cell r="I318">
            <v>0.21314500000000003</v>
          </cell>
        </row>
        <row r="319">
          <cell r="F319">
            <v>20</v>
          </cell>
          <cell r="G319">
            <v>0</v>
          </cell>
          <cell r="H319">
            <v>0</v>
          </cell>
          <cell r="I319">
            <v>-25</v>
          </cell>
        </row>
        <row r="321">
          <cell r="F321">
            <v>-20</v>
          </cell>
          <cell r="G321">
            <v>0</v>
          </cell>
          <cell r="H321">
            <v>0</v>
          </cell>
          <cell r="I321">
            <v>25</v>
          </cell>
        </row>
        <row r="384">
          <cell r="G384">
            <v>0</v>
          </cell>
          <cell r="H384">
            <v>0</v>
          </cell>
          <cell r="I384">
            <v>0</v>
          </cell>
        </row>
        <row r="428">
          <cell r="G428">
            <v>0</v>
          </cell>
          <cell r="H428">
            <v>0</v>
          </cell>
          <cell r="I42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F106"/>
  <sheetViews>
    <sheetView showGridLines="0" topLeftCell="A11" zoomScale="70" zoomScaleNormal="70" workbookViewId="0">
      <pane xSplit="2" topLeftCell="K1" activePane="topRight" state="frozen"/>
      <selection activeCell="B50" sqref="B50"/>
      <selection pane="topRight" activeCell="R24" sqref="R24:AE52"/>
    </sheetView>
  </sheetViews>
  <sheetFormatPr defaultRowHeight="15"/>
  <cols>
    <col min="1" max="1" width="23.140625" style="184" customWidth="1"/>
    <col min="2" max="2" width="45.28515625" style="201" customWidth="1"/>
    <col min="3" max="3" width="25.28515625" style="201" customWidth="1"/>
    <col min="4" max="4" width="17.42578125" style="184" customWidth="1"/>
    <col min="5" max="5" width="21.7109375" style="200" customWidth="1"/>
    <col min="6" max="6" width="14.42578125" style="184" customWidth="1"/>
    <col min="7" max="7" width="14.140625" style="184" customWidth="1"/>
    <col min="8" max="8" width="19.7109375" style="201" customWidth="1"/>
    <col min="9" max="9" width="15.7109375" style="201" customWidth="1"/>
    <col min="10" max="10" width="11.7109375" style="201" customWidth="1"/>
    <col min="11" max="11" width="15" style="201" customWidth="1"/>
    <col min="12" max="12" width="15" style="202" customWidth="1"/>
    <col min="13" max="13" width="14.140625" style="184" customWidth="1"/>
    <col min="14" max="14" width="36.28515625" style="184" customWidth="1"/>
    <col min="15" max="17" width="2.140625" style="215" customWidth="1"/>
    <col min="18" max="18" width="12.5703125" style="215" customWidth="1"/>
    <col min="19" max="25" width="14" style="215" customWidth="1"/>
    <col min="26" max="26" width="9.140625" style="215"/>
    <col min="27" max="28" width="9.140625" style="184"/>
    <col min="29" max="29" width="17.85546875" style="184" customWidth="1"/>
    <col min="30" max="30" width="47.140625" style="184" customWidth="1"/>
    <col min="31" max="31" width="9.140625" style="57"/>
    <col min="32" max="16384" width="9.140625" style="184"/>
  </cols>
  <sheetData>
    <row r="1" spans="2:12" ht="18">
      <c r="B1" s="510" t="s">
        <v>657</v>
      </c>
      <c r="C1" s="510"/>
      <c r="D1" s="510"/>
      <c r="E1" s="510"/>
      <c r="F1" s="510"/>
      <c r="G1" s="510"/>
      <c r="H1" s="510"/>
      <c r="I1" s="510"/>
      <c r="J1" s="510"/>
      <c r="K1" s="510"/>
      <c r="L1" s="510"/>
    </row>
    <row r="2" spans="2:12">
      <c r="B2" s="185" t="s">
        <v>658</v>
      </c>
      <c r="C2" s="186"/>
      <c r="D2" s="187"/>
      <c r="E2" s="187"/>
      <c r="F2" s="186"/>
      <c r="G2" s="186"/>
      <c r="H2" s="188"/>
      <c r="I2" s="188"/>
      <c r="J2" s="188"/>
      <c r="K2" s="188"/>
      <c r="L2" s="189"/>
    </row>
    <row r="3" spans="2:12">
      <c r="B3" s="190" t="s">
        <v>659</v>
      </c>
      <c r="C3" s="191" t="s">
        <v>660</v>
      </c>
      <c r="D3" s="187"/>
      <c r="E3" s="187"/>
      <c r="F3" s="186"/>
      <c r="G3" s="186"/>
      <c r="H3" s="188"/>
      <c r="I3" s="188"/>
      <c r="J3" s="188"/>
      <c r="K3" s="188"/>
      <c r="L3" s="189"/>
    </row>
    <row r="4" spans="2:12">
      <c r="B4" s="190" t="s">
        <v>661</v>
      </c>
      <c r="C4" s="191" t="s">
        <v>662</v>
      </c>
      <c r="D4" s="186"/>
      <c r="E4" s="187"/>
      <c r="F4" s="186"/>
      <c r="G4" s="186"/>
      <c r="H4" s="188"/>
      <c r="I4" s="188"/>
      <c r="J4" s="188"/>
      <c r="K4" s="188"/>
      <c r="L4" s="189"/>
    </row>
    <row r="5" spans="2:12">
      <c r="B5" s="190" t="s">
        <v>663</v>
      </c>
      <c r="C5" s="191" t="s">
        <v>664</v>
      </c>
      <c r="D5" s="186"/>
      <c r="E5" s="187"/>
      <c r="F5" s="186"/>
      <c r="G5" s="186"/>
      <c r="H5" s="188"/>
      <c r="I5" s="188"/>
      <c r="J5" s="188"/>
      <c r="K5" s="188"/>
      <c r="L5" s="189"/>
    </row>
    <row r="6" spans="2:12">
      <c r="B6" s="192" t="s">
        <v>665</v>
      </c>
      <c r="C6" s="193" t="s">
        <v>666</v>
      </c>
      <c r="D6" s="194"/>
      <c r="E6" s="187"/>
      <c r="F6" s="194"/>
      <c r="G6" s="194"/>
      <c r="H6" s="195"/>
      <c r="I6" s="195"/>
      <c r="J6" s="195"/>
      <c r="K6" s="195"/>
      <c r="L6" s="196"/>
    </row>
    <row r="7" spans="2:12">
      <c r="B7" s="192"/>
      <c r="C7" s="193" t="s">
        <v>667</v>
      </c>
      <c r="D7" s="194"/>
      <c r="E7" s="187"/>
      <c r="F7" s="194"/>
      <c r="G7" s="194"/>
      <c r="H7" s="195"/>
      <c r="I7" s="195"/>
      <c r="J7" s="195"/>
      <c r="K7" s="195"/>
      <c r="L7" s="196"/>
    </row>
    <row r="8" spans="2:12">
      <c r="B8" s="188"/>
      <c r="C8" s="193"/>
      <c r="D8" s="186"/>
      <c r="E8" s="187"/>
      <c r="F8" s="186"/>
      <c r="G8" s="186"/>
      <c r="H8" s="188"/>
      <c r="I8" s="188"/>
      <c r="J8" s="188"/>
      <c r="K8" s="188"/>
      <c r="L8" s="189"/>
    </row>
    <row r="10" spans="2:12" ht="20.25">
      <c r="B10" s="197" t="s">
        <v>668</v>
      </c>
      <c r="C10" s="198" t="s">
        <v>669</v>
      </c>
      <c r="D10" s="199" t="s">
        <v>670</v>
      </c>
    </row>
    <row r="12" spans="2:12" ht="15.75" thickBot="1">
      <c r="B12" s="203" t="s">
        <v>671</v>
      </c>
      <c r="C12" s="204" t="s">
        <v>672</v>
      </c>
      <c r="E12" s="205" t="s">
        <v>673</v>
      </c>
    </row>
    <row r="13" spans="2:12">
      <c r="B13" s="206" t="s">
        <v>674</v>
      </c>
      <c r="C13" s="207" t="s">
        <v>675</v>
      </c>
      <c r="D13" s="208"/>
      <c r="E13" s="209" t="str">
        <f>LEFT(CRY,2)&amp;RIGHT(CRY,2)</f>
        <v>2006</v>
      </c>
      <c r="H13" s="184"/>
      <c r="I13" s="184"/>
    </row>
    <row r="14" spans="2:12">
      <c r="B14" s="210" t="s">
        <v>676</v>
      </c>
      <c r="C14" s="211" t="s">
        <v>677</v>
      </c>
      <c r="D14" s="212"/>
      <c r="E14" s="213" t="str">
        <f>LEFT(CRY,2)&amp;RIGHT(CRY,2)</f>
        <v>2006</v>
      </c>
      <c r="H14" s="184"/>
      <c r="I14" s="184"/>
    </row>
    <row r="15" spans="2:12">
      <c r="B15" s="210" t="s">
        <v>678</v>
      </c>
      <c r="C15" s="211" t="s">
        <v>679</v>
      </c>
      <c r="D15" s="212"/>
      <c r="E15" s="213" t="str">
        <f>LEFT(dms_FRCP_FinalYear_Num,2)&amp;RIGHT(dms_FRCP_FinalYear_Num,2)</f>
        <v>2013</v>
      </c>
      <c r="H15" s="184"/>
      <c r="I15" s="184"/>
      <c r="J15" s="184"/>
    </row>
    <row r="16" spans="2:12">
      <c r="B16" s="210" t="s">
        <v>680</v>
      </c>
      <c r="C16" s="211" t="s">
        <v>680</v>
      </c>
      <c r="D16" s="212"/>
      <c r="E16" s="214"/>
      <c r="H16" s="184"/>
      <c r="I16" s="184"/>
      <c r="J16" s="184"/>
    </row>
    <row r="17" spans="2:31">
      <c r="B17" s="210" t="s">
        <v>545</v>
      </c>
      <c r="C17" s="211" t="s">
        <v>681</v>
      </c>
      <c r="D17" s="212"/>
      <c r="E17" s="213">
        <v>2013</v>
      </c>
      <c r="G17" s="213" t="s">
        <v>682</v>
      </c>
      <c r="H17" s="184"/>
      <c r="I17" s="184"/>
      <c r="J17" s="184"/>
    </row>
    <row r="18" spans="2:31">
      <c r="B18" s="210" t="s">
        <v>683</v>
      </c>
      <c r="C18" s="211" t="s">
        <v>684</v>
      </c>
      <c r="D18" s="212"/>
      <c r="E18" s="213" t="str">
        <f>LEFT(dms_FRCP_FinalYear_Num,2)&amp;RIGHT(dms_FRCP_FinalYear_Num,2)</f>
        <v>2013</v>
      </c>
      <c r="H18" s="184"/>
      <c r="I18" s="184"/>
      <c r="J18" s="184"/>
    </row>
    <row r="19" spans="2:31">
      <c r="B19" s="210" t="s">
        <v>685</v>
      </c>
      <c r="C19" s="211" t="s">
        <v>679</v>
      </c>
      <c r="D19" s="212"/>
      <c r="E19" s="213" t="str">
        <f>LEFT(dms_FRCP_FinalYear_Num,2)&amp;RIGHT(dms_FRCP_FinalYear_Num,2)</f>
        <v>2013</v>
      </c>
      <c r="H19" s="184"/>
      <c r="I19" s="184"/>
      <c r="J19" s="184"/>
    </row>
    <row r="20" spans="2:31">
      <c r="B20" s="210" t="s">
        <v>686</v>
      </c>
      <c r="C20" s="211" t="s">
        <v>687</v>
      </c>
      <c r="D20" s="212"/>
      <c r="E20" s="213" t="str">
        <f>LEFT(dms_CRCP_FinalYear_Num,2)&amp;RIGHT(dms_CRCP_FinalYear_Num,2)</f>
        <v>2013</v>
      </c>
      <c r="H20" s="184"/>
      <c r="I20" s="184"/>
      <c r="J20" s="184"/>
    </row>
    <row r="21" spans="2:31" ht="15.75" thickBot="1">
      <c r="B21" s="216" t="s">
        <v>688</v>
      </c>
      <c r="C21" s="217" t="s">
        <v>689</v>
      </c>
      <c r="D21" s="218"/>
      <c r="E21" s="219"/>
      <c r="H21" s="184"/>
      <c r="I21" s="184"/>
      <c r="J21" s="184"/>
    </row>
    <row r="22" spans="2:31">
      <c r="C22" s="220"/>
    </row>
    <row r="23" spans="2:31" ht="15.75" thickBot="1">
      <c r="C23" s="220"/>
    </row>
    <row r="24" spans="2:31" ht="52.5" customHeight="1" thickBot="1">
      <c r="B24" s="221" t="s">
        <v>690</v>
      </c>
      <c r="C24" s="222" t="s">
        <v>691</v>
      </c>
      <c r="D24" s="223" t="s">
        <v>692</v>
      </c>
      <c r="E24" s="224" t="s">
        <v>693</v>
      </c>
      <c r="F24" s="224" t="s">
        <v>694</v>
      </c>
      <c r="G24" s="224" t="s">
        <v>695</v>
      </c>
      <c r="H24" s="224" t="s">
        <v>696</v>
      </c>
      <c r="I24" s="225" t="s">
        <v>697</v>
      </c>
      <c r="J24" s="225" t="s">
        <v>698</v>
      </c>
      <c r="K24" s="225" t="s">
        <v>699</v>
      </c>
      <c r="L24" s="226" t="s">
        <v>700</v>
      </c>
      <c r="M24" s="227" t="s">
        <v>701</v>
      </c>
      <c r="N24" s="228" t="s">
        <v>702</v>
      </c>
      <c r="R24" s="184"/>
      <c r="S24" s="184"/>
      <c r="T24" s="184"/>
      <c r="U24" s="184"/>
      <c r="V24" s="184"/>
      <c r="W24" s="184"/>
      <c r="X24" s="184"/>
      <c r="Y24" s="184"/>
      <c r="Z24" s="184"/>
      <c r="AE24" s="184"/>
    </row>
    <row r="25" spans="2:31">
      <c r="B25" s="229" t="s">
        <v>703</v>
      </c>
      <c r="C25" s="230" t="s">
        <v>703</v>
      </c>
      <c r="D25" s="231">
        <v>76670568688</v>
      </c>
      <c r="E25" s="232" t="s">
        <v>704</v>
      </c>
      <c r="F25" s="233" t="s">
        <v>538</v>
      </c>
      <c r="G25" s="233" t="s">
        <v>540</v>
      </c>
      <c r="H25" s="234" t="s">
        <v>705</v>
      </c>
      <c r="I25" s="235" t="s">
        <v>629</v>
      </c>
      <c r="J25" s="235" t="s">
        <v>706</v>
      </c>
      <c r="K25" s="236">
        <v>5</v>
      </c>
      <c r="L25" s="237">
        <v>6</v>
      </c>
      <c r="M25" s="238">
        <v>5</v>
      </c>
      <c r="N25" s="239" t="s">
        <v>707</v>
      </c>
      <c r="R25" s="57"/>
      <c r="S25" s="184"/>
      <c r="T25" s="184"/>
      <c r="U25" s="184"/>
      <c r="V25" s="184"/>
      <c r="W25" s="184"/>
      <c r="X25" s="184"/>
      <c r="Y25" s="184"/>
      <c r="Z25" s="184"/>
      <c r="AE25" s="184"/>
    </row>
    <row r="26" spans="2:31" ht="14.25">
      <c r="B26" s="229" t="s">
        <v>708</v>
      </c>
      <c r="C26" s="230" t="s">
        <v>708</v>
      </c>
      <c r="D26" s="231">
        <v>76670568688</v>
      </c>
      <c r="E26" s="232" t="s">
        <v>704</v>
      </c>
      <c r="F26" s="240" t="s">
        <v>538</v>
      </c>
      <c r="G26" s="240" t="s">
        <v>540</v>
      </c>
      <c r="H26" s="241" t="s">
        <v>705</v>
      </c>
      <c r="I26" s="235" t="s">
        <v>629</v>
      </c>
      <c r="J26" s="235" t="s">
        <v>706</v>
      </c>
      <c r="K26" s="242">
        <v>5</v>
      </c>
      <c r="L26" s="243">
        <v>5</v>
      </c>
      <c r="M26" s="244">
        <v>5</v>
      </c>
      <c r="N26" s="245" t="s">
        <v>709</v>
      </c>
      <c r="R26" s="184"/>
      <c r="S26" s="184"/>
      <c r="T26" s="184"/>
      <c r="U26" s="184"/>
      <c r="V26" s="184"/>
      <c r="W26" s="184"/>
      <c r="X26" s="184"/>
      <c r="Y26" s="184"/>
      <c r="Z26" s="184"/>
      <c r="AE26" s="184"/>
    </row>
    <row r="27" spans="2:31" ht="14.25">
      <c r="B27" s="246" t="s">
        <v>710</v>
      </c>
      <c r="C27" s="247" t="s">
        <v>710</v>
      </c>
      <c r="D27" s="248">
        <v>78551685</v>
      </c>
      <c r="E27" s="249" t="s">
        <v>711</v>
      </c>
      <c r="F27" s="240" t="s">
        <v>712</v>
      </c>
      <c r="G27" s="240" t="s">
        <v>540</v>
      </c>
      <c r="H27" s="241" t="s">
        <v>705</v>
      </c>
      <c r="I27" s="250" t="s">
        <v>713</v>
      </c>
      <c r="J27" s="250" t="s">
        <v>714</v>
      </c>
      <c r="K27" s="242">
        <v>5</v>
      </c>
      <c r="L27" s="243">
        <v>5</v>
      </c>
      <c r="M27" s="244">
        <v>5</v>
      </c>
      <c r="N27" s="245" t="s">
        <v>709</v>
      </c>
      <c r="R27" s="184"/>
      <c r="S27" s="184"/>
      <c r="T27" s="184"/>
      <c r="U27" s="184"/>
      <c r="V27" s="184"/>
      <c r="W27" s="184"/>
      <c r="X27" s="184"/>
      <c r="Y27" s="184"/>
      <c r="Z27" s="184"/>
      <c r="AE27" s="184"/>
    </row>
    <row r="28" spans="2:31" ht="14.25">
      <c r="B28" s="246" t="s">
        <v>715</v>
      </c>
      <c r="C28" s="247" t="s">
        <v>715</v>
      </c>
      <c r="D28" s="248">
        <v>67505337385</v>
      </c>
      <c r="E28" s="249" t="s">
        <v>716</v>
      </c>
      <c r="F28" s="240" t="s">
        <v>538</v>
      </c>
      <c r="G28" s="240" t="s">
        <v>540</v>
      </c>
      <c r="H28" s="241" t="s">
        <v>705</v>
      </c>
      <c r="I28" s="250" t="s">
        <v>713</v>
      </c>
      <c r="J28" s="250" t="s">
        <v>714</v>
      </c>
      <c r="K28" s="242">
        <v>5</v>
      </c>
      <c r="L28" s="243">
        <v>5</v>
      </c>
      <c r="M28" s="244">
        <v>5</v>
      </c>
      <c r="N28" s="251" t="s">
        <v>707</v>
      </c>
      <c r="R28" s="184"/>
      <c r="S28" s="184"/>
      <c r="T28" s="184"/>
      <c r="U28" s="184"/>
      <c r="V28" s="184"/>
      <c r="W28" s="184"/>
      <c r="X28" s="184"/>
      <c r="Y28" s="184"/>
      <c r="Z28" s="184"/>
      <c r="AE28" s="184"/>
    </row>
    <row r="29" spans="2:31" ht="14.25">
      <c r="B29" s="246" t="s">
        <v>717</v>
      </c>
      <c r="C29" s="247" t="s">
        <v>717</v>
      </c>
      <c r="D29" s="231">
        <v>67505337385</v>
      </c>
      <c r="E29" s="249" t="s">
        <v>716</v>
      </c>
      <c r="F29" s="240" t="s">
        <v>538</v>
      </c>
      <c r="G29" s="240" t="s">
        <v>540</v>
      </c>
      <c r="H29" s="241" t="s">
        <v>705</v>
      </c>
      <c r="I29" s="250" t="s">
        <v>713</v>
      </c>
      <c r="J29" s="250" t="s">
        <v>714</v>
      </c>
      <c r="K29" s="242">
        <v>5</v>
      </c>
      <c r="L29" s="243">
        <v>5</v>
      </c>
      <c r="M29" s="244">
        <v>5</v>
      </c>
      <c r="N29" s="245" t="s">
        <v>709</v>
      </c>
      <c r="R29" s="184"/>
      <c r="S29" s="184"/>
      <c r="T29" s="184"/>
      <c r="U29" s="184"/>
      <c r="V29" s="184"/>
      <c r="W29" s="184"/>
      <c r="X29" s="184"/>
      <c r="Y29" s="184"/>
      <c r="Z29" s="184"/>
      <c r="AE29" s="184"/>
    </row>
    <row r="30" spans="2:31" ht="14.25">
      <c r="B30" s="246" t="s">
        <v>718</v>
      </c>
      <c r="C30" s="247" t="s">
        <v>719</v>
      </c>
      <c r="D30" s="248">
        <v>91064651118</v>
      </c>
      <c r="E30" s="249" t="s">
        <v>632</v>
      </c>
      <c r="F30" s="240" t="s">
        <v>538</v>
      </c>
      <c r="G30" s="240" t="s">
        <v>540</v>
      </c>
      <c r="H30" s="241" t="s">
        <v>705</v>
      </c>
      <c r="I30" s="250" t="s">
        <v>629</v>
      </c>
      <c r="J30" s="250" t="s">
        <v>706</v>
      </c>
      <c r="K30" s="242">
        <v>5</v>
      </c>
      <c r="L30" s="243">
        <v>5</v>
      </c>
      <c r="M30" s="244">
        <v>2</v>
      </c>
      <c r="N30" s="251" t="s">
        <v>720</v>
      </c>
      <c r="R30" s="184"/>
      <c r="S30" s="184"/>
      <c r="T30" s="184"/>
      <c r="U30" s="184"/>
      <c r="V30" s="184"/>
      <c r="W30" s="184"/>
      <c r="X30" s="184"/>
      <c r="Y30" s="184"/>
      <c r="Z30" s="184"/>
      <c r="AE30" s="184"/>
    </row>
    <row r="31" spans="2:31" ht="14.25">
      <c r="B31" s="246" t="s">
        <v>722</v>
      </c>
      <c r="C31" s="247" t="s">
        <v>722</v>
      </c>
      <c r="D31" s="252">
        <v>48116124362</v>
      </c>
      <c r="E31" s="249" t="s">
        <v>632</v>
      </c>
      <c r="F31" s="240" t="s">
        <v>538</v>
      </c>
      <c r="G31" s="240" t="s">
        <v>723</v>
      </c>
      <c r="H31" s="241" t="s">
        <v>705</v>
      </c>
      <c r="I31" s="250" t="s">
        <v>629</v>
      </c>
      <c r="J31" s="250" t="s">
        <v>706</v>
      </c>
      <c r="K31" s="242">
        <v>5</v>
      </c>
      <c r="L31" s="253">
        <v>5</v>
      </c>
      <c r="M31" s="244">
        <v>2</v>
      </c>
      <c r="N31" s="245" t="s">
        <v>724</v>
      </c>
      <c r="R31" s="184"/>
      <c r="S31" s="184"/>
      <c r="T31" s="184"/>
      <c r="U31" s="184"/>
      <c r="V31" s="184"/>
      <c r="W31" s="184"/>
      <c r="X31" s="184"/>
      <c r="Y31" s="184"/>
      <c r="Z31" s="184"/>
      <c r="AE31" s="184"/>
    </row>
    <row r="32" spans="2:31">
      <c r="B32" s="254" t="s">
        <v>725</v>
      </c>
      <c r="C32" s="255" t="s">
        <v>725</v>
      </c>
      <c r="D32" s="256">
        <v>11222333444</v>
      </c>
      <c r="E32" s="257" t="s">
        <v>726</v>
      </c>
      <c r="F32" s="258" t="s">
        <v>538</v>
      </c>
      <c r="G32" s="258" t="s">
        <v>540</v>
      </c>
      <c r="H32" s="259" t="s">
        <v>705</v>
      </c>
      <c r="I32" s="260"/>
      <c r="J32" s="260"/>
      <c r="K32" s="242">
        <v>5</v>
      </c>
      <c r="L32" s="243">
        <v>5</v>
      </c>
      <c r="M32" s="261">
        <v>2</v>
      </c>
      <c r="N32" s="245" t="s">
        <v>709</v>
      </c>
      <c r="R32" s="184"/>
      <c r="S32" s="184"/>
      <c r="T32" s="184"/>
      <c r="U32" s="184"/>
      <c r="V32" s="184"/>
      <c r="W32" s="184"/>
      <c r="X32" s="184"/>
      <c r="Y32" s="184"/>
      <c r="Z32" s="184"/>
      <c r="AE32" s="184"/>
    </row>
    <row r="33" spans="2:31">
      <c r="B33" s="254" t="s">
        <v>727</v>
      </c>
      <c r="C33" s="255" t="s">
        <v>727</v>
      </c>
      <c r="D33" s="256">
        <v>11222333444</v>
      </c>
      <c r="E33" s="257" t="s">
        <v>726</v>
      </c>
      <c r="F33" s="258" t="s">
        <v>538</v>
      </c>
      <c r="G33" s="258" t="s">
        <v>723</v>
      </c>
      <c r="H33" s="262" t="s">
        <v>705</v>
      </c>
      <c r="I33" s="263"/>
      <c r="J33" s="263"/>
      <c r="K33" s="242">
        <v>5</v>
      </c>
      <c r="L33" s="253">
        <v>5</v>
      </c>
      <c r="M33" s="261">
        <v>5</v>
      </c>
      <c r="N33" s="245" t="s">
        <v>724</v>
      </c>
      <c r="R33" s="184"/>
      <c r="S33" s="184"/>
      <c r="T33" s="184"/>
      <c r="U33" s="184"/>
      <c r="V33" s="184"/>
      <c r="W33" s="184"/>
      <c r="X33" s="184"/>
      <c r="Y33" s="184"/>
      <c r="Z33" s="184"/>
      <c r="AE33" s="184"/>
    </row>
    <row r="34" spans="2:31" ht="14.25">
      <c r="B34" s="246" t="s">
        <v>728</v>
      </c>
      <c r="C34" s="247" t="s">
        <v>728</v>
      </c>
      <c r="D34" s="248">
        <v>76064651056</v>
      </c>
      <c r="E34" s="249" t="s">
        <v>632</v>
      </c>
      <c r="F34" s="240" t="s">
        <v>538</v>
      </c>
      <c r="G34" s="240" t="s">
        <v>540</v>
      </c>
      <c r="H34" s="241" t="s">
        <v>705</v>
      </c>
      <c r="I34" s="250" t="s">
        <v>629</v>
      </c>
      <c r="J34" s="250" t="s">
        <v>706</v>
      </c>
      <c r="K34" s="242">
        <v>5</v>
      </c>
      <c r="L34" s="243">
        <v>5</v>
      </c>
      <c r="M34" s="244">
        <v>2</v>
      </c>
      <c r="N34" s="251" t="s">
        <v>720</v>
      </c>
      <c r="R34" s="184"/>
      <c r="S34" s="184"/>
      <c r="T34" s="184"/>
      <c r="U34" s="184"/>
      <c r="V34" s="184"/>
      <c r="W34" s="184"/>
      <c r="X34" s="184"/>
      <c r="Y34" s="184"/>
      <c r="Z34" s="184"/>
      <c r="AE34" s="184"/>
    </row>
    <row r="35" spans="2:31" ht="14.25">
      <c r="B35" s="246" t="s">
        <v>729</v>
      </c>
      <c r="C35" s="247" t="s">
        <v>729</v>
      </c>
      <c r="D35" s="264">
        <v>16779340889</v>
      </c>
      <c r="E35" s="249" t="s">
        <v>730</v>
      </c>
      <c r="F35" s="240" t="s">
        <v>538</v>
      </c>
      <c r="G35" s="240" t="s">
        <v>723</v>
      </c>
      <c r="H35" s="241" t="s">
        <v>705</v>
      </c>
      <c r="I35" s="250" t="s">
        <v>713</v>
      </c>
      <c r="J35" s="250" t="s">
        <v>714</v>
      </c>
      <c r="K35" s="242">
        <v>10</v>
      </c>
      <c r="L35" s="253">
        <v>5</v>
      </c>
      <c r="M35" s="244">
        <v>5</v>
      </c>
      <c r="N35" s="245" t="s">
        <v>724</v>
      </c>
      <c r="R35" s="184"/>
      <c r="S35" s="184"/>
      <c r="T35" s="184"/>
      <c r="U35" s="184"/>
      <c r="V35" s="184"/>
      <c r="W35" s="184"/>
      <c r="X35" s="184"/>
      <c r="Y35" s="184"/>
      <c r="Z35" s="184"/>
      <c r="AE35" s="184"/>
    </row>
    <row r="36" spans="2:31" ht="14.25">
      <c r="B36" s="246" t="s">
        <v>731</v>
      </c>
      <c r="C36" s="247" t="s">
        <v>731</v>
      </c>
      <c r="D36" s="248">
        <v>41094482416</v>
      </c>
      <c r="E36" s="249" t="s">
        <v>711</v>
      </c>
      <c r="F36" s="240" t="s">
        <v>538</v>
      </c>
      <c r="G36" s="240" t="s">
        <v>723</v>
      </c>
      <c r="H36" s="241" t="s">
        <v>705</v>
      </c>
      <c r="I36" s="250" t="s">
        <v>713</v>
      </c>
      <c r="J36" s="250" t="s">
        <v>714</v>
      </c>
      <c r="K36" s="242">
        <v>5</v>
      </c>
      <c r="L36" s="253">
        <v>5</v>
      </c>
      <c r="M36" s="244">
        <v>5</v>
      </c>
      <c r="N36" s="245" t="s">
        <v>724</v>
      </c>
      <c r="R36" s="184"/>
      <c r="S36" s="184"/>
      <c r="T36" s="184"/>
      <c r="U36" s="184"/>
      <c r="V36" s="184"/>
      <c r="W36" s="184"/>
      <c r="X36" s="184"/>
      <c r="Y36" s="184"/>
      <c r="Z36" s="184"/>
      <c r="AE36" s="184"/>
    </row>
    <row r="37" spans="2:31" ht="14.25">
      <c r="B37" s="246" t="s">
        <v>732</v>
      </c>
      <c r="C37" s="247" t="s">
        <v>732</v>
      </c>
      <c r="D37" s="248">
        <v>59253130878</v>
      </c>
      <c r="E37" s="249" t="s">
        <v>716</v>
      </c>
      <c r="F37" s="240" t="s">
        <v>538</v>
      </c>
      <c r="G37" s="240" t="s">
        <v>540</v>
      </c>
      <c r="H37" s="241" t="s">
        <v>705</v>
      </c>
      <c r="I37" s="250" t="s">
        <v>713</v>
      </c>
      <c r="J37" s="250" t="s">
        <v>714</v>
      </c>
      <c r="K37" s="242">
        <v>5</v>
      </c>
      <c r="L37" s="243">
        <v>5</v>
      </c>
      <c r="M37" s="244">
        <v>5</v>
      </c>
      <c r="N37" s="251" t="s">
        <v>707</v>
      </c>
      <c r="R37" s="184"/>
      <c r="S37" s="184"/>
      <c r="T37" s="184"/>
      <c r="U37" s="184"/>
      <c r="V37" s="184"/>
      <c r="W37" s="184"/>
      <c r="X37" s="184"/>
      <c r="Y37" s="184"/>
      <c r="Z37" s="184"/>
      <c r="AE37" s="184"/>
    </row>
    <row r="38" spans="2:31" ht="14.25">
      <c r="B38" s="246" t="s">
        <v>733</v>
      </c>
      <c r="C38" s="247" t="s">
        <v>733</v>
      </c>
      <c r="D38" s="248">
        <v>40078849055</v>
      </c>
      <c r="E38" s="249" t="s">
        <v>730</v>
      </c>
      <c r="F38" s="240" t="s">
        <v>538</v>
      </c>
      <c r="G38" s="240" t="s">
        <v>540</v>
      </c>
      <c r="H38" s="265" t="s">
        <v>705</v>
      </c>
      <c r="I38" s="266" t="s">
        <v>713</v>
      </c>
      <c r="J38" s="266" t="s">
        <v>714</v>
      </c>
      <c r="K38" s="242">
        <v>5</v>
      </c>
      <c r="L38" s="243">
        <v>5</v>
      </c>
      <c r="M38" s="244">
        <v>5</v>
      </c>
      <c r="N38" s="251" t="s">
        <v>734</v>
      </c>
      <c r="R38" s="184"/>
      <c r="S38" s="184"/>
      <c r="T38" s="184"/>
      <c r="U38" s="184"/>
      <c r="V38" s="184"/>
      <c r="W38" s="184"/>
      <c r="X38" s="184"/>
      <c r="Y38" s="184"/>
      <c r="Z38" s="184"/>
      <c r="AE38" s="184"/>
    </row>
    <row r="39" spans="2:31" ht="14.25">
      <c r="B39" s="246" t="s">
        <v>735</v>
      </c>
      <c r="C39" s="247" t="s">
        <v>735</v>
      </c>
      <c r="D39" s="248">
        <v>50087646062</v>
      </c>
      <c r="E39" s="249" t="s">
        <v>730</v>
      </c>
      <c r="F39" s="240" t="s">
        <v>538</v>
      </c>
      <c r="G39" s="240" t="s">
        <v>540</v>
      </c>
      <c r="H39" s="265" t="s">
        <v>705</v>
      </c>
      <c r="I39" s="266" t="s">
        <v>713</v>
      </c>
      <c r="J39" s="266" t="s">
        <v>714</v>
      </c>
      <c r="K39" s="242">
        <v>5</v>
      </c>
      <c r="L39" s="243">
        <v>5</v>
      </c>
      <c r="M39" s="244">
        <v>5</v>
      </c>
      <c r="N39" s="251" t="s">
        <v>734</v>
      </c>
      <c r="R39" s="184"/>
      <c r="S39" s="184"/>
      <c r="T39" s="184"/>
      <c r="U39" s="184"/>
      <c r="V39" s="184"/>
      <c r="W39" s="184"/>
      <c r="X39" s="184"/>
      <c r="Y39" s="184"/>
      <c r="Z39" s="184"/>
      <c r="AE39" s="184"/>
    </row>
    <row r="40" spans="2:31" ht="14.25">
      <c r="B40" s="246" t="s">
        <v>736</v>
      </c>
      <c r="C40" s="247" t="s">
        <v>736</v>
      </c>
      <c r="D40" s="248">
        <v>37428185226</v>
      </c>
      <c r="E40" s="249" t="s">
        <v>716</v>
      </c>
      <c r="F40" s="240" t="s">
        <v>538</v>
      </c>
      <c r="G40" s="240" t="s">
        <v>540</v>
      </c>
      <c r="H40" s="265" t="s">
        <v>705</v>
      </c>
      <c r="I40" s="266" t="s">
        <v>713</v>
      </c>
      <c r="J40" s="266" t="s">
        <v>714</v>
      </c>
      <c r="K40" s="242">
        <v>5</v>
      </c>
      <c r="L40" s="243">
        <v>5</v>
      </c>
      <c r="M40" s="244">
        <v>5</v>
      </c>
      <c r="N40" s="251" t="s">
        <v>707</v>
      </c>
      <c r="R40" s="184"/>
      <c r="S40" s="184"/>
      <c r="T40" s="184"/>
      <c r="U40" s="184"/>
      <c r="V40" s="184"/>
      <c r="W40" s="184"/>
      <c r="X40" s="184"/>
      <c r="Y40" s="184"/>
      <c r="Z40" s="184"/>
      <c r="AE40" s="184"/>
    </row>
    <row r="41" spans="2:31" ht="14.25">
      <c r="B41" s="246" t="s">
        <v>737</v>
      </c>
      <c r="C41" s="247" t="s">
        <v>737</v>
      </c>
      <c r="D41" s="248">
        <v>82064651083</v>
      </c>
      <c r="E41" s="249" t="s">
        <v>632</v>
      </c>
      <c r="F41" s="240" t="s">
        <v>538</v>
      </c>
      <c r="G41" s="240" t="s">
        <v>540</v>
      </c>
      <c r="H41" s="241" t="s">
        <v>705</v>
      </c>
      <c r="I41" s="250" t="s">
        <v>629</v>
      </c>
      <c r="J41" s="250" t="s">
        <v>706</v>
      </c>
      <c r="K41" s="242">
        <v>5</v>
      </c>
      <c r="L41" s="243">
        <v>5</v>
      </c>
      <c r="M41" s="244">
        <v>2</v>
      </c>
      <c r="N41" s="251" t="s">
        <v>720</v>
      </c>
      <c r="R41" s="184"/>
      <c r="S41" s="184"/>
      <c r="T41" s="184"/>
      <c r="U41" s="184"/>
      <c r="V41" s="184"/>
      <c r="W41" s="184"/>
      <c r="X41" s="184"/>
      <c r="Y41" s="184"/>
      <c r="Z41" s="184"/>
      <c r="AE41" s="184"/>
    </row>
    <row r="42" spans="2:31" ht="14.25">
      <c r="B42" s="246" t="s">
        <v>738</v>
      </c>
      <c r="C42" s="247" t="s">
        <v>738</v>
      </c>
      <c r="D42" s="248">
        <v>79181207909</v>
      </c>
      <c r="E42" s="249" t="s">
        <v>711</v>
      </c>
      <c r="F42" s="240" t="s">
        <v>538</v>
      </c>
      <c r="G42" s="240" t="s">
        <v>723</v>
      </c>
      <c r="H42" s="241" t="s">
        <v>705</v>
      </c>
      <c r="I42" s="250" t="s">
        <v>713</v>
      </c>
      <c r="J42" s="250" t="s">
        <v>714</v>
      </c>
      <c r="K42" s="242">
        <v>5</v>
      </c>
      <c r="L42" s="253">
        <v>5</v>
      </c>
      <c r="M42" s="244">
        <v>5</v>
      </c>
      <c r="N42" s="245" t="s">
        <v>724</v>
      </c>
      <c r="R42" s="184"/>
      <c r="S42" s="184"/>
      <c r="T42" s="184"/>
      <c r="U42" s="184"/>
      <c r="V42" s="184"/>
      <c r="W42" s="184"/>
      <c r="X42" s="184"/>
      <c r="Y42" s="184"/>
      <c r="Z42" s="184"/>
      <c r="AE42" s="184"/>
    </row>
    <row r="43" spans="2:31" ht="14.25">
      <c r="B43" s="246" t="s">
        <v>739</v>
      </c>
      <c r="C43" s="247" t="s">
        <v>739</v>
      </c>
      <c r="D43" s="248">
        <v>89064651109</v>
      </c>
      <c r="E43" s="249" t="s">
        <v>632</v>
      </c>
      <c r="F43" s="240" t="s">
        <v>538</v>
      </c>
      <c r="G43" s="240" t="s">
        <v>540</v>
      </c>
      <c r="H43" s="241" t="s">
        <v>705</v>
      </c>
      <c r="I43" s="250" t="s">
        <v>629</v>
      </c>
      <c r="J43" s="250" t="s">
        <v>706</v>
      </c>
      <c r="K43" s="242">
        <v>5</v>
      </c>
      <c r="L43" s="243">
        <v>5</v>
      </c>
      <c r="M43" s="244">
        <v>2</v>
      </c>
      <c r="N43" s="251" t="s">
        <v>720</v>
      </c>
      <c r="R43" s="184"/>
      <c r="S43" s="184"/>
      <c r="T43" s="184"/>
      <c r="U43" s="184"/>
      <c r="V43" s="184"/>
      <c r="W43" s="184"/>
      <c r="X43" s="184"/>
      <c r="Y43" s="184"/>
      <c r="Z43" s="184"/>
      <c r="AE43" s="184"/>
    </row>
    <row r="44" spans="2:31" ht="71.25">
      <c r="B44" s="246" t="s">
        <v>740</v>
      </c>
      <c r="C44" s="267" t="s">
        <v>741</v>
      </c>
      <c r="D44" s="248">
        <v>82078849233</v>
      </c>
      <c r="E44" s="249" t="s">
        <v>730</v>
      </c>
      <c r="F44" s="240" t="s">
        <v>538</v>
      </c>
      <c r="G44" s="240" t="s">
        <v>723</v>
      </c>
      <c r="H44" s="241" t="s">
        <v>705</v>
      </c>
      <c r="I44" s="250" t="s">
        <v>713</v>
      </c>
      <c r="J44" s="250" t="s">
        <v>714</v>
      </c>
      <c r="K44" s="242">
        <v>5</v>
      </c>
      <c r="L44" s="253">
        <v>5</v>
      </c>
      <c r="M44" s="244">
        <v>5</v>
      </c>
      <c r="N44" s="245" t="s">
        <v>724</v>
      </c>
      <c r="R44" s="184"/>
      <c r="S44" s="184"/>
      <c r="T44" s="184"/>
      <c r="U44" s="184"/>
      <c r="V44" s="184"/>
      <c r="W44" s="184"/>
      <c r="X44" s="184"/>
      <c r="Y44" s="184"/>
      <c r="Z44" s="184"/>
      <c r="AE44" s="184"/>
    </row>
    <row r="45" spans="2:31">
      <c r="B45" s="254" t="s">
        <v>742</v>
      </c>
      <c r="C45" s="255" t="s">
        <v>742</v>
      </c>
      <c r="D45" s="256">
        <v>22222222222</v>
      </c>
      <c r="E45" s="257" t="s">
        <v>726</v>
      </c>
      <c r="F45" s="258" t="s">
        <v>712</v>
      </c>
      <c r="G45" s="258" t="s">
        <v>540</v>
      </c>
      <c r="H45" s="262" t="s">
        <v>743</v>
      </c>
      <c r="I45" s="263"/>
      <c r="J45" s="263"/>
      <c r="K45" s="242">
        <v>5</v>
      </c>
      <c r="L45" s="243">
        <v>5</v>
      </c>
      <c r="M45" s="268" t="s">
        <v>744</v>
      </c>
      <c r="N45" s="245" t="s">
        <v>745</v>
      </c>
      <c r="R45" s="184"/>
      <c r="S45" s="184"/>
      <c r="T45" s="184"/>
      <c r="U45" s="184"/>
      <c r="V45" s="184"/>
      <c r="W45" s="184"/>
      <c r="X45" s="184"/>
      <c r="Y45" s="184"/>
      <c r="Z45" s="184"/>
      <c r="AE45" s="184"/>
    </row>
    <row r="46" spans="2:31" ht="14.25">
      <c r="B46" s="246" t="s">
        <v>746</v>
      </c>
      <c r="C46" s="247" t="s">
        <v>746</v>
      </c>
      <c r="D46" s="248">
        <v>13332330749</v>
      </c>
      <c r="E46" s="249" t="s">
        <v>711</v>
      </c>
      <c r="F46" s="240" t="s">
        <v>538</v>
      </c>
      <c r="G46" s="240" t="s">
        <v>540</v>
      </c>
      <c r="H46" s="241" t="s">
        <v>705</v>
      </c>
      <c r="I46" s="250" t="s">
        <v>713</v>
      </c>
      <c r="J46" s="250" t="s">
        <v>714</v>
      </c>
      <c r="K46" s="242">
        <v>5</v>
      </c>
      <c r="L46" s="243">
        <v>5</v>
      </c>
      <c r="M46" s="244">
        <v>5</v>
      </c>
      <c r="N46" s="251" t="s">
        <v>734</v>
      </c>
      <c r="R46" s="184"/>
      <c r="S46" s="184"/>
      <c r="T46" s="184"/>
      <c r="U46" s="184"/>
      <c r="V46" s="184"/>
      <c r="W46" s="184"/>
      <c r="X46" s="184"/>
      <c r="Y46" s="184"/>
      <c r="Z46" s="184"/>
      <c r="AE46" s="184"/>
    </row>
    <row r="47" spans="2:31" ht="14.25">
      <c r="B47" s="246" t="s">
        <v>747</v>
      </c>
      <c r="C47" s="247" t="s">
        <v>747</v>
      </c>
      <c r="D47" s="248">
        <v>24167357299</v>
      </c>
      <c r="E47" s="249" t="s">
        <v>748</v>
      </c>
      <c r="F47" s="240" t="s">
        <v>538</v>
      </c>
      <c r="G47" s="240" t="s">
        <v>540</v>
      </c>
      <c r="H47" s="241" t="s">
        <v>705</v>
      </c>
      <c r="I47" s="250" t="s">
        <v>713</v>
      </c>
      <c r="J47" s="250" t="s">
        <v>714</v>
      </c>
      <c r="K47" s="242">
        <v>5</v>
      </c>
      <c r="L47" s="243">
        <v>5</v>
      </c>
      <c r="M47" s="244">
        <v>5</v>
      </c>
      <c r="N47" s="245" t="s">
        <v>709</v>
      </c>
      <c r="R47" s="184"/>
      <c r="S47" s="184"/>
      <c r="T47" s="184"/>
      <c r="U47" s="184"/>
      <c r="V47" s="184"/>
      <c r="W47" s="184"/>
      <c r="X47" s="184"/>
      <c r="Y47" s="184"/>
      <c r="Z47" s="184"/>
      <c r="AE47" s="184"/>
    </row>
    <row r="48" spans="2:31" ht="14.25">
      <c r="B48" s="246" t="s">
        <v>749</v>
      </c>
      <c r="C48" s="247" t="s">
        <v>749</v>
      </c>
      <c r="D48" s="248">
        <v>24167357299</v>
      </c>
      <c r="E48" s="249" t="s">
        <v>748</v>
      </c>
      <c r="F48" s="240" t="s">
        <v>538</v>
      </c>
      <c r="G48" s="240" t="s">
        <v>723</v>
      </c>
      <c r="H48" s="241" t="s">
        <v>705</v>
      </c>
      <c r="I48" s="250" t="s">
        <v>713</v>
      </c>
      <c r="J48" s="250" t="s">
        <v>750</v>
      </c>
      <c r="K48" s="242">
        <v>5</v>
      </c>
      <c r="L48" s="253">
        <v>5</v>
      </c>
      <c r="M48" s="244">
        <v>5</v>
      </c>
      <c r="N48" s="245" t="s">
        <v>724</v>
      </c>
      <c r="R48" s="184"/>
      <c r="S48" s="184"/>
      <c r="T48" s="184"/>
      <c r="U48" s="184"/>
      <c r="V48" s="184"/>
      <c r="W48" s="184"/>
      <c r="X48" s="184"/>
      <c r="Y48" s="184"/>
      <c r="Z48" s="184"/>
      <c r="AE48" s="184"/>
    </row>
    <row r="49" spans="2:32" ht="14.25">
      <c r="B49" s="246" t="s">
        <v>751</v>
      </c>
      <c r="C49" s="247" t="s">
        <v>751</v>
      </c>
      <c r="D49" s="248">
        <v>19622755774</v>
      </c>
      <c r="E49" s="249" t="s">
        <v>716</v>
      </c>
      <c r="F49" s="240" t="s">
        <v>538</v>
      </c>
      <c r="G49" s="240" t="s">
        <v>723</v>
      </c>
      <c r="H49" s="241" t="s">
        <v>705</v>
      </c>
      <c r="I49" s="250" t="s">
        <v>713</v>
      </c>
      <c r="J49" s="250" t="s">
        <v>714</v>
      </c>
      <c r="K49" s="242">
        <v>5</v>
      </c>
      <c r="L49" s="253">
        <v>5</v>
      </c>
      <c r="M49" s="244">
        <v>5</v>
      </c>
      <c r="N49" s="245" t="s">
        <v>724</v>
      </c>
      <c r="R49" s="184"/>
      <c r="S49" s="184"/>
      <c r="T49" s="184"/>
      <c r="U49" s="184"/>
      <c r="V49" s="184"/>
      <c r="W49" s="184"/>
      <c r="X49" s="184"/>
      <c r="Y49" s="184"/>
      <c r="Z49" s="184"/>
      <c r="AE49" s="184"/>
    </row>
    <row r="50" spans="2:32" ht="14.25">
      <c r="B50" s="246" t="s">
        <v>631</v>
      </c>
      <c r="C50" s="247" t="s">
        <v>631</v>
      </c>
      <c r="D50" s="248">
        <v>70064651029</v>
      </c>
      <c r="E50" s="249" t="s">
        <v>632</v>
      </c>
      <c r="F50" s="240" t="s">
        <v>538</v>
      </c>
      <c r="G50" s="240" t="s">
        <v>540</v>
      </c>
      <c r="H50" s="241" t="s">
        <v>705</v>
      </c>
      <c r="I50" s="250" t="s">
        <v>629</v>
      </c>
      <c r="J50" s="250" t="s">
        <v>706</v>
      </c>
      <c r="K50" s="242">
        <v>5</v>
      </c>
      <c r="L50" s="243">
        <v>5</v>
      </c>
      <c r="M50" s="244">
        <v>2</v>
      </c>
      <c r="N50" s="251" t="s">
        <v>720</v>
      </c>
      <c r="R50" s="184"/>
      <c r="S50" s="184"/>
      <c r="T50" s="184"/>
      <c r="U50" s="184"/>
      <c r="V50" s="184"/>
      <c r="W50" s="184"/>
      <c r="X50" s="184"/>
      <c r="Y50" s="184"/>
      <c r="Z50" s="184"/>
      <c r="AE50" s="184"/>
    </row>
    <row r="51" spans="2:32" ht="14.25">
      <c r="B51" s="254" t="s">
        <v>755</v>
      </c>
      <c r="C51" s="255" t="s">
        <v>755</v>
      </c>
      <c r="D51" s="256">
        <v>33333333666</v>
      </c>
      <c r="E51" s="269" t="s">
        <v>632</v>
      </c>
      <c r="F51" s="258" t="s">
        <v>538</v>
      </c>
      <c r="G51" s="258" t="s">
        <v>540</v>
      </c>
      <c r="H51" s="262" t="s">
        <v>743</v>
      </c>
      <c r="I51" s="263"/>
      <c r="J51" s="263"/>
      <c r="K51" s="242">
        <v>5</v>
      </c>
      <c r="L51" s="243">
        <v>5</v>
      </c>
      <c r="M51" s="261" t="s">
        <v>744</v>
      </c>
      <c r="N51" s="245" t="s">
        <v>709</v>
      </c>
      <c r="R51" s="184"/>
      <c r="S51" s="184"/>
      <c r="T51" s="184"/>
      <c r="U51" s="184"/>
      <c r="V51" s="184"/>
      <c r="W51" s="184"/>
      <c r="X51" s="184"/>
      <c r="Y51" s="184"/>
      <c r="Z51" s="184"/>
      <c r="AE51" s="184"/>
    </row>
    <row r="52" spans="2:32" thickBot="1">
      <c r="B52" s="270" t="s">
        <v>756</v>
      </c>
      <c r="C52" s="271" t="s">
        <v>756</v>
      </c>
      <c r="D52" s="272">
        <v>33333333333</v>
      </c>
      <c r="E52" s="273" t="s">
        <v>632</v>
      </c>
      <c r="F52" s="274" t="s">
        <v>538</v>
      </c>
      <c r="G52" s="274" t="s">
        <v>540</v>
      </c>
      <c r="H52" s="275" t="s">
        <v>743</v>
      </c>
      <c r="I52" s="276"/>
      <c r="J52" s="276"/>
      <c r="K52" s="277">
        <v>5</v>
      </c>
      <c r="L52" s="278">
        <v>5</v>
      </c>
      <c r="M52" s="279" t="s">
        <v>744</v>
      </c>
      <c r="N52" s="280" t="s">
        <v>709</v>
      </c>
      <c r="R52" s="184"/>
      <c r="S52" s="184"/>
      <c r="T52" s="184"/>
      <c r="U52" s="184"/>
      <c r="V52" s="184"/>
      <c r="W52" s="184"/>
      <c r="X52" s="184"/>
      <c r="Y52" s="184"/>
      <c r="Z52" s="184"/>
      <c r="AE52" s="184"/>
    </row>
    <row r="53" spans="2:32">
      <c r="C53" s="220"/>
    </row>
    <row r="54" spans="2:32">
      <c r="C54" s="220"/>
    </row>
    <row r="55" spans="2:32">
      <c r="C55" s="220"/>
    </row>
    <row r="56" spans="2:32" ht="15.75" thickBot="1"/>
    <row r="57" spans="2:32" ht="26.25" thickBot="1">
      <c r="B57" s="281" t="s">
        <v>757</v>
      </c>
      <c r="C57" s="281" t="s">
        <v>758</v>
      </c>
      <c r="E57" s="282" t="s">
        <v>759</v>
      </c>
      <c r="F57" s="283" t="s">
        <v>760</v>
      </c>
      <c r="G57" s="282" t="s">
        <v>761</v>
      </c>
      <c r="H57" s="283" t="s">
        <v>762</v>
      </c>
      <c r="I57" s="284"/>
      <c r="J57" s="284"/>
      <c r="N57" s="285" t="s">
        <v>763</v>
      </c>
    </row>
    <row r="58" spans="2:32">
      <c r="B58" s="286" t="s">
        <v>764</v>
      </c>
      <c r="C58" s="287" t="s">
        <v>705</v>
      </c>
      <c r="E58" s="288">
        <v>1</v>
      </c>
      <c r="F58" s="289" t="s">
        <v>765</v>
      </c>
      <c r="G58" s="288">
        <v>1</v>
      </c>
      <c r="H58" s="289" t="s">
        <v>766</v>
      </c>
      <c r="I58" s="290"/>
      <c r="J58" s="290"/>
      <c r="N58" s="291" t="s">
        <v>767</v>
      </c>
      <c r="W58" s="292"/>
      <c r="AF58" s="184" t="s">
        <v>768</v>
      </c>
    </row>
    <row r="59" spans="2:32">
      <c r="B59" s="293" t="s">
        <v>769</v>
      </c>
      <c r="C59" s="294" t="s">
        <v>770</v>
      </c>
      <c r="E59" s="295">
        <v>2</v>
      </c>
      <c r="F59" s="296" t="s">
        <v>771</v>
      </c>
      <c r="G59" s="295">
        <v>2</v>
      </c>
      <c r="H59" s="296" t="s">
        <v>772</v>
      </c>
      <c r="I59" s="290"/>
      <c r="J59" s="290"/>
      <c r="N59" s="297" t="s">
        <v>773</v>
      </c>
      <c r="W59" s="298"/>
    </row>
    <row r="60" spans="2:32" ht="15.75" thickBot="1">
      <c r="B60" s="293" t="s">
        <v>774</v>
      </c>
      <c r="C60" s="299" t="s">
        <v>775</v>
      </c>
      <c r="E60" s="295">
        <v>3</v>
      </c>
      <c r="F60" s="296" t="s">
        <v>776</v>
      </c>
      <c r="G60" s="295">
        <v>3</v>
      </c>
      <c r="H60" s="296" t="s">
        <v>777</v>
      </c>
      <c r="I60" s="290"/>
      <c r="J60" s="290"/>
      <c r="N60" s="297" t="s">
        <v>778</v>
      </c>
      <c r="W60" s="300"/>
    </row>
    <row r="61" spans="2:32">
      <c r="B61" s="293" t="s">
        <v>779</v>
      </c>
      <c r="C61" s="184"/>
      <c r="E61" s="295">
        <v>4</v>
      </c>
      <c r="F61" s="296" t="s">
        <v>780</v>
      </c>
      <c r="G61" s="295">
        <v>4</v>
      </c>
      <c r="H61" s="296" t="s">
        <v>781</v>
      </c>
      <c r="I61" s="290"/>
      <c r="J61" s="290"/>
      <c r="N61" s="297" t="s">
        <v>782</v>
      </c>
      <c r="W61" s="301"/>
    </row>
    <row r="62" spans="2:32">
      <c r="B62" s="293" t="s">
        <v>783</v>
      </c>
      <c r="E62" s="295">
        <v>5</v>
      </c>
      <c r="F62" s="296" t="s">
        <v>784</v>
      </c>
      <c r="G62" s="295">
        <v>5</v>
      </c>
      <c r="H62" s="296" t="s">
        <v>785</v>
      </c>
      <c r="I62" s="290"/>
      <c r="J62" s="290"/>
      <c r="N62" s="297" t="s">
        <v>786</v>
      </c>
      <c r="W62" s="302"/>
    </row>
    <row r="63" spans="2:32">
      <c r="B63" s="293" t="s">
        <v>787</v>
      </c>
      <c r="E63" s="295">
        <v>6</v>
      </c>
      <c r="F63" s="296" t="s">
        <v>788</v>
      </c>
      <c r="G63" s="295">
        <v>6</v>
      </c>
      <c r="H63" s="296" t="s">
        <v>789</v>
      </c>
      <c r="I63" s="290"/>
      <c r="J63" s="290"/>
      <c r="N63" s="297" t="s">
        <v>790</v>
      </c>
      <c r="W63" s="303"/>
    </row>
    <row r="64" spans="2:32" ht="15.75" thickBot="1">
      <c r="B64" s="293" t="s">
        <v>791</v>
      </c>
      <c r="E64" s="295">
        <v>7</v>
      </c>
      <c r="F64" s="296" t="s">
        <v>792</v>
      </c>
      <c r="G64" s="295">
        <v>7</v>
      </c>
      <c r="H64" s="296" t="s">
        <v>793</v>
      </c>
      <c r="I64" s="290"/>
      <c r="J64" s="290"/>
      <c r="N64" s="304" t="s">
        <v>794</v>
      </c>
    </row>
    <row r="65" spans="2:10">
      <c r="B65" s="293" t="s">
        <v>795</v>
      </c>
      <c r="E65" s="295">
        <v>8</v>
      </c>
      <c r="F65" s="296" t="s">
        <v>796</v>
      </c>
      <c r="G65" s="295">
        <v>8</v>
      </c>
      <c r="H65" s="296" t="s">
        <v>797</v>
      </c>
      <c r="I65" s="290"/>
      <c r="J65" s="290"/>
    </row>
    <row r="66" spans="2:10">
      <c r="B66" s="293" t="s">
        <v>798</v>
      </c>
      <c r="E66" s="295">
        <v>9</v>
      </c>
      <c r="F66" s="296" t="s">
        <v>799</v>
      </c>
      <c r="G66" s="295">
        <v>9</v>
      </c>
      <c r="H66" s="296" t="s">
        <v>800</v>
      </c>
      <c r="I66" s="290"/>
      <c r="J66" s="290"/>
    </row>
    <row r="67" spans="2:10" ht="15.75" thickBot="1">
      <c r="B67" s="293" t="s">
        <v>801</v>
      </c>
      <c r="E67" s="305">
        <v>10</v>
      </c>
      <c r="F67" s="306" t="s">
        <v>802</v>
      </c>
      <c r="G67" s="305">
        <v>10</v>
      </c>
      <c r="H67" s="306" t="s">
        <v>803</v>
      </c>
      <c r="I67" s="290"/>
      <c r="J67" s="290"/>
    </row>
    <row r="68" spans="2:10">
      <c r="B68" s="307" t="s">
        <v>633</v>
      </c>
    </row>
    <row r="69" spans="2:10">
      <c r="B69" s="293" t="s">
        <v>804</v>
      </c>
    </row>
    <row r="70" spans="2:10">
      <c r="B70" s="293" t="s">
        <v>805</v>
      </c>
    </row>
    <row r="71" spans="2:10" ht="15.75" thickBot="1">
      <c r="B71" s="308" t="s">
        <v>806</v>
      </c>
    </row>
    <row r="73" spans="2:10" ht="15.75" thickBot="1"/>
    <row r="74" spans="2:10" ht="15.75" thickBot="1">
      <c r="B74" s="309" t="s">
        <v>807</v>
      </c>
      <c r="C74" s="309" t="s">
        <v>808</v>
      </c>
    </row>
    <row r="75" spans="2:10">
      <c r="B75" s="310" t="s">
        <v>809</v>
      </c>
      <c r="C75" s="311">
        <v>2006</v>
      </c>
    </row>
    <row r="76" spans="2:10">
      <c r="B76" s="312" t="s">
        <v>810</v>
      </c>
      <c r="C76" s="313">
        <v>2007</v>
      </c>
    </row>
    <row r="77" spans="2:10">
      <c r="B77" s="312" t="s">
        <v>811</v>
      </c>
      <c r="C77" s="313" t="s">
        <v>812</v>
      </c>
    </row>
    <row r="78" spans="2:10">
      <c r="B78" s="312" t="s">
        <v>813</v>
      </c>
      <c r="C78" s="313" t="s">
        <v>814</v>
      </c>
    </row>
    <row r="79" spans="2:10">
      <c r="B79" s="312" t="s">
        <v>815</v>
      </c>
      <c r="C79" s="313" t="s">
        <v>816</v>
      </c>
    </row>
    <row r="80" spans="2:10">
      <c r="B80" s="312" t="s">
        <v>817</v>
      </c>
      <c r="C80" s="313" t="s">
        <v>818</v>
      </c>
    </row>
    <row r="81" spans="1:5">
      <c r="B81" s="312" t="s">
        <v>819</v>
      </c>
      <c r="C81" s="313" t="s">
        <v>820</v>
      </c>
    </row>
    <row r="82" spans="1:5">
      <c r="B82" s="312" t="s">
        <v>821</v>
      </c>
      <c r="C82" s="313" t="s">
        <v>822</v>
      </c>
    </row>
    <row r="83" spans="1:5">
      <c r="B83" s="312" t="s">
        <v>823</v>
      </c>
      <c r="C83" s="313" t="s">
        <v>824</v>
      </c>
    </row>
    <row r="84" spans="1:5">
      <c r="B84" s="312" t="s">
        <v>825</v>
      </c>
      <c r="C84" s="313" t="s">
        <v>826</v>
      </c>
    </row>
    <row r="85" spans="1:5">
      <c r="B85" s="312" t="s">
        <v>827</v>
      </c>
      <c r="C85" s="313" t="s">
        <v>828</v>
      </c>
    </row>
    <row r="86" spans="1:5">
      <c r="B86" s="312" t="s">
        <v>829</v>
      </c>
      <c r="C86" s="313" t="s">
        <v>830</v>
      </c>
    </row>
    <row r="87" spans="1:5">
      <c r="B87" s="312" t="s">
        <v>831</v>
      </c>
      <c r="C87" s="313" t="s">
        <v>832</v>
      </c>
    </row>
    <row r="88" spans="1:5">
      <c r="B88" s="312" t="s">
        <v>833</v>
      </c>
      <c r="C88" s="313">
        <v>2019</v>
      </c>
    </row>
    <row r="89" spans="1:5" ht="15.75" thickBot="1">
      <c r="B89" s="314" t="s">
        <v>834</v>
      </c>
      <c r="C89" s="315" t="s">
        <v>835</v>
      </c>
    </row>
    <row r="90" spans="1:5">
      <c r="A90" s="57"/>
      <c r="B90" s="57"/>
      <c r="C90" s="57"/>
      <c r="D90" s="57"/>
      <c r="E90" s="57"/>
    </row>
    <row r="91" spans="1:5">
      <c r="A91" s="57"/>
      <c r="B91" s="57"/>
      <c r="C91" s="57"/>
      <c r="D91" s="57"/>
      <c r="E91" s="57"/>
    </row>
    <row r="92" spans="1:5">
      <c r="A92" s="57"/>
      <c r="B92" s="57"/>
      <c r="C92" s="57"/>
      <c r="D92" s="57"/>
      <c r="E92" s="57"/>
    </row>
    <row r="93" spans="1:5">
      <c r="A93" s="57"/>
      <c r="B93" s="57"/>
      <c r="C93" s="57"/>
      <c r="D93" s="57"/>
      <c r="E93" s="57"/>
    </row>
    <row r="94" spans="1:5">
      <c r="A94" s="57"/>
      <c r="B94" s="57"/>
      <c r="C94" s="57"/>
      <c r="D94" s="57"/>
      <c r="E94" s="57"/>
    </row>
    <row r="95" spans="1:5">
      <c r="A95" s="57"/>
      <c r="B95" s="57"/>
      <c r="C95" s="57"/>
      <c r="D95" s="57"/>
      <c r="E95" s="57"/>
    </row>
    <row r="96" spans="1:5">
      <c r="A96" s="57"/>
      <c r="B96" s="57"/>
      <c r="C96" s="57"/>
      <c r="D96" s="57"/>
      <c r="E96" s="57"/>
    </row>
    <row r="97" spans="1:5">
      <c r="A97" s="57"/>
      <c r="B97" s="57"/>
      <c r="C97" s="57"/>
      <c r="D97" s="57"/>
      <c r="E97" s="57"/>
    </row>
    <row r="98" spans="1:5">
      <c r="A98" s="57"/>
      <c r="B98" s="57"/>
      <c r="C98" s="57"/>
      <c r="D98" s="57"/>
      <c r="E98" s="57"/>
    </row>
    <row r="99" spans="1:5">
      <c r="A99" s="57"/>
      <c r="B99" s="57"/>
      <c r="C99" s="57"/>
      <c r="D99" s="57"/>
      <c r="E99" s="57"/>
    </row>
    <row r="100" spans="1:5">
      <c r="A100" s="57"/>
      <c r="B100" s="57"/>
      <c r="C100" s="57"/>
      <c r="D100" s="57"/>
      <c r="E100" s="57"/>
    </row>
    <row r="101" spans="1:5">
      <c r="A101" s="57"/>
      <c r="B101" s="57"/>
      <c r="C101" s="57"/>
      <c r="D101" s="57"/>
      <c r="E101" s="57"/>
    </row>
    <row r="102" spans="1:5">
      <c r="A102" s="57"/>
      <c r="B102" s="57"/>
      <c r="C102" s="57"/>
      <c r="D102" s="57"/>
      <c r="E102" s="57"/>
    </row>
    <row r="103" spans="1:5">
      <c r="A103" s="57"/>
      <c r="B103" s="57"/>
      <c r="C103" s="57"/>
      <c r="D103" s="57"/>
      <c r="E103" s="57"/>
    </row>
    <row r="104" spans="1:5">
      <c r="A104" s="57"/>
      <c r="B104" s="57"/>
      <c r="C104" s="57"/>
      <c r="D104" s="57"/>
      <c r="E104" s="57"/>
    </row>
    <row r="105" spans="1:5">
      <c r="A105" s="57"/>
      <c r="B105" s="57"/>
      <c r="C105" s="57"/>
      <c r="D105" s="57"/>
      <c r="E105" s="57"/>
    </row>
    <row r="106" spans="1:5">
      <c r="A106" s="57"/>
      <c r="B106" s="57"/>
      <c r="C106" s="57"/>
      <c r="D106" s="57"/>
      <c r="E106" s="57"/>
    </row>
  </sheetData>
  <mergeCells count="1">
    <mergeCell ref="B1:L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67"/>
  <sheetViews>
    <sheetView zoomScale="70" zoomScaleNormal="70" workbookViewId="0">
      <selection activeCell="E30" sqref="E30"/>
    </sheetView>
  </sheetViews>
  <sheetFormatPr defaultRowHeight="15"/>
  <cols>
    <col min="1" max="1" width="21.42578125" style="57" bestFit="1" customWidth="1"/>
    <col min="2" max="2" width="66" style="57" bestFit="1" customWidth="1"/>
    <col min="3" max="3" width="24.7109375" style="153" bestFit="1" customWidth="1"/>
    <col min="4" max="11" width="9.140625" style="57"/>
    <col min="12" max="12" width="39.140625" style="57" bestFit="1" customWidth="1"/>
    <col min="13" max="16384" width="9.140625" style="57"/>
  </cols>
  <sheetData>
    <row r="1" spans="1:20" ht="15.75">
      <c r="B1" s="4" t="s">
        <v>624</v>
      </c>
    </row>
    <row r="2" spans="1:20">
      <c r="M2" s="120"/>
    </row>
    <row r="3" spans="1:20" ht="29.25" customHeight="1">
      <c r="B3" s="1" t="s">
        <v>31</v>
      </c>
      <c r="D3" s="78">
        <v>2006</v>
      </c>
      <c r="E3" s="78">
        <v>2007</v>
      </c>
      <c r="F3" s="78">
        <v>2008</v>
      </c>
      <c r="G3" s="78">
        <v>2009</v>
      </c>
      <c r="H3" s="78">
        <v>2010</v>
      </c>
      <c r="I3" s="78">
        <v>2011</v>
      </c>
      <c r="J3" s="78">
        <v>2012</v>
      </c>
      <c r="K3" s="78">
        <v>2013</v>
      </c>
      <c r="L3" s="50" t="s">
        <v>34</v>
      </c>
    </row>
    <row r="4" spans="1:20">
      <c r="A4" s="1" t="s">
        <v>14</v>
      </c>
      <c r="B4" s="1" t="s">
        <v>1</v>
      </c>
      <c r="C4" s="154" t="s">
        <v>2</v>
      </c>
      <c r="L4" s="101"/>
    </row>
    <row r="5" spans="1:20" ht="15.75">
      <c r="B5" s="155" t="s">
        <v>555</v>
      </c>
      <c r="L5" s="105"/>
    </row>
    <row r="6" spans="1:20">
      <c r="B6" s="156" t="s">
        <v>556</v>
      </c>
      <c r="L6" s="105"/>
    </row>
    <row r="7" spans="1:20">
      <c r="A7" s="57" t="s">
        <v>267</v>
      </c>
      <c r="B7" s="157" t="s">
        <v>211</v>
      </c>
      <c r="C7" s="153" t="s">
        <v>212</v>
      </c>
      <c r="D7" s="158">
        <v>61.824993004150237</v>
      </c>
      <c r="E7" s="158">
        <v>106.25709377731586</v>
      </c>
      <c r="F7" s="158">
        <v>295.05557340982637</v>
      </c>
      <c r="G7" s="158">
        <v>131.12543203866809</v>
      </c>
      <c r="H7" s="158">
        <v>80.29593033006563</v>
      </c>
      <c r="I7" s="158">
        <v>60.974539338844608</v>
      </c>
      <c r="J7" s="158">
        <v>90.929407856598019</v>
      </c>
      <c r="K7" s="158">
        <v>110.36</v>
      </c>
      <c r="M7" s="124"/>
      <c r="N7" s="124"/>
      <c r="O7" s="124"/>
      <c r="P7" s="124"/>
      <c r="Q7" s="124"/>
      <c r="R7" s="124"/>
      <c r="S7" s="124"/>
      <c r="T7" s="124"/>
    </row>
    <row r="8" spans="1:20">
      <c r="A8" s="57" t="s">
        <v>268</v>
      </c>
      <c r="B8" s="157" t="s">
        <v>213</v>
      </c>
      <c r="C8" s="153" t="s">
        <v>212</v>
      </c>
      <c r="D8" s="158">
        <v>60.519709226702716</v>
      </c>
      <c r="E8" s="158">
        <v>74.291178067563962</v>
      </c>
      <c r="F8" s="158">
        <v>294.92485253126415</v>
      </c>
      <c r="G8" s="158">
        <v>91.62868359033763</v>
      </c>
      <c r="H8" s="158">
        <v>80.29593033006563</v>
      </c>
      <c r="I8" s="158">
        <v>60.974539338844608</v>
      </c>
      <c r="J8" s="158">
        <v>90.929407856598019</v>
      </c>
      <c r="K8" s="158">
        <v>100.47</v>
      </c>
      <c r="M8" s="124"/>
      <c r="N8" s="124"/>
      <c r="O8" s="124"/>
      <c r="P8" s="124"/>
      <c r="Q8" s="124"/>
      <c r="R8" s="124"/>
      <c r="S8" s="124"/>
      <c r="T8" s="124"/>
    </row>
    <row r="9" spans="1:20">
      <c r="A9" s="57" t="s">
        <v>269</v>
      </c>
      <c r="B9" s="157" t="s">
        <v>214</v>
      </c>
      <c r="C9" s="153" t="s">
        <v>215</v>
      </c>
      <c r="D9" s="158">
        <v>1.0139111685092099</v>
      </c>
      <c r="E9" s="158">
        <v>1.5012672902142188</v>
      </c>
      <c r="F9" s="158">
        <v>1.387781215359394</v>
      </c>
      <c r="G9" s="158">
        <v>1.6624864362879872</v>
      </c>
      <c r="H9" s="158">
        <v>1.0541216469345305</v>
      </c>
      <c r="I9" s="158">
        <v>0.95967116572529565</v>
      </c>
      <c r="J9" s="158">
        <v>1.1790954560313829</v>
      </c>
      <c r="K9" s="158">
        <v>1.78</v>
      </c>
      <c r="M9" s="124"/>
      <c r="N9" s="124"/>
      <c r="O9" s="124"/>
      <c r="P9" s="124"/>
      <c r="Q9" s="124"/>
      <c r="R9" s="124"/>
      <c r="S9" s="124"/>
      <c r="T9" s="124"/>
    </row>
    <row r="10" spans="1:20">
      <c r="A10" s="57" t="s">
        <v>270</v>
      </c>
      <c r="B10" s="157" t="s">
        <v>216</v>
      </c>
      <c r="C10" s="153" t="s">
        <v>215</v>
      </c>
      <c r="D10" s="158">
        <v>0.9915945927529124</v>
      </c>
      <c r="E10" s="158">
        <v>1.1379618320487523</v>
      </c>
      <c r="F10" s="158">
        <v>1.3756375963099363</v>
      </c>
      <c r="G10" s="158">
        <v>1.372326889441809</v>
      </c>
      <c r="H10" s="158">
        <v>1.0541216469345305</v>
      </c>
      <c r="I10" s="158">
        <v>0.95967116572529565</v>
      </c>
      <c r="J10" s="158">
        <v>1.1790954560313829</v>
      </c>
      <c r="K10" s="158">
        <v>1.2328999999999999</v>
      </c>
      <c r="M10" s="124"/>
      <c r="N10" s="124"/>
      <c r="O10" s="124"/>
      <c r="P10" s="124"/>
      <c r="Q10" s="124"/>
      <c r="R10" s="124"/>
      <c r="S10" s="124"/>
      <c r="T10" s="124"/>
    </row>
    <row r="11" spans="1:20">
      <c r="B11" s="156" t="s">
        <v>557</v>
      </c>
      <c r="D11" s="159"/>
      <c r="E11" s="159"/>
      <c r="F11" s="159"/>
      <c r="G11" s="159"/>
      <c r="H11" s="159"/>
      <c r="I11" s="159"/>
      <c r="J11" s="159"/>
      <c r="K11" s="159"/>
      <c r="M11" s="124"/>
      <c r="N11" s="124"/>
      <c r="O11" s="124"/>
      <c r="P11" s="124"/>
      <c r="Q11" s="124"/>
      <c r="R11" s="124"/>
      <c r="S11" s="124"/>
      <c r="T11" s="124"/>
    </row>
    <row r="12" spans="1:20">
      <c r="A12" s="57" t="s">
        <v>271</v>
      </c>
      <c r="B12" s="157" t="s">
        <v>211</v>
      </c>
      <c r="C12" s="153" t="s">
        <v>212</v>
      </c>
      <c r="D12" s="158">
        <v>51.854993004150202</v>
      </c>
      <c r="E12" s="158">
        <v>92.617093777315858</v>
      </c>
      <c r="F12" s="158">
        <v>62.775573409826364</v>
      </c>
      <c r="G12" s="158">
        <v>100.98743203866809</v>
      </c>
      <c r="H12" s="158">
        <v>56.715930330065632</v>
      </c>
      <c r="I12" s="158">
        <v>60.974539338844608</v>
      </c>
      <c r="J12" s="158">
        <v>78.651145419293556</v>
      </c>
      <c r="K12" s="158">
        <v>83.45</v>
      </c>
      <c r="M12" s="124"/>
      <c r="N12" s="124"/>
      <c r="O12" s="124"/>
      <c r="P12" s="124"/>
      <c r="Q12" s="124"/>
      <c r="R12" s="124"/>
      <c r="S12" s="124"/>
      <c r="T12" s="124"/>
    </row>
    <row r="13" spans="1:20">
      <c r="A13" s="57" t="s">
        <v>272</v>
      </c>
      <c r="B13" s="157" t="s">
        <v>213</v>
      </c>
      <c r="C13" s="153" t="s">
        <v>212</v>
      </c>
      <c r="D13" s="158">
        <v>50.549709226702717</v>
      </c>
      <c r="E13" s="158">
        <v>60.651178067563961</v>
      </c>
      <c r="F13" s="158">
        <v>62.644852531264149</v>
      </c>
      <c r="G13" s="158">
        <v>61.490683590337625</v>
      </c>
      <c r="H13" s="158">
        <v>56.715930330065632</v>
      </c>
      <c r="I13" s="158">
        <v>60.974539338844608</v>
      </c>
      <c r="J13" s="158">
        <v>78.651145419293556</v>
      </c>
      <c r="K13" s="158">
        <v>73.56</v>
      </c>
      <c r="M13" s="124"/>
      <c r="N13" s="124"/>
      <c r="O13" s="124"/>
      <c r="P13" s="124"/>
      <c r="Q13" s="124"/>
      <c r="R13" s="124"/>
      <c r="S13" s="124"/>
      <c r="T13" s="124"/>
    </row>
    <row r="14" spans="1:20">
      <c r="A14" s="57" t="s">
        <v>273</v>
      </c>
      <c r="B14" s="157" t="s">
        <v>214</v>
      </c>
      <c r="C14" s="153" t="s">
        <v>215</v>
      </c>
      <c r="D14" s="158">
        <v>0.94280317607624076</v>
      </c>
      <c r="E14" s="158">
        <v>1.4301592977812496</v>
      </c>
      <c r="F14" s="158">
        <v>1.3166732229264249</v>
      </c>
      <c r="G14" s="158">
        <v>1.591378443855018</v>
      </c>
      <c r="H14" s="158">
        <v>0.98301365450156131</v>
      </c>
      <c r="I14" s="158">
        <v>0.95967116572529565</v>
      </c>
      <c r="J14" s="158">
        <v>1.0918057254938589</v>
      </c>
      <c r="K14" s="158">
        <v>1.5647</v>
      </c>
      <c r="M14" s="124"/>
      <c r="N14" s="124"/>
      <c r="O14" s="124"/>
      <c r="P14" s="124"/>
      <c r="Q14" s="124"/>
      <c r="R14" s="124"/>
      <c r="S14" s="124"/>
      <c r="T14" s="124"/>
    </row>
    <row r="15" spans="1:20">
      <c r="A15" s="57" t="s">
        <v>274</v>
      </c>
      <c r="B15" s="157" t="s">
        <v>216</v>
      </c>
      <c r="C15" s="153" t="s">
        <v>215</v>
      </c>
      <c r="D15" s="158">
        <v>0.92048660031994323</v>
      </c>
      <c r="E15" s="158">
        <v>1.0668538396157832</v>
      </c>
      <c r="F15" s="158">
        <v>1.3045296038769671</v>
      </c>
      <c r="G15" s="158">
        <v>1.3012188970088399</v>
      </c>
      <c r="H15" s="158">
        <v>0.98301365450156131</v>
      </c>
      <c r="I15" s="158">
        <v>0.95967116572529565</v>
      </c>
      <c r="J15" s="158">
        <v>1.0918057254938589</v>
      </c>
      <c r="K15" s="158">
        <v>1.01</v>
      </c>
      <c r="M15" s="124"/>
      <c r="N15" s="124"/>
      <c r="O15" s="124"/>
      <c r="P15" s="124"/>
      <c r="Q15" s="124"/>
      <c r="R15" s="124"/>
      <c r="S15" s="124"/>
      <c r="T15" s="124"/>
    </row>
    <row r="16" spans="1:20">
      <c r="B16" s="157"/>
      <c r="D16" s="173"/>
      <c r="E16" s="173"/>
      <c r="F16" s="173"/>
      <c r="G16" s="173"/>
      <c r="H16" s="173"/>
      <c r="I16" s="173"/>
      <c r="J16" s="173"/>
      <c r="K16" s="173"/>
      <c r="M16" s="124"/>
      <c r="N16" s="124"/>
      <c r="O16" s="124"/>
      <c r="P16" s="124"/>
      <c r="Q16" s="124"/>
      <c r="R16" s="124"/>
      <c r="S16" s="124"/>
      <c r="T16" s="124"/>
    </row>
    <row r="17" spans="1:20" ht="15.75">
      <c r="A17" s="112"/>
      <c r="B17" s="155" t="s">
        <v>558</v>
      </c>
      <c r="M17" s="124"/>
      <c r="N17" s="124"/>
      <c r="O17" s="124"/>
      <c r="P17" s="124"/>
      <c r="Q17" s="124"/>
      <c r="R17" s="124"/>
      <c r="S17" s="124"/>
      <c r="T17" s="124"/>
    </row>
    <row r="18" spans="1:20">
      <c r="A18" s="57" t="s">
        <v>275</v>
      </c>
      <c r="B18" s="95" t="s">
        <v>217</v>
      </c>
      <c r="C18" s="95" t="s">
        <v>99</v>
      </c>
      <c r="D18" s="141">
        <v>0.29797963918414977</v>
      </c>
      <c r="E18" s="141">
        <v>0.37210720707855882</v>
      </c>
      <c r="F18" s="141">
        <v>8.3897416081167436E-2</v>
      </c>
      <c r="G18" s="141">
        <v>0.44142736805469779</v>
      </c>
      <c r="H18" s="141">
        <v>0.19729217874038601</v>
      </c>
      <c r="I18" s="141">
        <v>0.59851938696658313</v>
      </c>
      <c r="J18" s="141">
        <v>0.47954559429367033</v>
      </c>
      <c r="K18" s="141">
        <v>0.79800000000000004</v>
      </c>
      <c r="M18" s="124"/>
      <c r="N18" s="124"/>
      <c r="O18" s="124"/>
      <c r="P18" s="124"/>
      <c r="Q18" s="124"/>
      <c r="R18" s="124"/>
      <c r="S18" s="124"/>
      <c r="T18" s="124"/>
    </row>
    <row r="19" spans="1:20">
      <c r="A19" s="57" t="s">
        <v>276</v>
      </c>
      <c r="B19" s="95" t="s">
        <v>218</v>
      </c>
      <c r="C19" s="95" t="s">
        <v>99</v>
      </c>
      <c r="D19" s="141">
        <v>0.86920741405966651</v>
      </c>
      <c r="E19" s="141">
        <v>1.4895168196718003</v>
      </c>
      <c r="F19" s="141">
        <v>3.8606884699985029</v>
      </c>
      <c r="G19" s="141">
        <v>1.8142011803022153</v>
      </c>
      <c r="H19" s="141">
        <v>1.0724040806313369</v>
      </c>
      <c r="I19" s="141">
        <v>0.77534178671132969</v>
      </c>
      <c r="J19" s="141">
        <v>1.2515497471729675</v>
      </c>
      <c r="K19" s="141">
        <v>1.7569999999999999</v>
      </c>
      <c r="M19" s="124"/>
      <c r="N19" s="124"/>
      <c r="O19" s="124"/>
      <c r="P19" s="124"/>
      <c r="Q19" s="124"/>
      <c r="R19" s="124"/>
      <c r="S19" s="124"/>
      <c r="T19" s="124"/>
    </row>
    <row r="20" spans="1:20">
      <c r="B20" s="5" t="s">
        <v>219</v>
      </c>
      <c r="C20" s="95" t="s">
        <v>99</v>
      </c>
      <c r="D20" s="141">
        <v>1.1671870532438162</v>
      </c>
      <c r="E20" s="141">
        <v>1.8616240267503592</v>
      </c>
      <c r="F20" s="141">
        <v>3.9445858860796705</v>
      </c>
      <c r="G20" s="141">
        <v>2.255628548356913</v>
      </c>
      <c r="H20" s="141">
        <v>1.2696962593717229</v>
      </c>
      <c r="I20" s="141">
        <v>1.3738611736779127</v>
      </c>
      <c r="J20" s="141">
        <v>1.7310953414666379</v>
      </c>
      <c r="K20" s="141">
        <v>2.5549999999999997</v>
      </c>
      <c r="M20" s="124"/>
      <c r="N20" s="124"/>
      <c r="O20" s="124"/>
      <c r="P20" s="124"/>
      <c r="Q20" s="124"/>
      <c r="R20" s="124"/>
      <c r="S20" s="124"/>
      <c r="T20" s="124"/>
    </row>
    <row r="21" spans="1:20">
      <c r="A21" s="112"/>
      <c r="B21" s="157"/>
      <c r="M21" s="124"/>
      <c r="N21" s="124"/>
      <c r="O21" s="124"/>
      <c r="P21" s="124"/>
      <c r="Q21" s="124"/>
      <c r="R21" s="124"/>
      <c r="S21" s="124"/>
      <c r="T21" s="124"/>
    </row>
    <row r="22" spans="1:20" ht="15.75">
      <c r="A22" s="112"/>
      <c r="B22" s="155" t="s">
        <v>559</v>
      </c>
      <c r="M22" s="124"/>
      <c r="N22" s="124"/>
      <c r="O22" s="124"/>
      <c r="P22" s="124"/>
      <c r="Q22" s="124"/>
      <c r="R22" s="124"/>
      <c r="S22" s="124"/>
      <c r="T22" s="124"/>
    </row>
    <row r="23" spans="1:20">
      <c r="A23" s="57" t="s">
        <v>277</v>
      </c>
      <c r="B23" s="161" t="s">
        <v>220</v>
      </c>
      <c r="C23" s="153" t="s">
        <v>221</v>
      </c>
      <c r="D23" s="162">
        <v>4.4532627896001396E-2</v>
      </c>
      <c r="E23" s="162">
        <v>4.5923805183476024E-2</v>
      </c>
      <c r="F23" s="162">
        <v>4.7653389186893678E-2</v>
      </c>
      <c r="G23" s="162">
        <v>5.3407981632986316E-2</v>
      </c>
      <c r="H23" s="162">
        <v>4.5151247010157533E-2</v>
      </c>
      <c r="I23" s="162">
        <v>4.4459786747557274E-2</v>
      </c>
      <c r="J23" s="162">
        <v>4.266205547586676E-2</v>
      </c>
      <c r="K23" s="162">
        <v>4.1000000000000002E-2</v>
      </c>
      <c r="M23" s="124"/>
      <c r="N23" s="124"/>
      <c r="O23" s="124"/>
      <c r="P23" s="124"/>
      <c r="Q23" s="124"/>
      <c r="R23" s="124"/>
      <c r="S23" s="124"/>
      <c r="T23" s="124"/>
    </row>
    <row r="24" spans="1:20">
      <c r="A24" s="160"/>
      <c r="B24" s="157"/>
      <c r="D24" s="163"/>
      <c r="E24" s="163"/>
      <c r="F24" s="163"/>
      <c r="G24" s="163"/>
      <c r="H24" s="163"/>
      <c r="I24" s="163"/>
      <c r="J24" s="163"/>
      <c r="M24" s="124"/>
      <c r="N24" s="124"/>
      <c r="O24" s="124"/>
      <c r="P24" s="124"/>
      <c r="Q24" s="124"/>
      <c r="R24" s="124"/>
      <c r="S24" s="124"/>
      <c r="T24" s="124"/>
    </row>
    <row r="25" spans="1:20" ht="15.75">
      <c r="A25" s="112"/>
      <c r="B25" s="155" t="s">
        <v>560</v>
      </c>
      <c r="D25" s="163"/>
      <c r="E25" s="163"/>
      <c r="F25" s="163"/>
      <c r="G25" s="163"/>
      <c r="H25" s="163"/>
      <c r="I25" s="163"/>
      <c r="J25" s="163"/>
      <c r="M25" s="124"/>
      <c r="N25" s="124"/>
      <c r="O25" s="124"/>
      <c r="P25" s="124"/>
      <c r="Q25" s="124"/>
      <c r="R25" s="124"/>
      <c r="S25" s="124"/>
      <c r="T25" s="124"/>
    </row>
    <row r="26" spans="1:20">
      <c r="A26" s="57" t="s">
        <v>278</v>
      </c>
      <c r="B26" s="5" t="s">
        <v>222</v>
      </c>
      <c r="C26" s="153" t="s">
        <v>221</v>
      </c>
      <c r="D26" s="162">
        <v>0.64960813612092583</v>
      </c>
      <c r="E26" s="162">
        <v>0.66216715439587515</v>
      </c>
      <c r="F26" s="162">
        <v>0.69312651788465141</v>
      </c>
      <c r="G26" s="162">
        <v>0.73381613382463196</v>
      </c>
      <c r="H26" s="162">
        <v>0.70574903485221263</v>
      </c>
      <c r="I26" s="162">
        <v>0.66604700606821765</v>
      </c>
      <c r="J26" s="162">
        <v>0.60493533617234063</v>
      </c>
      <c r="K26" s="162">
        <v>0.64106613007855417</v>
      </c>
      <c r="M26" s="124"/>
      <c r="N26" s="124"/>
      <c r="O26" s="124"/>
      <c r="P26" s="124"/>
      <c r="Q26" s="124"/>
      <c r="R26" s="124"/>
      <c r="S26" s="124"/>
      <c r="T26" s="124"/>
    </row>
    <row r="27" spans="1:20">
      <c r="A27" s="112"/>
    </row>
    <row r="28" spans="1:20">
      <c r="A28" s="112"/>
      <c r="M28" s="124"/>
      <c r="N28" s="124"/>
      <c r="O28" s="124"/>
      <c r="P28" s="124"/>
      <c r="Q28" s="124"/>
      <c r="R28" s="124"/>
      <c r="S28" s="124"/>
      <c r="T28" s="124"/>
    </row>
    <row r="29" spans="1:20">
      <c r="M29" s="124"/>
      <c r="N29" s="124"/>
      <c r="O29" s="124"/>
      <c r="P29" s="124"/>
      <c r="Q29" s="124"/>
      <c r="R29" s="124"/>
      <c r="S29" s="124"/>
      <c r="T29" s="124"/>
    </row>
    <row r="30" spans="1:20">
      <c r="M30" s="124"/>
      <c r="N30" s="124"/>
      <c r="O30" s="124"/>
      <c r="P30" s="124"/>
      <c r="Q30" s="124"/>
      <c r="R30" s="124"/>
      <c r="S30" s="124"/>
      <c r="T30" s="124"/>
    </row>
    <row r="31" spans="1:20">
      <c r="D31" s="164"/>
      <c r="E31" s="164"/>
      <c r="F31" s="164"/>
      <c r="G31" s="164"/>
      <c r="H31" s="164"/>
      <c r="I31" s="164"/>
      <c r="J31" s="164"/>
      <c r="K31" s="164"/>
      <c r="M31" s="124"/>
      <c r="N31" s="124"/>
      <c r="O31" s="124"/>
      <c r="P31" s="124"/>
      <c r="Q31" s="124"/>
      <c r="R31" s="124"/>
      <c r="S31" s="124"/>
      <c r="T31" s="124"/>
    </row>
    <row r="32" spans="1:20">
      <c r="C32" s="57"/>
      <c r="M32" s="124"/>
      <c r="N32" s="124"/>
      <c r="O32" s="124"/>
      <c r="P32" s="124"/>
      <c r="Q32" s="124"/>
      <c r="R32" s="124"/>
      <c r="S32" s="124"/>
      <c r="T32" s="124"/>
    </row>
    <row r="33" spans="3:20">
      <c r="C33" s="57"/>
      <c r="D33" s="165"/>
      <c r="E33" s="165"/>
      <c r="F33" s="165"/>
      <c r="G33" s="165"/>
      <c r="H33" s="165"/>
      <c r="I33" s="165"/>
      <c r="J33" s="165"/>
      <c r="K33" s="165"/>
      <c r="M33" s="124"/>
      <c r="N33" s="124"/>
      <c r="O33" s="124"/>
      <c r="P33" s="124"/>
      <c r="Q33" s="124"/>
      <c r="R33" s="124"/>
      <c r="S33" s="124"/>
      <c r="T33" s="124"/>
    </row>
    <row r="34" spans="3:20">
      <c r="C34" s="57"/>
      <c r="D34" s="165"/>
      <c r="E34" s="165"/>
      <c r="F34" s="165"/>
      <c r="G34" s="165"/>
      <c r="H34" s="165"/>
      <c r="I34" s="165"/>
      <c r="J34" s="165"/>
      <c r="K34" s="165"/>
      <c r="M34" s="124"/>
      <c r="N34" s="124"/>
      <c r="O34" s="124"/>
      <c r="P34" s="124"/>
      <c r="Q34" s="124"/>
      <c r="R34" s="124"/>
      <c r="S34" s="124"/>
      <c r="T34" s="124"/>
    </row>
    <row r="35" spans="3:20">
      <c r="C35" s="57"/>
      <c r="D35" s="165"/>
      <c r="E35" s="165"/>
      <c r="F35" s="165"/>
      <c r="G35" s="165"/>
      <c r="H35" s="165"/>
      <c r="I35" s="165"/>
      <c r="J35" s="165"/>
      <c r="K35" s="165"/>
      <c r="M35" s="124"/>
      <c r="N35" s="124"/>
      <c r="O35" s="124"/>
      <c r="P35" s="124"/>
      <c r="Q35" s="124"/>
      <c r="R35" s="124"/>
      <c r="S35" s="124"/>
      <c r="T35" s="124"/>
    </row>
    <row r="36" spans="3:20">
      <c r="C36" s="57"/>
      <c r="D36" s="124"/>
      <c r="E36" s="124"/>
      <c r="F36" s="124"/>
      <c r="G36" s="124"/>
      <c r="H36" s="124"/>
      <c r="I36" s="124"/>
      <c r="J36" s="124"/>
      <c r="K36" s="124"/>
      <c r="M36" s="124"/>
      <c r="N36" s="124"/>
      <c r="O36" s="124"/>
      <c r="P36" s="124"/>
      <c r="Q36" s="124"/>
      <c r="R36" s="124"/>
      <c r="S36" s="124"/>
      <c r="T36" s="124"/>
    </row>
    <row r="37" spans="3:20">
      <c r="C37" s="57"/>
      <c r="D37" s="124"/>
      <c r="E37" s="124"/>
      <c r="F37" s="124"/>
      <c r="G37" s="124"/>
      <c r="H37" s="124"/>
      <c r="I37" s="124"/>
      <c r="J37" s="124"/>
      <c r="K37" s="124"/>
      <c r="M37" s="124"/>
      <c r="N37" s="124"/>
      <c r="O37" s="124"/>
      <c r="P37" s="124"/>
      <c r="Q37" s="124"/>
      <c r="R37" s="124"/>
      <c r="S37" s="124"/>
      <c r="T37" s="124"/>
    </row>
    <row r="38" spans="3:20">
      <c r="C38" s="57"/>
      <c r="D38" s="124"/>
      <c r="E38" s="124"/>
      <c r="F38" s="124"/>
      <c r="G38" s="124"/>
      <c r="H38" s="124"/>
      <c r="I38" s="124"/>
      <c r="J38" s="124"/>
      <c r="K38" s="124"/>
      <c r="M38" s="124"/>
      <c r="N38" s="124"/>
      <c r="O38" s="124"/>
      <c r="P38" s="124"/>
      <c r="Q38" s="124"/>
      <c r="R38" s="124"/>
      <c r="S38" s="124"/>
      <c r="T38" s="124"/>
    </row>
    <row r="39" spans="3:20">
      <c r="C39" s="57"/>
      <c r="M39" s="124"/>
      <c r="N39" s="124"/>
      <c r="O39" s="124"/>
      <c r="P39" s="124"/>
      <c r="Q39" s="124"/>
      <c r="R39" s="124"/>
      <c r="S39" s="124"/>
      <c r="T39" s="124"/>
    </row>
    <row r="40" spans="3:20">
      <c r="C40" s="57"/>
      <c r="M40" s="124"/>
      <c r="N40" s="124"/>
      <c r="O40" s="124"/>
      <c r="P40" s="124"/>
      <c r="Q40" s="124"/>
      <c r="R40" s="124"/>
      <c r="S40" s="124"/>
      <c r="T40" s="124"/>
    </row>
    <row r="41" spans="3:20">
      <c r="C41" s="57"/>
      <c r="M41" s="124"/>
      <c r="N41" s="124"/>
      <c r="O41" s="124"/>
      <c r="P41" s="124"/>
      <c r="Q41" s="124"/>
      <c r="R41" s="124"/>
      <c r="S41" s="124"/>
      <c r="T41" s="124"/>
    </row>
    <row r="42" spans="3:20">
      <c r="C42" s="57"/>
      <c r="M42" s="124"/>
      <c r="N42" s="124"/>
      <c r="O42" s="124"/>
      <c r="P42" s="124"/>
      <c r="Q42" s="124"/>
      <c r="R42" s="124"/>
      <c r="S42" s="124"/>
      <c r="T42" s="124"/>
    </row>
    <row r="43" spans="3:20">
      <c r="C43" s="57"/>
      <c r="M43" s="124"/>
      <c r="N43" s="124"/>
      <c r="O43" s="124"/>
      <c r="P43" s="124"/>
      <c r="Q43" s="124"/>
      <c r="R43" s="124"/>
      <c r="S43" s="124"/>
      <c r="T43" s="124"/>
    </row>
    <row r="44" spans="3:20">
      <c r="C44" s="57"/>
      <c r="M44" s="124"/>
      <c r="N44" s="124"/>
      <c r="O44" s="124"/>
      <c r="P44" s="124"/>
      <c r="Q44" s="124"/>
      <c r="R44" s="124"/>
      <c r="S44" s="124"/>
      <c r="T44" s="124"/>
    </row>
    <row r="45" spans="3:20">
      <c r="C45" s="57"/>
      <c r="M45" s="124"/>
      <c r="N45" s="124"/>
      <c r="O45" s="124"/>
      <c r="P45" s="124"/>
      <c r="Q45" s="124"/>
      <c r="R45" s="124"/>
      <c r="S45" s="124"/>
      <c r="T45" s="124"/>
    </row>
    <row r="51" spans="3:11">
      <c r="C51" s="57"/>
      <c r="D51" s="124"/>
      <c r="E51" s="124"/>
      <c r="F51" s="124"/>
      <c r="G51" s="124"/>
      <c r="H51" s="124"/>
      <c r="I51" s="124"/>
      <c r="J51" s="124"/>
      <c r="K51" s="124"/>
    </row>
    <row r="52" spans="3:11">
      <c r="C52" s="57"/>
      <c r="D52" s="124"/>
      <c r="E52" s="124"/>
      <c r="F52" s="124"/>
      <c r="G52" s="124"/>
      <c r="H52" s="124"/>
      <c r="I52" s="124"/>
      <c r="J52" s="124"/>
      <c r="K52" s="124"/>
    </row>
    <row r="53" spans="3:11">
      <c r="C53" s="57"/>
      <c r="D53" s="124"/>
      <c r="E53" s="124"/>
      <c r="F53" s="124"/>
      <c r="G53" s="124"/>
      <c r="H53" s="124"/>
      <c r="I53" s="124"/>
      <c r="J53" s="124"/>
      <c r="K53" s="124"/>
    </row>
    <row r="54" spans="3:11">
      <c r="C54" s="57"/>
      <c r="D54" s="124"/>
      <c r="E54" s="124"/>
      <c r="F54" s="124"/>
      <c r="G54" s="124"/>
      <c r="H54" s="124"/>
      <c r="I54" s="124"/>
      <c r="J54" s="124"/>
      <c r="K54" s="124"/>
    </row>
    <row r="55" spans="3:11">
      <c r="C55" s="57"/>
      <c r="D55" s="124"/>
      <c r="E55" s="124"/>
      <c r="F55" s="124"/>
      <c r="G55" s="124"/>
      <c r="H55" s="124"/>
      <c r="I55" s="124"/>
      <c r="J55" s="124"/>
      <c r="K55" s="124"/>
    </row>
    <row r="56" spans="3:11">
      <c r="C56" s="57"/>
      <c r="D56" s="124"/>
      <c r="E56" s="124"/>
      <c r="F56" s="124"/>
      <c r="G56" s="124"/>
      <c r="H56" s="124"/>
      <c r="I56" s="124"/>
      <c r="J56" s="124"/>
      <c r="K56" s="124"/>
    </row>
    <row r="57" spans="3:11">
      <c r="C57" s="57"/>
      <c r="D57" s="124"/>
      <c r="E57" s="124"/>
      <c r="F57" s="124"/>
      <c r="G57" s="124"/>
      <c r="H57" s="124"/>
      <c r="I57" s="124"/>
      <c r="J57" s="124"/>
      <c r="K57" s="124"/>
    </row>
    <row r="58" spans="3:11">
      <c r="C58" s="57"/>
      <c r="D58" s="124"/>
      <c r="E58" s="124"/>
      <c r="F58" s="124"/>
      <c r="G58" s="124"/>
      <c r="H58" s="124"/>
      <c r="I58" s="124"/>
      <c r="J58" s="124"/>
      <c r="K58" s="124"/>
    </row>
    <row r="59" spans="3:11">
      <c r="C59" s="57"/>
      <c r="D59" s="124"/>
      <c r="E59" s="124"/>
      <c r="F59" s="124"/>
      <c r="G59" s="124"/>
      <c r="H59" s="124"/>
      <c r="I59" s="124"/>
      <c r="J59" s="124"/>
      <c r="K59" s="124"/>
    </row>
    <row r="60" spans="3:11">
      <c r="C60" s="57"/>
      <c r="D60" s="124"/>
      <c r="E60" s="124"/>
      <c r="F60" s="124"/>
      <c r="G60" s="124"/>
      <c r="H60" s="124"/>
      <c r="I60" s="124"/>
      <c r="J60" s="124"/>
      <c r="K60" s="124"/>
    </row>
    <row r="61" spans="3:11">
      <c r="C61" s="57"/>
      <c r="D61" s="165"/>
      <c r="E61" s="165"/>
      <c r="F61" s="165"/>
      <c r="G61" s="165"/>
      <c r="H61" s="165"/>
      <c r="I61" s="165"/>
      <c r="J61" s="165"/>
      <c r="K61" s="165"/>
    </row>
    <row r="62" spans="3:11">
      <c r="C62" s="57"/>
      <c r="D62" s="165"/>
      <c r="E62" s="165"/>
      <c r="F62" s="165"/>
      <c r="G62" s="165"/>
      <c r="H62" s="165"/>
      <c r="I62" s="165"/>
      <c r="J62" s="165"/>
      <c r="K62" s="165"/>
    </row>
    <row r="63" spans="3:11">
      <c r="C63" s="57"/>
      <c r="D63" s="165"/>
      <c r="E63" s="165"/>
      <c r="F63" s="165"/>
      <c r="G63" s="165"/>
      <c r="H63" s="165"/>
      <c r="I63" s="165"/>
      <c r="J63" s="165"/>
      <c r="K63" s="165"/>
    </row>
    <row r="65" spans="3:11">
      <c r="C65" s="57"/>
      <c r="D65" s="164"/>
      <c r="E65" s="164"/>
      <c r="F65" s="164"/>
      <c r="G65" s="164"/>
      <c r="H65" s="164"/>
      <c r="I65" s="164"/>
      <c r="J65" s="164"/>
      <c r="K65" s="164"/>
    </row>
    <row r="67" spans="3:11">
      <c r="C67" s="57"/>
      <c r="D67" s="164"/>
      <c r="E67" s="164"/>
      <c r="F67" s="164"/>
      <c r="G67" s="164"/>
      <c r="H67" s="164"/>
      <c r="I67" s="164"/>
      <c r="J67" s="164"/>
      <c r="K67" s="164"/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00"/>
  <sheetViews>
    <sheetView tabSelected="1" topLeftCell="A8" zoomScale="70" zoomScaleNormal="70" workbookViewId="0">
      <selection activeCell="B9" sqref="B9"/>
    </sheetView>
  </sheetViews>
  <sheetFormatPr defaultRowHeight="15"/>
  <cols>
    <col min="1" max="1" width="20.5703125" style="57" bestFit="1" customWidth="1"/>
    <col min="2" max="2" width="69.42578125" style="57" customWidth="1"/>
    <col min="3" max="3" width="16.140625" style="153" customWidth="1"/>
    <col min="4" max="11" width="11.42578125" style="57" customWidth="1"/>
    <col min="12" max="12" width="29.140625" style="57" bestFit="1" customWidth="1"/>
    <col min="13" max="14" width="9.140625" style="57"/>
    <col min="15" max="15" width="11.28515625" style="57" customWidth="1"/>
    <col min="16" max="16384" width="9.140625" style="57"/>
  </cols>
  <sheetData>
    <row r="1" spans="1:26" ht="15.75">
      <c r="B1" s="166" t="s">
        <v>625</v>
      </c>
    </row>
    <row r="3" spans="1:26" ht="36.75" customHeight="1">
      <c r="B3" s="1" t="s">
        <v>31</v>
      </c>
      <c r="D3" s="167">
        <v>2006</v>
      </c>
      <c r="E3" s="167">
        <v>2007</v>
      </c>
      <c r="F3" s="167">
        <v>2008</v>
      </c>
      <c r="G3" s="167">
        <v>2009</v>
      </c>
      <c r="H3" s="167">
        <v>2010</v>
      </c>
      <c r="I3" s="167">
        <v>2011</v>
      </c>
      <c r="J3" s="167">
        <v>2012</v>
      </c>
      <c r="K3" s="167">
        <v>2013</v>
      </c>
      <c r="L3" s="50" t="s">
        <v>34</v>
      </c>
    </row>
    <row r="4" spans="1:26">
      <c r="A4" s="1" t="s">
        <v>14</v>
      </c>
      <c r="B4" s="1" t="s">
        <v>1</v>
      </c>
      <c r="C4" s="154" t="s">
        <v>2</v>
      </c>
    </row>
    <row r="5" spans="1:26" ht="15.75">
      <c r="B5" s="168" t="s">
        <v>551</v>
      </c>
      <c r="C5" s="169"/>
    </row>
    <row r="6" spans="1:26">
      <c r="A6" s="112" t="s">
        <v>249</v>
      </c>
      <c r="B6" s="170" t="s">
        <v>223</v>
      </c>
      <c r="C6" s="169" t="s">
        <v>224</v>
      </c>
      <c r="D6" s="123">
        <v>82.556841440713214</v>
      </c>
      <c r="E6" s="123">
        <v>82.89445515829523</v>
      </c>
      <c r="F6" s="123">
        <v>83.359998866526894</v>
      </c>
      <c r="G6" s="123">
        <v>84.596221912226028</v>
      </c>
      <c r="H6" s="123">
        <v>85.075906943307473</v>
      </c>
      <c r="I6" s="123">
        <v>86.206446662599475</v>
      </c>
      <c r="J6" s="123">
        <v>86.641900018582206</v>
      </c>
      <c r="K6" s="123">
        <v>88.158453068349672</v>
      </c>
    </row>
    <row r="7" spans="1:26">
      <c r="A7" s="112" t="s">
        <v>250</v>
      </c>
      <c r="B7" s="170" t="s">
        <v>225</v>
      </c>
      <c r="C7" s="169" t="s">
        <v>226</v>
      </c>
      <c r="D7" s="123">
        <v>12.918195349323025</v>
      </c>
      <c r="E7" s="123">
        <v>12.895667737063496</v>
      </c>
      <c r="F7" s="123">
        <v>12.65171540618552</v>
      </c>
      <c r="G7" s="123">
        <v>12.757774922580198</v>
      </c>
      <c r="H7" s="123">
        <v>12.879436788145567</v>
      </c>
      <c r="I7" s="123">
        <v>12.513109136512838</v>
      </c>
      <c r="J7" s="123">
        <v>12.533923580642988</v>
      </c>
      <c r="K7" s="123">
        <v>11.966610430120596</v>
      </c>
    </row>
    <row r="8" spans="1:26">
      <c r="A8" s="112" t="s">
        <v>251</v>
      </c>
      <c r="B8" s="170" t="s">
        <v>227</v>
      </c>
      <c r="C8" s="169" t="s">
        <v>614</v>
      </c>
      <c r="D8" s="123">
        <v>2.9176430497786749</v>
      </c>
      <c r="E8" s="123">
        <v>3.0438803927101934</v>
      </c>
      <c r="F8" s="123">
        <v>3.2463199642631335</v>
      </c>
      <c r="G8" s="123">
        <v>3.4615952437788713</v>
      </c>
      <c r="H8" s="123">
        <v>3.3382120978363572</v>
      </c>
      <c r="I8" s="123">
        <v>3.1810033080216984</v>
      </c>
      <c r="J8" s="123">
        <v>2.917805630473234</v>
      </c>
      <c r="K8" s="123">
        <v>3.1813290944865464</v>
      </c>
    </row>
    <row r="9" spans="1:26">
      <c r="B9" s="170"/>
      <c r="C9" s="169"/>
    </row>
    <row r="10" spans="1:26" ht="16.5" thickBot="1">
      <c r="B10" s="168" t="s">
        <v>552</v>
      </c>
      <c r="C10" s="169"/>
    </row>
    <row r="11" spans="1:26">
      <c r="A11" s="112" t="s">
        <v>252</v>
      </c>
      <c r="B11" s="170" t="s">
        <v>228</v>
      </c>
      <c r="C11" s="169" t="s">
        <v>171</v>
      </c>
      <c r="D11" s="455">
        <v>0</v>
      </c>
      <c r="E11" s="456">
        <v>0</v>
      </c>
      <c r="F11" s="456">
        <v>0</v>
      </c>
      <c r="G11" s="456">
        <v>1275.2074605336286</v>
      </c>
      <c r="H11" s="456">
        <v>1279.5303680824436</v>
      </c>
      <c r="I11" s="456">
        <v>1277.3072945900199</v>
      </c>
      <c r="J11" s="456">
        <v>1284.2921867730474</v>
      </c>
      <c r="K11" s="457">
        <v>1279</v>
      </c>
      <c r="S11" s="171"/>
      <c r="T11" s="171"/>
      <c r="U11" s="171"/>
      <c r="V11" s="171"/>
      <c r="W11" s="171"/>
      <c r="X11" s="171"/>
      <c r="Y11" s="171"/>
      <c r="Z11" s="171"/>
    </row>
    <row r="12" spans="1:26">
      <c r="A12" s="112" t="s">
        <v>253</v>
      </c>
      <c r="B12" s="170" t="s">
        <v>229</v>
      </c>
      <c r="C12" s="169" t="s">
        <v>230</v>
      </c>
      <c r="D12" s="458">
        <v>0</v>
      </c>
      <c r="E12" s="459">
        <v>0</v>
      </c>
      <c r="F12" s="459">
        <v>0</v>
      </c>
      <c r="G12" s="460">
        <v>25185</v>
      </c>
      <c r="H12" s="460">
        <v>25185</v>
      </c>
      <c r="I12" s="460">
        <v>25185</v>
      </c>
      <c r="J12" s="460">
        <v>25185</v>
      </c>
      <c r="K12" s="461">
        <v>25185</v>
      </c>
      <c r="S12" s="171"/>
      <c r="T12" s="171"/>
      <c r="U12" s="171"/>
      <c r="V12" s="171"/>
      <c r="W12" s="171"/>
      <c r="X12" s="171"/>
      <c r="Y12" s="171"/>
      <c r="Z12" s="171"/>
    </row>
    <row r="13" spans="1:26">
      <c r="A13" s="112" t="s">
        <v>254</v>
      </c>
      <c r="B13" s="170" t="s">
        <v>231</v>
      </c>
      <c r="C13" s="169" t="s">
        <v>230</v>
      </c>
      <c r="D13" s="458">
        <v>0</v>
      </c>
      <c r="E13" s="459">
        <v>0</v>
      </c>
      <c r="F13" s="459">
        <v>0</v>
      </c>
      <c r="G13" s="460">
        <v>4535</v>
      </c>
      <c r="H13" s="460">
        <v>4535</v>
      </c>
      <c r="I13" s="460">
        <v>4535</v>
      </c>
      <c r="J13" s="460">
        <v>4535</v>
      </c>
      <c r="K13" s="461">
        <v>4535</v>
      </c>
      <c r="S13" s="171"/>
      <c r="T13" s="171"/>
      <c r="U13" s="171"/>
      <c r="V13" s="171"/>
      <c r="W13" s="171"/>
      <c r="X13" s="171"/>
      <c r="Y13" s="171"/>
      <c r="Z13" s="171"/>
    </row>
    <row r="14" spans="1:26">
      <c r="A14" s="112" t="s">
        <v>255</v>
      </c>
      <c r="B14" s="170" t="s">
        <v>232</v>
      </c>
      <c r="C14" s="169" t="s">
        <v>230</v>
      </c>
      <c r="D14" s="458">
        <v>0</v>
      </c>
      <c r="E14" s="459">
        <v>0</v>
      </c>
      <c r="F14" s="459">
        <v>0</v>
      </c>
      <c r="G14" s="460">
        <v>29720</v>
      </c>
      <c r="H14" s="460">
        <v>29720</v>
      </c>
      <c r="I14" s="460">
        <v>29720</v>
      </c>
      <c r="J14" s="460">
        <v>29720</v>
      </c>
      <c r="K14" s="461">
        <v>29720</v>
      </c>
      <c r="S14" s="171"/>
      <c r="T14" s="171"/>
      <c r="U14" s="171"/>
      <c r="V14" s="171"/>
      <c r="W14" s="171"/>
      <c r="X14" s="171"/>
      <c r="Y14" s="171"/>
      <c r="Z14" s="171"/>
    </row>
    <row r="15" spans="1:26">
      <c r="A15" s="112" t="s">
        <v>256</v>
      </c>
      <c r="B15" s="170" t="s">
        <v>233</v>
      </c>
      <c r="C15" s="169" t="s">
        <v>230</v>
      </c>
      <c r="D15" s="458">
        <v>0</v>
      </c>
      <c r="E15" s="459">
        <v>0</v>
      </c>
      <c r="F15" s="459">
        <v>0</v>
      </c>
      <c r="G15" s="459">
        <v>188013.8361651352</v>
      </c>
      <c r="H15" s="459">
        <v>188651.19632557515</v>
      </c>
      <c r="I15" s="459">
        <v>188323.43116710227</v>
      </c>
      <c r="J15" s="459">
        <v>189353.26859761836</v>
      </c>
      <c r="K15" s="461">
        <v>188573</v>
      </c>
      <c r="S15" s="171"/>
      <c r="T15" s="171"/>
      <c r="U15" s="171"/>
      <c r="V15" s="171"/>
      <c r="W15" s="171"/>
      <c r="X15" s="171"/>
      <c r="Y15" s="171"/>
      <c r="Z15" s="171"/>
    </row>
    <row r="16" spans="1:26">
      <c r="A16" s="112" t="s">
        <v>257</v>
      </c>
      <c r="B16" s="170" t="s">
        <v>234</v>
      </c>
      <c r="C16" s="169" t="s">
        <v>235</v>
      </c>
      <c r="D16" s="458">
        <v>0</v>
      </c>
      <c r="E16" s="459">
        <v>0</v>
      </c>
      <c r="F16" s="459">
        <v>0</v>
      </c>
      <c r="G16" s="462">
        <v>3.5</v>
      </c>
      <c r="H16" s="462">
        <v>3.5</v>
      </c>
      <c r="I16" s="462">
        <v>3.5</v>
      </c>
      <c r="J16" s="462">
        <v>2.2000000000000002</v>
      </c>
      <c r="K16" s="461">
        <v>2.0499999999999998</v>
      </c>
      <c r="S16" s="171"/>
      <c r="T16" s="171"/>
      <c r="U16" s="171"/>
      <c r="V16" s="171"/>
      <c r="W16" s="171"/>
      <c r="X16" s="171"/>
      <c r="Y16" s="171"/>
      <c r="Z16" s="171"/>
    </row>
    <row r="17" spans="1:26">
      <c r="A17" s="112" t="s">
        <v>258</v>
      </c>
      <c r="B17" s="170" t="s">
        <v>236</v>
      </c>
      <c r="C17" s="169" t="s">
        <v>235</v>
      </c>
      <c r="D17" s="458">
        <v>0</v>
      </c>
      <c r="E17" s="459">
        <v>0</v>
      </c>
      <c r="F17" s="459">
        <v>0</v>
      </c>
      <c r="G17" s="462">
        <v>3</v>
      </c>
      <c r="H17" s="462">
        <v>3</v>
      </c>
      <c r="I17" s="462">
        <v>3</v>
      </c>
      <c r="J17" s="462">
        <v>2</v>
      </c>
      <c r="K17" s="461">
        <v>2.02</v>
      </c>
      <c r="S17" s="171"/>
      <c r="T17" s="171"/>
      <c r="U17" s="171"/>
      <c r="V17" s="171"/>
      <c r="W17" s="171"/>
      <c r="X17" s="171"/>
      <c r="Y17" s="171"/>
      <c r="Z17" s="171"/>
    </row>
    <row r="18" spans="1:26">
      <c r="A18" s="112" t="s">
        <v>259</v>
      </c>
      <c r="B18" s="170" t="s">
        <v>237</v>
      </c>
      <c r="C18" s="169" t="s">
        <v>238</v>
      </c>
      <c r="D18" s="458">
        <v>0</v>
      </c>
      <c r="E18" s="459">
        <v>0</v>
      </c>
      <c r="F18" s="459">
        <v>0</v>
      </c>
      <c r="G18" s="460">
        <v>2.5</v>
      </c>
      <c r="H18" s="460">
        <v>2.5</v>
      </c>
      <c r="I18" s="460">
        <v>2.5</v>
      </c>
      <c r="J18" s="460">
        <v>2.5</v>
      </c>
      <c r="K18" s="461">
        <v>4.82</v>
      </c>
      <c r="S18" s="171"/>
      <c r="T18" s="171"/>
      <c r="U18" s="171"/>
      <c r="V18" s="171"/>
      <c r="W18" s="171"/>
      <c r="X18" s="171"/>
      <c r="Y18" s="171"/>
      <c r="Z18" s="171"/>
    </row>
    <row r="19" spans="1:26">
      <c r="A19" s="112" t="s">
        <v>260</v>
      </c>
      <c r="B19" s="170" t="s">
        <v>239</v>
      </c>
      <c r="C19" s="169" t="s">
        <v>238</v>
      </c>
      <c r="D19" s="458">
        <v>0</v>
      </c>
      <c r="E19" s="459">
        <v>0</v>
      </c>
      <c r="F19" s="459">
        <v>0</v>
      </c>
      <c r="G19" s="460">
        <v>5</v>
      </c>
      <c r="H19" s="460">
        <v>5</v>
      </c>
      <c r="I19" s="460">
        <v>5</v>
      </c>
      <c r="J19" s="460">
        <v>5</v>
      </c>
      <c r="K19" s="461">
        <v>8.81</v>
      </c>
      <c r="S19" s="171"/>
      <c r="T19" s="171"/>
      <c r="U19" s="171"/>
      <c r="V19" s="171"/>
      <c r="W19" s="171"/>
      <c r="X19" s="171"/>
      <c r="Y19" s="171"/>
      <c r="Z19" s="171"/>
    </row>
    <row r="20" spans="1:26" ht="30">
      <c r="A20" s="112" t="s">
        <v>261</v>
      </c>
      <c r="B20" s="170" t="s">
        <v>240</v>
      </c>
      <c r="C20" s="169" t="s">
        <v>241</v>
      </c>
      <c r="D20" s="458">
        <v>0</v>
      </c>
      <c r="E20" s="459">
        <v>0</v>
      </c>
      <c r="F20" s="459">
        <v>0</v>
      </c>
      <c r="G20" s="460">
        <v>1.25</v>
      </c>
      <c r="H20" s="460">
        <v>1.25</v>
      </c>
      <c r="I20" s="460">
        <v>1.25</v>
      </c>
      <c r="J20" s="460">
        <v>1.25</v>
      </c>
      <c r="K20" s="461">
        <v>1.25</v>
      </c>
      <c r="S20" s="171"/>
      <c r="T20" s="171"/>
      <c r="U20" s="171"/>
      <c r="V20" s="171"/>
      <c r="W20" s="171"/>
      <c r="X20" s="171"/>
      <c r="Y20" s="171"/>
      <c r="Z20" s="171"/>
    </row>
    <row r="21" spans="1:26">
      <c r="A21" s="112" t="s">
        <v>262</v>
      </c>
      <c r="B21" s="170" t="s">
        <v>242</v>
      </c>
      <c r="C21" s="169" t="s">
        <v>241</v>
      </c>
      <c r="D21" s="458">
        <v>0</v>
      </c>
      <c r="E21" s="459">
        <v>0</v>
      </c>
      <c r="F21" s="459">
        <v>0</v>
      </c>
      <c r="G21" s="460">
        <v>3</v>
      </c>
      <c r="H21" s="460">
        <v>3</v>
      </c>
      <c r="I21" s="460">
        <v>3</v>
      </c>
      <c r="J21" s="460">
        <v>3</v>
      </c>
      <c r="K21" s="461">
        <v>1.76</v>
      </c>
      <c r="S21" s="171"/>
      <c r="T21" s="171"/>
      <c r="U21" s="171"/>
      <c r="V21" s="171"/>
      <c r="W21" s="171"/>
      <c r="X21" s="171"/>
      <c r="Y21" s="171"/>
      <c r="Z21" s="171"/>
    </row>
    <row r="22" spans="1:26">
      <c r="A22" s="112" t="s">
        <v>263</v>
      </c>
      <c r="B22" s="170" t="s">
        <v>243</v>
      </c>
      <c r="C22" s="169" t="s">
        <v>230</v>
      </c>
      <c r="D22" s="458">
        <v>0</v>
      </c>
      <c r="E22" s="459">
        <v>0</v>
      </c>
      <c r="F22" s="459">
        <v>0</v>
      </c>
      <c r="G22" s="460">
        <v>0</v>
      </c>
      <c r="H22" s="460">
        <v>0</v>
      </c>
      <c r="I22" s="460">
        <v>0</v>
      </c>
      <c r="J22" s="460">
        <v>0</v>
      </c>
      <c r="K22" s="461">
        <v>0</v>
      </c>
      <c r="S22" s="171"/>
      <c r="T22" s="171"/>
      <c r="U22" s="171"/>
      <c r="V22" s="171"/>
      <c r="W22" s="171"/>
      <c r="X22" s="171"/>
      <c r="Y22" s="171"/>
      <c r="Z22" s="171"/>
    </row>
    <row r="23" spans="1:26">
      <c r="A23" s="112" t="s">
        <v>264</v>
      </c>
      <c r="B23" s="170" t="s">
        <v>244</v>
      </c>
      <c r="C23" s="169" t="s">
        <v>171</v>
      </c>
      <c r="D23" s="458">
        <v>0</v>
      </c>
      <c r="E23" s="459">
        <v>0</v>
      </c>
      <c r="F23" s="459">
        <v>0</v>
      </c>
      <c r="G23" s="460">
        <v>74</v>
      </c>
      <c r="H23" s="460">
        <v>74</v>
      </c>
      <c r="I23" s="460">
        <v>74</v>
      </c>
      <c r="J23" s="460">
        <v>74</v>
      </c>
      <c r="K23" s="461">
        <v>74</v>
      </c>
      <c r="S23" s="171"/>
      <c r="T23" s="171"/>
      <c r="U23" s="171"/>
      <c r="V23" s="171"/>
      <c r="W23" s="171"/>
      <c r="X23" s="171"/>
      <c r="Y23" s="171"/>
      <c r="Z23" s="171"/>
    </row>
    <row r="24" spans="1:26" ht="15.75" thickBot="1">
      <c r="A24" s="112" t="s">
        <v>265</v>
      </c>
      <c r="B24" s="170" t="s">
        <v>245</v>
      </c>
      <c r="C24" s="169" t="s">
        <v>230</v>
      </c>
      <c r="D24" s="463">
        <v>0</v>
      </c>
      <c r="E24" s="464">
        <v>0</v>
      </c>
      <c r="F24" s="464">
        <v>0</v>
      </c>
      <c r="G24" s="465">
        <v>18253</v>
      </c>
      <c r="H24" s="465">
        <v>18253</v>
      </c>
      <c r="I24" s="465">
        <v>18253</v>
      </c>
      <c r="J24" s="465">
        <v>18253</v>
      </c>
      <c r="K24" s="466">
        <v>18253</v>
      </c>
      <c r="S24" s="171"/>
      <c r="T24" s="171"/>
      <c r="U24" s="171"/>
      <c r="V24" s="171"/>
      <c r="W24" s="171"/>
      <c r="X24" s="171"/>
      <c r="Y24" s="171"/>
      <c r="Z24" s="171"/>
    </row>
    <row r="25" spans="1:26">
      <c r="B25" s="170"/>
      <c r="C25" s="169"/>
    </row>
    <row r="26" spans="1:26" ht="15.75">
      <c r="B26" s="168" t="s">
        <v>553</v>
      </c>
      <c r="C26" s="169"/>
    </row>
    <row r="27" spans="1:26">
      <c r="A27" s="112" t="s">
        <v>266</v>
      </c>
      <c r="B27" s="170" t="s">
        <v>246</v>
      </c>
      <c r="C27" s="169" t="s">
        <v>171</v>
      </c>
      <c r="D27" s="123">
        <v>7421.8924719887709</v>
      </c>
      <c r="E27" s="123">
        <v>7458.2793121613504</v>
      </c>
      <c r="F27" s="123">
        <v>7486.7323474809236</v>
      </c>
      <c r="G27" s="123">
        <v>6838</v>
      </c>
      <c r="H27" s="123">
        <v>6855</v>
      </c>
      <c r="I27" s="123">
        <v>6872</v>
      </c>
      <c r="J27" s="123">
        <v>6889</v>
      </c>
      <c r="K27" s="123">
        <v>6906</v>
      </c>
    </row>
    <row r="28" spans="1:26">
      <c r="B28" s="170"/>
      <c r="C28" s="169"/>
    </row>
    <row r="29" spans="1:26" ht="15.75">
      <c r="B29" s="168" t="s">
        <v>554</v>
      </c>
      <c r="D29" s="172" t="s">
        <v>247</v>
      </c>
      <c r="E29" s="172" t="s">
        <v>21</v>
      </c>
      <c r="F29" s="172" t="s">
        <v>248</v>
      </c>
    </row>
    <row r="30" spans="1:26">
      <c r="B30" s="57">
        <v>86361</v>
      </c>
      <c r="C30" s="57"/>
      <c r="D30" s="57">
        <v>3920</v>
      </c>
      <c r="E30" s="57" t="s">
        <v>635</v>
      </c>
      <c r="F30" s="57" t="s">
        <v>636</v>
      </c>
    </row>
    <row r="31" spans="1:26">
      <c r="B31" s="57">
        <v>86371</v>
      </c>
      <c r="C31" s="57"/>
      <c r="D31" s="57">
        <v>3199</v>
      </c>
      <c r="E31" s="57" t="s">
        <v>637</v>
      </c>
      <c r="F31" s="57" t="s">
        <v>636</v>
      </c>
    </row>
    <row r="32" spans="1:26">
      <c r="B32" s="57">
        <v>86104</v>
      </c>
      <c r="C32" s="57"/>
      <c r="D32" s="57">
        <v>3179</v>
      </c>
      <c r="E32" s="57" t="s">
        <v>638</v>
      </c>
      <c r="F32" s="57" t="s">
        <v>636</v>
      </c>
    </row>
    <row r="33" spans="3:4">
      <c r="C33" s="57"/>
    </row>
    <row r="34" spans="3:4">
      <c r="C34" s="57"/>
    </row>
    <row r="35" spans="3:4">
      <c r="C35" s="57"/>
    </row>
    <row r="36" spans="3:4">
      <c r="C36" s="57"/>
    </row>
    <row r="37" spans="3:4">
      <c r="C37" s="57"/>
    </row>
    <row r="38" spans="3:4">
      <c r="C38" s="57"/>
    </row>
    <row r="39" spans="3:4">
      <c r="C39" s="57"/>
    </row>
    <row r="40" spans="3:4">
      <c r="C40" s="57"/>
    </row>
    <row r="41" spans="3:4">
      <c r="C41" s="57"/>
    </row>
    <row r="42" spans="3:4">
      <c r="C42" s="57"/>
    </row>
    <row r="43" spans="3:4">
      <c r="C43" s="57"/>
    </row>
    <row r="44" spans="3:4">
      <c r="C44" s="57"/>
    </row>
    <row r="45" spans="3:4">
      <c r="C45" s="57"/>
    </row>
    <row r="46" spans="3:4">
      <c r="C46" s="57"/>
    </row>
    <row r="47" spans="3:4">
      <c r="C47" s="57"/>
      <c r="D47" s="57">
        <v>0</v>
      </c>
    </row>
    <row r="48" spans="3:4">
      <c r="C48" s="57"/>
    </row>
    <row r="49" spans="3:3">
      <c r="C49" s="57"/>
    </row>
    <row r="50" spans="3:3">
      <c r="C50" s="57"/>
    </row>
    <row r="51" spans="3:3">
      <c r="C51" s="57"/>
    </row>
    <row r="52" spans="3:3">
      <c r="C52" s="57"/>
    </row>
    <row r="53" spans="3:3">
      <c r="C53" s="57"/>
    </row>
    <row r="54" spans="3:3">
      <c r="C54" s="57"/>
    </row>
    <row r="55" spans="3:3">
      <c r="C55" s="57"/>
    </row>
    <row r="56" spans="3:3">
      <c r="C56" s="57"/>
    </row>
    <row r="57" spans="3:3">
      <c r="C57" s="57"/>
    </row>
    <row r="58" spans="3:3">
      <c r="C58" s="57"/>
    </row>
    <row r="59" spans="3:3">
      <c r="C59" s="57"/>
    </row>
    <row r="60" spans="3:3">
      <c r="C60" s="57"/>
    </row>
    <row r="61" spans="3:3">
      <c r="C61" s="57"/>
    </row>
    <row r="62" spans="3:3">
      <c r="C62" s="57"/>
    </row>
    <row r="63" spans="3:3">
      <c r="C63" s="57"/>
    </row>
    <row r="64" spans="3:3">
      <c r="C64" s="57"/>
    </row>
    <row r="65" spans="3:3">
      <c r="C65" s="57"/>
    </row>
    <row r="66" spans="3:3">
      <c r="C66" s="57"/>
    </row>
    <row r="67" spans="3:3">
      <c r="C67" s="57"/>
    </row>
    <row r="68" spans="3:3">
      <c r="C68" s="57"/>
    </row>
    <row r="69" spans="3:3">
      <c r="C69" s="57"/>
    </row>
    <row r="70" spans="3:3">
      <c r="C70" s="57"/>
    </row>
    <row r="71" spans="3:3">
      <c r="C71" s="57"/>
    </row>
    <row r="72" spans="3:3">
      <c r="C72" s="57"/>
    </row>
    <row r="73" spans="3:3">
      <c r="C73" s="57"/>
    </row>
    <row r="74" spans="3:3">
      <c r="C74" s="57"/>
    </row>
    <row r="75" spans="3:3">
      <c r="C75" s="57"/>
    </row>
    <row r="76" spans="3:3">
      <c r="C76" s="57"/>
    </row>
    <row r="77" spans="3:3">
      <c r="C77" s="57"/>
    </row>
    <row r="78" spans="3:3">
      <c r="C78" s="57"/>
    </row>
    <row r="79" spans="3:3">
      <c r="C79" s="57"/>
    </row>
    <row r="80" spans="3:3">
      <c r="C80" s="57"/>
    </row>
    <row r="81" spans="3:3">
      <c r="C81" s="57"/>
    </row>
    <row r="82" spans="3:3">
      <c r="C82" s="57"/>
    </row>
    <row r="83" spans="3:3">
      <c r="C83" s="57"/>
    </row>
    <row r="84" spans="3:3">
      <c r="C84" s="57"/>
    </row>
    <row r="85" spans="3:3">
      <c r="C85" s="57"/>
    </row>
    <row r="86" spans="3:3">
      <c r="C86" s="57"/>
    </row>
    <row r="87" spans="3:3">
      <c r="C87" s="57"/>
    </row>
    <row r="88" spans="3:3">
      <c r="C88" s="57"/>
    </row>
    <row r="89" spans="3:3">
      <c r="C89" s="57"/>
    </row>
    <row r="90" spans="3:3">
      <c r="C90" s="57"/>
    </row>
    <row r="91" spans="3:3">
      <c r="C91" s="57"/>
    </row>
    <row r="92" spans="3:3">
      <c r="C92" s="57"/>
    </row>
    <row r="93" spans="3:3">
      <c r="C93" s="57"/>
    </row>
    <row r="94" spans="3:3">
      <c r="C94" s="57"/>
    </row>
    <row r="95" spans="3:3">
      <c r="C95" s="57"/>
    </row>
    <row r="96" spans="3:3">
      <c r="C96" s="57"/>
    </row>
    <row r="97" spans="3:3">
      <c r="C97" s="57"/>
    </row>
    <row r="98" spans="3:3">
      <c r="C98" s="57"/>
    </row>
    <row r="99" spans="3:3">
      <c r="C99" s="57"/>
    </row>
    <row r="100" spans="3:3">
      <c r="C100" s="57"/>
    </row>
  </sheetData>
  <pageMargins left="0.70866141732283472" right="0.70866141732283472" top="0.74803149606299213" bottom="0.74803149606299213" header="0.31496062992125984" footer="0.31496062992125984"/>
  <pageSetup paperSize="8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autoPageBreaks="0"/>
  </sheetPr>
  <dimension ref="A1:Y73"/>
  <sheetViews>
    <sheetView showGridLines="0" topLeftCell="B11" zoomScaleNormal="100" workbookViewId="0">
      <selection activeCell="E36" sqref="E36"/>
    </sheetView>
  </sheetViews>
  <sheetFormatPr defaultRowHeight="14.25"/>
  <cols>
    <col min="1" max="1" width="26.28515625" style="317" hidden="1" customWidth="1"/>
    <col min="2" max="2" width="26.7109375" style="317" customWidth="1"/>
    <col min="3" max="3" width="44.5703125" style="317" customWidth="1"/>
    <col min="4" max="4" width="21.85546875" style="317" customWidth="1"/>
    <col min="5" max="5" width="21.42578125" style="317" customWidth="1"/>
    <col min="6" max="8" width="17.28515625" style="317" customWidth="1"/>
    <col min="9" max="10" width="13.28515625" style="317" customWidth="1"/>
    <col min="11" max="11" width="5.42578125" style="320" customWidth="1"/>
    <col min="12" max="13" width="9.140625" style="320"/>
    <col min="14" max="14" width="15.5703125" style="320" customWidth="1"/>
    <col min="15" max="15" width="19.5703125" style="320" customWidth="1"/>
    <col min="16" max="16" width="9.140625" style="348"/>
    <col min="17" max="20" width="9.140625" style="320"/>
    <col min="21" max="23" width="17.28515625" style="317" customWidth="1"/>
    <col min="24" max="25" width="13.28515625" style="317" customWidth="1"/>
    <col min="26" max="16384" width="9.140625" style="317"/>
  </cols>
  <sheetData>
    <row r="1" spans="1:10" ht="24" customHeight="1">
      <c r="A1" s="316" t="s">
        <v>836</v>
      </c>
      <c r="C1" s="318" t="str">
        <f>IF(dms_DataQuality="backcast",INDEX(dms_Worksheet_List,MATCH(dms_Model,dms_Model_List))&amp;" BACKCAST",INDEX(dms_Worksheet_List,MATCH(dms_Model,dms_Model_List)))</f>
        <v>ECONOMIC BENCHMARKING</v>
      </c>
      <c r="D1" s="319"/>
      <c r="E1" s="319"/>
      <c r="F1" s="319"/>
      <c r="G1" s="319"/>
      <c r="H1" s="319"/>
      <c r="I1" s="319"/>
      <c r="J1" s="319"/>
    </row>
    <row r="2" spans="1:10" ht="24" customHeight="1">
      <c r="C2" s="321" t="str">
        <f>INDEX(dms_TradingNameFull_List,MATCH(dms_TradingName,dms_TradingName_List))</f>
        <v>United Energy</v>
      </c>
      <c r="D2" s="319"/>
      <c r="E2" s="319"/>
      <c r="F2" s="319"/>
      <c r="G2" s="319"/>
      <c r="H2" s="319"/>
      <c r="I2" s="319"/>
      <c r="J2" s="319"/>
    </row>
    <row r="3" spans="1:10" ht="24" customHeight="1">
      <c r="C3" s="321">
        <f>CRY</f>
        <v>2006</v>
      </c>
      <c r="D3" s="322"/>
      <c r="E3" s="323"/>
      <c r="F3" s="323"/>
      <c r="G3" s="323"/>
      <c r="H3" s="323"/>
      <c r="I3" s="323"/>
      <c r="J3" s="323"/>
    </row>
    <row r="4" spans="1:10" ht="24" customHeight="1">
      <c r="C4" s="324" t="s">
        <v>837</v>
      </c>
      <c r="D4" s="324"/>
      <c r="E4" s="324"/>
      <c r="F4" s="324"/>
      <c r="G4" s="324"/>
      <c r="H4" s="324"/>
      <c r="I4" s="324"/>
      <c r="J4" s="324"/>
    </row>
    <row r="5" spans="1:10">
      <c r="C5" s="325"/>
    </row>
    <row r="6" spans="1:10">
      <c r="C6" s="325"/>
    </row>
    <row r="7" spans="1:10">
      <c r="C7" s="326" t="s">
        <v>838</v>
      </c>
      <c r="D7" s="327"/>
      <c r="E7" s="327"/>
      <c r="F7" s="327"/>
      <c r="G7" s="327"/>
      <c r="H7" s="327"/>
      <c r="I7" s="327"/>
      <c r="J7" s="327"/>
    </row>
    <row r="8" spans="1:10" ht="38.25" customHeight="1">
      <c r="C8" s="523" t="s">
        <v>839</v>
      </c>
      <c r="D8" s="524"/>
      <c r="E8" s="523"/>
      <c r="F8" s="523"/>
      <c r="G8" s="523"/>
      <c r="H8" s="523"/>
      <c r="I8" s="523"/>
      <c r="J8" s="523"/>
    </row>
    <row r="9" spans="1:10">
      <c r="C9" s="328"/>
      <c r="D9" s="329"/>
      <c r="E9" s="329"/>
      <c r="F9" s="329"/>
      <c r="G9" s="329"/>
      <c r="H9" s="329"/>
      <c r="I9" s="329"/>
      <c r="J9" s="329"/>
    </row>
    <row r="10" spans="1:10" ht="15.75">
      <c r="C10" s="330" t="s">
        <v>840</v>
      </c>
      <c r="D10" s="330"/>
      <c r="E10" s="330"/>
      <c r="F10" s="330"/>
      <c r="G10" s="330"/>
      <c r="H10" s="330"/>
      <c r="I10" s="330"/>
      <c r="J10" s="330"/>
    </row>
    <row r="11" spans="1:10" ht="15" thickBot="1">
      <c r="C11" s="331"/>
      <c r="D11" s="331"/>
      <c r="E11" s="331"/>
      <c r="F11" s="331"/>
      <c r="G11" s="331"/>
      <c r="H11" s="331"/>
      <c r="I11" s="331"/>
      <c r="J11" s="331"/>
    </row>
    <row r="12" spans="1:10" ht="20.25">
      <c r="C12" s="525" t="s">
        <v>841</v>
      </c>
      <c r="D12" s="526"/>
      <c r="E12" s="526"/>
      <c r="F12" s="526"/>
      <c r="G12" s="526"/>
      <c r="H12" s="526"/>
      <c r="I12" s="526"/>
      <c r="J12" s="527"/>
    </row>
    <row r="13" spans="1:10" ht="20.25">
      <c r="C13" s="332"/>
      <c r="D13" s="333"/>
      <c r="E13" s="333"/>
      <c r="F13" s="334"/>
      <c r="G13" s="334"/>
      <c r="H13" s="334"/>
      <c r="I13" s="334"/>
      <c r="J13" s="335"/>
    </row>
    <row r="14" spans="1:10">
      <c r="C14" s="336" t="s">
        <v>842</v>
      </c>
      <c r="D14" s="513" t="s">
        <v>631</v>
      </c>
      <c r="E14" s="514"/>
      <c r="F14" s="514"/>
      <c r="G14" s="334"/>
      <c r="H14" s="334"/>
      <c r="I14" s="334"/>
      <c r="J14" s="337"/>
    </row>
    <row r="15" spans="1:10">
      <c r="C15" s="338" t="s">
        <v>843</v>
      </c>
      <c r="D15" s="528">
        <f>INDEX(dms_ABN_List,MATCH(dms_TradingName,dms_TradingName_List))</f>
        <v>70064651029</v>
      </c>
      <c r="E15" s="528"/>
      <c r="F15" s="528"/>
      <c r="G15" s="339"/>
      <c r="H15" s="339"/>
      <c r="I15" s="339"/>
      <c r="J15" s="335"/>
    </row>
    <row r="16" spans="1:10" ht="15" thickBot="1">
      <c r="C16" s="340"/>
      <c r="D16" s="341"/>
      <c r="E16" s="341"/>
      <c r="F16" s="341"/>
      <c r="G16" s="342"/>
      <c r="H16" s="342"/>
      <c r="I16" s="342"/>
      <c r="J16" s="343"/>
    </row>
    <row r="17" spans="3:21" ht="29.25" customHeight="1">
      <c r="C17" s="344"/>
      <c r="D17" s="345"/>
      <c r="E17" s="345"/>
      <c r="F17" s="345"/>
      <c r="G17" s="346"/>
      <c r="H17" s="346"/>
      <c r="I17" s="346"/>
      <c r="J17" s="347"/>
    </row>
    <row r="18" spans="3:21">
      <c r="C18" s="336" t="s">
        <v>3</v>
      </c>
      <c r="D18" s="511" t="s">
        <v>844</v>
      </c>
      <c r="E18" s="512"/>
      <c r="F18" s="513" t="s">
        <v>45</v>
      </c>
      <c r="G18" s="514"/>
      <c r="H18" s="514"/>
      <c r="I18" s="515"/>
      <c r="J18" s="349"/>
    </row>
    <row r="19" spans="3:21">
      <c r="C19" s="350"/>
      <c r="D19" s="351"/>
      <c r="E19" s="351" t="s">
        <v>845</v>
      </c>
      <c r="F19" s="513" t="s">
        <v>768</v>
      </c>
      <c r="G19" s="514"/>
      <c r="H19" s="514"/>
      <c r="I19" s="515"/>
      <c r="J19" s="349"/>
    </row>
    <row r="20" spans="3:21">
      <c r="C20" s="350"/>
      <c r="D20" s="511" t="s">
        <v>21</v>
      </c>
      <c r="E20" s="512"/>
      <c r="F20" s="513" t="s">
        <v>752</v>
      </c>
      <c r="G20" s="514"/>
      <c r="H20" s="514"/>
      <c r="I20" s="515"/>
      <c r="J20" s="349"/>
    </row>
    <row r="21" spans="3:21">
      <c r="C21" s="350"/>
      <c r="D21" s="352"/>
      <c r="E21" s="351" t="s">
        <v>22</v>
      </c>
      <c r="F21" s="353" t="s">
        <v>721</v>
      </c>
      <c r="G21" s="351" t="s">
        <v>846</v>
      </c>
      <c r="H21" s="354" t="s">
        <v>753</v>
      </c>
      <c r="I21" s="334"/>
      <c r="J21" s="335"/>
    </row>
    <row r="22" spans="3:21">
      <c r="C22" s="350"/>
      <c r="D22" s="352"/>
      <c r="E22" s="352"/>
      <c r="F22" s="352"/>
      <c r="G22" s="334"/>
      <c r="H22" s="352"/>
      <c r="I22" s="334"/>
      <c r="J22" s="335"/>
    </row>
    <row r="23" spans="3:21">
      <c r="C23" s="336" t="s">
        <v>847</v>
      </c>
      <c r="D23" s="511" t="s">
        <v>844</v>
      </c>
      <c r="E23" s="512"/>
      <c r="F23" s="513" t="s">
        <v>52</v>
      </c>
      <c r="G23" s="514"/>
      <c r="H23" s="514"/>
      <c r="I23" s="515"/>
      <c r="J23" s="337"/>
    </row>
    <row r="24" spans="3:21">
      <c r="C24" s="350"/>
      <c r="D24" s="351"/>
      <c r="E24" s="351" t="s">
        <v>845</v>
      </c>
      <c r="F24" s="513" t="s">
        <v>768</v>
      </c>
      <c r="G24" s="514"/>
      <c r="H24" s="514"/>
      <c r="I24" s="515"/>
      <c r="J24" s="337"/>
    </row>
    <row r="25" spans="3:21">
      <c r="C25" s="350"/>
      <c r="D25" s="511" t="s">
        <v>21</v>
      </c>
      <c r="E25" s="512"/>
      <c r="F25" s="513" t="s">
        <v>754</v>
      </c>
      <c r="G25" s="514"/>
      <c r="H25" s="514"/>
      <c r="I25" s="515"/>
      <c r="J25" s="337"/>
    </row>
    <row r="26" spans="3:21">
      <c r="C26" s="355"/>
      <c r="D26" s="352"/>
      <c r="E26" s="351" t="s">
        <v>22</v>
      </c>
      <c r="F26" s="354" t="s">
        <v>721</v>
      </c>
      <c r="G26" s="351" t="s">
        <v>846</v>
      </c>
      <c r="H26" s="354">
        <v>0</v>
      </c>
      <c r="I26" s="334"/>
      <c r="J26" s="335"/>
    </row>
    <row r="27" spans="3:21">
      <c r="C27" s="356"/>
      <c r="D27" s="357"/>
      <c r="E27" s="357"/>
      <c r="F27" s="357"/>
      <c r="G27" s="358"/>
      <c r="H27" s="358"/>
      <c r="I27" s="358"/>
      <c r="J27" s="359"/>
      <c r="U27" s="360"/>
    </row>
    <row r="28" spans="3:21">
      <c r="C28" s="355"/>
      <c r="D28" s="361"/>
      <c r="E28" s="361"/>
      <c r="F28" s="361"/>
      <c r="G28" s="334"/>
      <c r="H28" s="334"/>
      <c r="I28" s="334"/>
      <c r="J28" s="335"/>
    </row>
    <row r="29" spans="3:21">
      <c r="C29" s="362" t="s">
        <v>24</v>
      </c>
      <c r="D29" s="363" t="s">
        <v>50</v>
      </c>
      <c r="E29" s="364"/>
      <c r="F29" s="365"/>
      <c r="G29" s="363"/>
      <c r="H29" s="364"/>
      <c r="I29" s="366"/>
      <c r="J29" s="367"/>
    </row>
    <row r="30" spans="3:21">
      <c r="C30" s="336" t="s">
        <v>25</v>
      </c>
      <c r="D30" s="363"/>
      <c r="E30" s="368"/>
      <c r="F30" s="369"/>
      <c r="G30" s="370"/>
      <c r="H30" s="368"/>
      <c r="I30" s="334"/>
      <c r="J30" s="335"/>
    </row>
    <row r="31" spans="3:21">
      <c r="C31" s="336" t="s">
        <v>26</v>
      </c>
      <c r="D31" s="363"/>
      <c r="E31" s="364"/>
      <c r="F31" s="369"/>
      <c r="G31" s="371"/>
      <c r="H31" s="364"/>
      <c r="I31" s="334"/>
      <c r="J31" s="335"/>
    </row>
    <row r="32" spans="3:21" ht="15" thickBot="1">
      <c r="C32" s="340"/>
      <c r="D32" s="341"/>
      <c r="E32" s="341"/>
      <c r="F32" s="341"/>
      <c r="G32" s="342"/>
      <c r="H32" s="342"/>
      <c r="I32" s="342"/>
      <c r="J32" s="343"/>
    </row>
    <row r="33" spans="1:25" ht="15" customHeight="1" thickBot="1">
      <c r="C33" s="372"/>
      <c r="D33" s="373"/>
      <c r="E33" s="373"/>
      <c r="F33" s="373"/>
      <c r="G33" s="374"/>
      <c r="H33" s="374"/>
      <c r="I33" s="374"/>
      <c r="J33" s="375"/>
      <c r="U33" s="320"/>
      <c r="V33" s="320"/>
      <c r="W33" s="320"/>
      <c r="X33" s="320"/>
      <c r="Y33" s="320"/>
    </row>
    <row r="34" spans="1:25" ht="15" customHeight="1" thickBot="1">
      <c r="C34" s="376" t="s">
        <v>848</v>
      </c>
      <c r="D34" s="377">
        <v>2006</v>
      </c>
      <c r="E34" s="378"/>
      <c r="F34" s="378"/>
      <c r="G34" s="379"/>
      <c r="H34" s="379"/>
      <c r="I34" s="379"/>
      <c r="J34" s="380"/>
    </row>
    <row r="35" spans="1:25" ht="14.25" customHeight="1">
      <c r="C35" s="381"/>
      <c r="D35" s="382"/>
      <c r="E35" s="382"/>
      <c r="F35" s="382"/>
      <c r="G35" s="382"/>
      <c r="H35" s="382"/>
      <c r="I35" s="382"/>
      <c r="J35" s="380"/>
    </row>
    <row r="36" spans="1:25" ht="15" customHeight="1" thickBot="1">
      <c r="C36" s="383"/>
      <c r="D36" s="384"/>
      <c r="E36" s="384"/>
      <c r="F36" s="384"/>
      <c r="G36" s="385"/>
      <c r="H36" s="385"/>
      <c r="I36" s="385"/>
      <c r="J36" s="386"/>
    </row>
    <row r="37" spans="1:25">
      <c r="C37" s="320"/>
      <c r="D37" s="320"/>
      <c r="E37" s="320"/>
      <c r="F37" s="320"/>
      <c r="G37" s="320"/>
      <c r="H37" s="320"/>
      <c r="I37" s="320"/>
      <c r="J37" s="320"/>
    </row>
    <row r="38" spans="1:25" ht="15" thickBot="1"/>
    <row r="39" spans="1:25">
      <c r="C39" s="387" t="s">
        <v>541</v>
      </c>
      <c r="D39" s="516" t="s">
        <v>633</v>
      </c>
      <c r="E39" s="517"/>
      <c r="F39" s="388"/>
      <c r="G39" s="388"/>
      <c r="H39" s="388"/>
      <c r="I39" s="388"/>
      <c r="J39" s="389"/>
    </row>
    <row r="40" spans="1:25">
      <c r="C40" s="390" t="s">
        <v>849</v>
      </c>
      <c r="D40" s="391" t="s">
        <v>634</v>
      </c>
      <c r="E40" s="392"/>
      <c r="F40" s="392"/>
      <c r="G40" s="392"/>
      <c r="H40" s="392"/>
      <c r="I40" s="392"/>
      <c r="J40" s="393"/>
    </row>
    <row r="41" spans="1:25" ht="39" customHeight="1">
      <c r="C41" s="394" t="s">
        <v>850</v>
      </c>
      <c r="D41" s="518" t="s">
        <v>1024</v>
      </c>
      <c r="E41" s="519"/>
      <c r="F41" s="519"/>
      <c r="G41" s="519"/>
      <c r="H41" s="519"/>
      <c r="I41" s="519"/>
      <c r="J41" s="520"/>
    </row>
    <row r="42" spans="1:25" ht="15" thickBot="1">
      <c r="B42" s="395"/>
      <c r="C42" s="396" t="s">
        <v>851</v>
      </c>
      <c r="D42" s="397" t="s">
        <v>852</v>
      </c>
      <c r="E42" s="398"/>
      <c r="F42" s="398"/>
      <c r="G42" s="398"/>
      <c r="H42" s="398"/>
      <c r="I42" s="398"/>
      <c r="J42" s="399"/>
    </row>
    <row r="43" spans="1:25" s="395" customFormat="1" ht="15" hidden="1">
      <c r="A43" s="400" t="s">
        <v>853</v>
      </c>
      <c r="B43" s="317"/>
      <c r="C43" s="401" t="s">
        <v>537</v>
      </c>
      <c r="D43" s="402" t="str">
        <f>INDEX(dms_Sector_List,MATCH(dms_TradingName,dms_TradingName_List))</f>
        <v>Electricity</v>
      </c>
      <c r="E43" s="403" t="s">
        <v>854</v>
      </c>
      <c r="F43" s="404" t="s">
        <v>855</v>
      </c>
      <c r="G43" s="405"/>
      <c r="H43" s="405"/>
      <c r="I43" s="405"/>
      <c r="J43" s="406"/>
      <c r="K43" s="407"/>
    </row>
    <row r="44" spans="1:25" ht="15" hidden="1">
      <c r="A44" s="195"/>
      <c r="C44" s="408" t="s">
        <v>539</v>
      </c>
      <c r="D44" s="409" t="str">
        <f>INDEX(dms_Segment_List,MATCH(dms_TradingName,dms_TradingName_List))</f>
        <v>Distribution</v>
      </c>
      <c r="E44" s="410" t="s">
        <v>856</v>
      </c>
      <c r="F44" s="411" t="s">
        <v>857</v>
      </c>
      <c r="G44" s="412"/>
      <c r="H44" s="412"/>
      <c r="I44" s="412"/>
      <c r="J44" s="413"/>
    </row>
    <row r="45" spans="1:25" ht="15" hidden="1">
      <c r="A45" s="195"/>
      <c r="C45" s="408" t="s">
        <v>542</v>
      </c>
      <c r="D45" s="414">
        <f>INDEX(dms_RYE_Formula_Result,MATCH(dms_Model,dms_Model_List))</f>
        <v>2013</v>
      </c>
      <c r="E45" s="410" t="s">
        <v>858</v>
      </c>
      <c r="F45" s="411" t="s">
        <v>859</v>
      </c>
      <c r="G45" s="412"/>
      <c r="H45" s="412"/>
      <c r="I45" s="412"/>
      <c r="J45" s="413"/>
    </row>
    <row r="46" spans="1:25" ht="15" hidden="1">
      <c r="A46" s="195"/>
      <c r="C46" s="408" t="s">
        <v>543</v>
      </c>
      <c r="D46" s="409" t="str">
        <f>INDEX(dms_RPT_List,MATCH(dms_TradingName,dms_TradingName_List))</f>
        <v>Calendar</v>
      </c>
      <c r="E46" s="410" t="s">
        <v>860</v>
      </c>
      <c r="F46" s="411" t="s">
        <v>861</v>
      </c>
      <c r="G46" s="412"/>
      <c r="H46" s="412"/>
      <c r="I46" s="412"/>
      <c r="J46" s="413"/>
    </row>
    <row r="47" spans="1:25" ht="15" hidden="1">
      <c r="A47" s="195"/>
      <c r="C47" s="408" t="s">
        <v>862</v>
      </c>
      <c r="D47" s="414" t="s">
        <v>545</v>
      </c>
      <c r="E47" s="415" t="s">
        <v>863</v>
      </c>
      <c r="F47" s="412"/>
      <c r="G47" s="412"/>
      <c r="H47" s="412"/>
      <c r="I47" s="412"/>
      <c r="J47" s="413"/>
    </row>
    <row r="48" spans="1:25" ht="15" hidden="1">
      <c r="A48" s="195"/>
      <c r="C48" s="408" t="s">
        <v>546</v>
      </c>
      <c r="D48" s="409" t="s">
        <v>547</v>
      </c>
      <c r="E48" s="415" t="s">
        <v>864</v>
      </c>
      <c r="F48" s="412"/>
      <c r="G48" s="412"/>
      <c r="H48" s="412"/>
      <c r="I48" s="412"/>
      <c r="J48" s="413"/>
    </row>
    <row r="49" spans="1:16" ht="15" hidden="1">
      <c r="A49" s="195"/>
      <c r="C49" s="416" t="s">
        <v>865</v>
      </c>
      <c r="D49" s="417">
        <v>5</v>
      </c>
      <c r="E49" s="418" t="s">
        <v>866</v>
      </c>
      <c r="F49" s="419"/>
      <c r="G49" s="419"/>
      <c r="H49" s="419"/>
      <c r="I49" s="419"/>
      <c r="J49" s="420"/>
    </row>
    <row r="50" spans="1:16" ht="15" hidden="1">
      <c r="A50" s="195"/>
      <c r="C50" s="408" t="s">
        <v>867</v>
      </c>
      <c r="D50" s="409" t="str">
        <f>INDEX(dms_RPTMonth_List,MATCH(dms_TradingName,dms_TradingName_List))</f>
        <v>December</v>
      </c>
      <c r="E50" s="415" t="s">
        <v>868</v>
      </c>
      <c r="F50" s="411" t="s">
        <v>869</v>
      </c>
      <c r="G50" s="412"/>
      <c r="H50" s="412"/>
      <c r="I50" s="412"/>
      <c r="J50" s="413"/>
    </row>
    <row r="51" spans="1:16" ht="14.25" hidden="1" customHeight="1">
      <c r="A51" s="195"/>
      <c r="C51" s="408" t="s">
        <v>870</v>
      </c>
      <c r="D51" s="467" t="s">
        <v>1012</v>
      </c>
      <c r="E51" s="421" t="s">
        <v>871</v>
      </c>
      <c r="F51" s="411" t="s">
        <v>872</v>
      </c>
      <c r="G51" s="412"/>
      <c r="H51" s="412"/>
      <c r="I51" s="412"/>
      <c r="J51" s="413"/>
    </row>
    <row r="52" spans="1:16" ht="15" hidden="1" customHeight="1">
      <c r="A52" s="195"/>
      <c r="C52" s="408" t="s">
        <v>873</v>
      </c>
      <c r="D52" s="409" t="str">
        <f>INDEX(dms_FormControl_List,MATCH(dms_TradingName,dms_TradingName_List))</f>
        <v>Revenue cap</v>
      </c>
      <c r="E52" s="410" t="s">
        <v>874</v>
      </c>
      <c r="F52" s="411" t="s">
        <v>875</v>
      </c>
      <c r="G52" s="412"/>
      <c r="H52" s="412"/>
      <c r="I52" s="412"/>
      <c r="J52" s="413"/>
    </row>
    <row r="53" spans="1:16" ht="15" hidden="1" customHeight="1">
      <c r="A53" s="195"/>
      <c r="C53" s="408" t="s">
        <v>876</v>
      </c>
      <c r="D53" s="409">
        <v>1</v>
      </c>
      <c r="E53" s="415" t="s">
        <v>877</v>
      </c>
      <c r="F53" s="412"/>
      <c r="G53" s="412"/>
      <c r="H53" s="412"/>
      <c r="I53" s="412"/>
      <c r="J53" s="413"/>
    </row>
    <row r="54" spans="1:16" ht="15.75" hidden="1" customHeight="1">
      <c r="A54" s="195"/>
      <c r="C54" s="408" t="s">
        <v>878</v>
      </c>
      <c r="D54" s="409" t="str">
        <f>INDEX(dms_JurisdictionList,MATCH(dms_TradingName,dms_TradingName_List))</f>
        <v>Vic</v>
      </c>
      <c r="E54" s="410" t="s">
        <v>879</v>
      </c>
      <c r="F54" s="411" t="s">
        <v>880</v>
      </c>
      <c r="G54" s="412"/>
      <c r="H54" s="412"/>
      <c r="I54" s="412"/>
      <c r="J54" s="413"/>
    </row>
    <row r="55" spans="1:16" s="320" customFormat="1" ht="14.25" hidden="1" customHeight="1">
      <c r="A55" s="195"/>
      <c r="B55" s="317"/>
      <c r="C55" s="408" t="s">
        <v>881</v>
      </c>
      <c r="D55" s="409">
        <f>INDEX(dms_CRCPlength_List,MATCH(dms_TradingName,dms_TradingName_List))</f>
        <v>5</v>
      </c>
      <c r="E55" s="410" t="s">
        <v>882</v>
      </c>
      <c r="F55" s="411" t="s">
        <v>883</v>
      </c>
      <c r="G55" s="412"/>
      <c r="H55" s="412"/>
      <c r="I55" s="412"/>
      <c r="J55" s="413"/>
      <c r="P55" s="348"/>
    </row>
    <row r="56" spans="1:16" ht="15" hidden="1" customHeight="1">
      <c r="A56" s="195"/>
      <c r="C56" s="408" t="s">
        <v>884</v>
      </c>
      <c r="D56" s="409">
        <f>INDEX(dms_FRCPlength_List,MATCH(dms_TradingName,dms_TradingName_List))</f>
        <v>5</v>
      </c>
      <c r="E56" s="421" t="s">
        <v>885</v>
      </c>
      <c r="F56" s="411" t="s">
        <v>886</v>
      </c>
      <c r="G56" s="412"/>
      <c r="H56" s="412"/>
      <c r="I56" s="412"/>
      <c r="J56" s="413"/>
    </row>
    <row r="57" spans="1:16" ht="15" hidden="1" customHeight="1">
      <c r="A57" s="195"/>
      <c r="C57" s="408" t="s">
        <v>887</v>
      </c>
      <c r="D57" s="409">
        <f>INDEX(dms_FRCPlength_List,MATCH(dms_TradingName,dms_TradingName_List))</f>
        <v>5</v>
      </c>
      <c r="E57" s="410" t="s">
        <v>888</v>
      </c>
      <c r="F57" s="411" t="s">
        <v>886</v>
      </c>
      <c r="G57" s="412"/>
      <c r="H57" s="412"/>
      <c r="I57" s="412"/>
      <c r="J57" s="413"/>
    </row>
    <row r="58" spans="1:16" ht="15" hidden="1" customHeight="1">
      <c r="A58" s="195"/>
      <c r="C58" s="408" t="s">
        <v>889</v>
      </c>
      <c r="D58" s="409" t="str">
        <f>INDEX(dms_FinalYear_List,MATCH(dms_FRCPlength_Num,dms_FRCPlength_Num_List))</f>
        <v>FRCP_y5</v>
      </c>
      <c r="E58" s="410" t="s">
        <v>890</v>
      </c>
      <c r="F58" s="411" t="s">
        <v>891</v>
      </c>
      <c r="G58" s="412"/>
      <c r="H58" s="412"/>
      <c r="I58" s="412"/>
      <c r="J58" s="413"/>
    </row>
    <row r="59" spans="1:16" ht="15" hidden="1">
      <c r="A59" s="195"/>
      <c r="C59" s="408" t="s">
        <v>892</v>
      </c>
      <c r="D59" s="409">
        <v>2013</v>
      </c>
      <c r="E59" s="410" t="s">
        <v>893</v>
      </c>
      <c r="F59" s="411" t="s">
        <v>894</v>
      </c>
      <c r="G59" s="412"/>
      <c r="H59" s="412"/>
      <c r="I59" s="412"/>
      <c r="J59" s="413"/>
    </row>
    <row r="60" spans="1:16" ht="15" hidden="1" customHeight="1">
      <c r="A60" s="195"/>
      <c r="C60" s="408" t="s">
        <v>895</v>
      </c>
      <c r="D60" s="409">
        <f>INDEX(dms_CRCPlength_List,MATCH(dms_TradingName,dms_TradingName_List))</f>
        <v>5</v>
      </c>
      <c r="E60" s="422" t="s">
        <v>896</v>
      </c>
      <c r="F60" s="423" t="s">
        <v>883</v>
      </c>
      <c r="G60" s="412"/>
      <c r="H60" s="412"/>
      <c r="I60" s="412"/>
      <c r="J60" s="413"/>
    </row>
    <row r="61" spans="1:16" ht="15" hidden="1" customHeight="1">
      <c r="A61" s="195"/>
      <c r="C61" s="408" t="s">
        <v>897</v>
      </c>
      <c r="D61" s="409" t="str">
        <f>INDEX(dms_CFinalYear_List,MATCH(dms_CRCPlength_Num,dms_CRCPlength_Num_List))</f>
        <v>CRCP_y5</v>
      </c>
      <c r="E61" s="422" t="s">
        <v>898</v>
      </c>
      <c r="F61" s="423" t="s">
        <v>899</v>
      </c>
      <c r="G61" s="412"/>
      <c r="H61" s="412"/>
      <c r="I61" s="412"/>
      <c r="J61" s="413"/>
    </row>
    <row r="62" spans="1:16" hidden="1">
      <c r="A62" s="195"/>
      <c r="C62" s="424" t="s">
        <v>900</v>
      </c>
      <c r="D62" s="425">
        <v>2013</v>
      </c>
      <c r="E62" s="426" t="s">
        <v>901</v>
      </c>
      <c r="F62" s="427" t="s">
        <v>902</v>
      </c>
      <c r="G62" s="428"/>
      <c r="H62" s="428"/>
      <c r="I62" s="428"/>
      <c r="J62" s="429"/>
    </row>
    <row r="63" spans="1:16" ht="15" hidden="1">
      <c r="A63" s="195"/>
      <c r="C63" s="430" t="s">
        <v>903</v>
      </c>
      <c r="D63" s="431">
        <f>INDEX(dms_663_List,MATCH(dms_TradingName,dms_TradingName_List))</f>
        <v>2</v>
      </c>
      <c r="E63" s="410" t="s">
        <v>904</v>
      </c>
      <c r="F63" s="432"/>
      <c r="G63" s="432"/>
      <c r="H63" s="432"/>
      <c r="I63" s="432"/>
      <c r="J63" s="433"/>
    </row>
    <row r="64" spans="1:16" ht="15.75" hidden="1" thickBot="1">
      <c r="A64" s="195"/>
      <c r="C64" s="424" t="s">
        <v>905</v>
      </c>
      <c r="D64" s="425" t="str">
        <f>INDEX(dms_DeterminationRef_List,MATCH(dms_TradingName,dms_TradingName_List))</f>
        <v>2016-20 Distribution Determination</v>
      </c>
      <c r="E64" s="434"/>
      <c r="F64" s="435"/>
      <c r="G64" s="435"/>
      <c r="H64" s="435"/>
      <c r="I64" s="435"/>
      <c r="J64" s="436"/>
    </row>
    <row r="65" spans="1:20" s="437" customFormat="1" ht="34.5" hidden="1" customHeight="1">
      <c r="A65" s="195"/>
      <c r="C65" s="401" t="s">
        <v>906</v>
      </c>
      <c r="D65" s="402" t="s">
        <v>907</v>
      </c>
      <c r="E65" s="438" t="s">
        <v>908</v>
      </c>
      <c r="F65" s="521" t="s">
        <v>909</v>
      </c>
      <c r="G65" s="521"/>
      <c r="H65" s="521"/>
      <c r="I65" s="521"/>
      <c r="J65" s="522"/>
      <c r="K65" s="439"/>
      <c r="L65" s="439"/>
      <c r="M65" s="439"/>
      <c r="N65" s="439"/>
      <c r="O65" s="439"/>
      <c r="P65" s="440"/>
      <c r="Q65" s="439"/>
      <c r="R65" s="439"/>
      <c r="S65" s="439"/>
      <c r="T65" s="439"/>
    </row>
    <row r="66" spans="1:20" s="320" customFormat="1" ht="15" hidden="1">
      <c r="A66" s="195"/>
      <c r="B66" s="317"/>
      <c r="C66" s="408" t="s">
        <v>910</v>
      </c>
      <c r="D66" s="441" t="s">
        <v>911</v>
      </c>
      <c r="E66" s="410" t="s">
        <v>912</v>
      </c>
      <c r="F66" s="442" t="s">
        <v>913</v>
      </c>
      <c r="G66" s="443"/>
      <c r="H66" s="443"/>
      <c r="I66" s="443"/>
      <c r="J66" s="444"/>
      <c r="P66" s="348"/>
    </row>
    <row r="67" spans="1:20" ht="15" hidden="1">
      <c r="A67" s="195"/>
      <c r="C67" s="408"/>
      <c r="D67" s="441"/>
      <c r="E67" s="410"/>
      <c r="F67" s="442"/>
      <c r="G67" s="443"/>
      <c r="H67" s="443"/>
      <c r="I67" s="443"/>
      <c r="J67" s="444"/>
    </row>
    <row r="68" spans="1:20" s="320" customFormat="1" ht="14.25" hidden="1" customHeight="1" thickBot="1">
      <c r="A68" s="195"/>
      <c r="B68" s="317"/>
      <c r="C68" s="445" t="s">
        <v>914</v>
      </c>
      <c r="D68" s="446" t="s">
        <v>915</v>
      </c>
      <c r="E68" s="447" t="s">
        <v>916</v>
      </c>
      <c r="F68" s="448" t="s">
        <v>917</v>
      </c>
      <c r="G68" s="449"/>
      <c r="H68" s="449"/>
      <c r="I68" s="449"/>
      <c r="J68" s="450"/>
      <c r="P68" s="348"/>
    </row>
    <row r="69" spans="1:20" hidden="1"/>
    <row r="70" spans="1:20" hidden="1"/>
    <row r="71" spans="1:20" ht="15" hidden="1">
      <c r="C71" s="469" t="s">
        <v>1013</v>
      </c>
      <c r="D71" s="470">
        <v>42160</v>
      </c>
      <c r="E71" s="471" t="s">
        <v>1014</v>
      </c>
      <c r="G71" s="57" t="s">
        <v>1022</v>
      </c>
    </row>
    <row r="72" spans="1:20" ht="15" hidden="1">
      <c r="C72" s="469" t="s">
        <v>1015</v>
      </c>
      <c r="D72" s="472">
        <v>2013</v>
      </c>
      <c r="E72" s="473" t="s">
        <v>1016</v>
      </c>
    </row>
    <row r="73" spans="1:20" hidden="1"/>
  </sheetData>
  <dataConsolidate/>
  <mergeCells count="17">
    <mergeCell ref="F24:I24"/>
    <mergeCell ref="C8:J8"/>
    <mergeCell ref="C12:J12"/>
    <mergeCell ref="D14:F14"/>
    <mergeCell ref="D15:F15"/>
    <mergeCell ref="D18:E18"/>
    <mergeCell ref="F18:I18"/>
    <mergeCell ref="F19:I19"/>
    <mergeCell ref="D20:E20"/>
    <mergeCell ref="F20:I20"/>
    <mergeCell ref="D23:E23"/>
    <mergeCell ref="F23:I23"/>
    <mergeCell ref="D25:E25"/>
    <mergeCell ref="F25:I25"/>
    <mergeCell ref="D39:E39"/>
    <mergeCell ref="D41:J41"/>
    <mergeCell ref="F65:J65"/>
  </mergeCells>
  <dataValidations count="13">
    <dataValidation type="list" allowBlank="1" showInputMessage="1" showErrorMessage="1" sqref="D34">
      <formula1>IF(dms_RPT="financial",dms_CRY_ListF,dms_CRY_ListC)</formula1>
    </dataValidation>
    <dataValidation type="whole" allowBlank="1" showInputMessage="1" showErrorMessage="1" sqref="H21 H26">
      <formula1>1</formula1>
      <formula2>9999</formula2>
    </dataValidation>
    <dataValidation type="list" operator="lessThanOrEqual" showInputMessage="1" showErrorMessage="1" prompt="Please use drop down to select correct business name. ABN will auto populate." sqref="D14:F14">
      <formula1>dms_TradingName_List</formula1>
    </dataValidation>
    <dataValidation type="list" allowBlank="1" showInputMessage="1" showErrorMessage="1" sqref="D39:E39">
      <formula1>dms_SourceList</formula1>
    </dataValidation>
    <dataValidation type="list" allowBlank="1" showInputMessage="1" showErrorMessage="1" prompt="Please use drop down to select correct state." sqref="F21">
      <formula1>"ACT, NSW,SA,Qld,Vic,-,Tas"</formula1>
    </dataValidation>
    <dataValidation type="list" operator="lessThanOrEqual" showInputMessage="1" showErrorMessage="1" sqref="I14">
      <formula1>dms_TradingName_List</formula1>
    </dataValidation>
    <dataValidation type="list" allowBlank="1" showInputMessage="1" showErrorMessage="1" sqref="D42">
      <formula1>"Yes, No"</formula1>
    </dataValidation>
    <dataValidation type="list" allowBlank="1" showInputMessage="1" showErrorMessage="1" sqref="D48">
      <formula1>"Public, Confidential"</formula1>
    </dataValidation>
    <dataValidation type="list" operator="lessThanOrEqual" showInputMessage="1" showErrorMessage="1" sqref="F26">
      <formula1>"ACT,Qld,NSW,Vic,Tas,SA"</formula1>
    </dataValidation>
    <dataValidation type="textLength" operator="greaterThan" showInputMessage="1" showErrorMessage="1" sqref="F18:I18 F20:I20 F23:I23 F25:I25">
      <formula1>1</formula1>
    </dataValidation>
    <dataValidation type="list" allowBlank="1" showInputMessage="1" showErrorMessage="1" sqref="D46">
      <formula1>"Financial, Calendar, Other"</formula1>
    </dataValidation>
    <dataValidation type="list" allowBlank="1" showInputMessage="1" showErrorMessage="1" sqref="D40">
      <formula1>"Actual, Estimate, Consolidated, Public, Backcast"</formula1>
    </dataValidation>
    <dataValidation type="textLength" operator="lessThan" allowBlank="1" showInputMessage="1" showErrorMessage="1" promptTitle="Amendment reason" prompt="If this submission is a resubmission because data has been amended, NSP to provide amendment reason. _x000a__x000a_eg. corrected data errors in tables 3.1.1 &amp; 3.5.1" sqref="D41:J41">
      <formula1>150</formula1>
    </dataValidation>
  </dataValidations>
  <pageMargins left="0.25" right="0.25" top="0.75" bottom="0.75" header="0.3" footer="0.3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'AER only'!$B$13:$B$21</xm:f>
          </x14:formula1>
          <xm:sqref>D47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4"/>
  <sheetViews>
    <sheetView showGridLines="0" workbookViewId="0">
      <selection activeCell="B20" sqref="B20"/>
    </sheetView>
  </sheetViews>
  <sheetFormatPr defaultRowHeight="15"/>
  <cols>
    <col min="1" max="1" width="32.28515625" customWidth="1"/>
    <col min="2" max="2" width="19.5703125" customWidth="1"/>
    <col min="3" max="8" width="12.28515625" customWidth="1"/>
  </cols>
  <sheetData>
    <row r="1" spans="1:10" ht="20.25">
      <c r="A1" s="8" t="s">
        <v>43</v>
      </c>
      <c r="B1" s="21"/>
      <c r="C1" s="21"/>
      <c r="D1" s="21"/>
      <c r="E1" s="21"/>
      <c r="F1" s="21"/>
      <c r="G1" s="21"/>
      <c r="H1" s="21"/>
      <c r="I1" s="21"/>
      <c r="J1" s="6"/>
    </row>
    <row r="2" spans="1:10">
      <c r="A2" s="21"/>
      <c r="B2" s="21"/>
      <c r="C2" s="21"/>
      <c r="D2" s="21"/>
      <c r="E2" s="21"/>
      <c r="F2" s="21"/>
      <c r="G2" s="21"/>
      <c r="H2" s="21"/>
      <c r="I2" s="21"/>
      <c r="J2" s="6"/>
    </row>
    <row r="3" spans="1:10">
      <c r="A3" s="21"/>
      <c r="B3" s="21"/>
      <c r="C3" s="21"/>
      <c r="D3" s="21"/>
      <c r="E3" s="21"/>
      <c r="F3" s="21"/>
      <c r="G3" s="21"/>
      <c r="H3" s="21"/>
      <c r="I3" s="21"/>
      <c r="J3" s="7"/>
    </row>
    <row r="4" spans="1:10" ht="18">
      <c r="A4" s="22" t="s">
        <v>18</v>
      </c>
      <c r="B4" s="31" t="s">
        <v>631</v>
      </c>
      <c r="C4" s="32"/>
      <c r="D4" s="33"/>
      <c r="E4" s="34"/>
      <c r="F4" s="21"/>
      <c r="G4" s="21"/>
      <c r="H4" s="21"/>
      <c r="I4" s="21"/>
      <c r="J4" s="6"/>
    </row>
    <row r="5" spans="1:10" ht="18">
      <c r="A5" s="10"/>
      <c r="B5" s="10"/>
      <c r="C5" s="21"/>
      <c r="D5" s="21"/>
      <c r="E5" s="21"/>
      <c r="F5" s="21"/>
      <c r="G5" s="21"/>
      <c r="H5" s="21"/>
      <c r="I5" s="21"/>
      <c r="J5" s="6"/>
    </row>
    <row r="6" spans="1:10" ht="18">
      <c r="A6" s="9" t="s">
        <v>19</v>
      </c>
      <c r="B6" s="9"/>
      <c r="C6" s="183" t="s">
        <v>628</v>
      </c>
      <c r="D6" s="33"/>
      <c r="E6" s="34"/>
      <c r="F6" s="21"/>
      <c r="G6" s="21"/>
      <c r="H6" s="21"/>
      <c r="I6" s="21"/>
      <c r="J6" s="6"/>
    </row>
    <row r="7" spans="1:10" ht="15.75" thickBot="1">
      <c r="A7" s="21"/>
      <c r="B7" s="21"/>
      <c r="C7" s="21"/>
      <c r="D7" s="21"/>
      <c r="E7" s="21"/>
      <c r="F7" s="21"/>
      <c r="G7" s="21"/>
      <c r="H7" s="21"/>
      <c r="I7" s="21"/>
      <c r="J7" s="6"/>
    </row>
    <row r="8" spans="1:10">
      <c r="A8" s="23"/>
      <c r="B8" s="11"/>
      <c r="C8" s="11"/>
      <c r="D8" s="11"/>
      <c r="E8" s="12"/>
      <c r="F8" s="12"/>
      <c r="G8" s="12"/>
      <c r="H8" s="13"/>
      <c r="I8" s="21"/>
      <c r="J8" s="6"/>
    </row>
    <row r="9" spans="1:10">
      <c r="A9" s="24" t="s">
        <v>3</v>
      </c>
      <c r="C9" s="48" t="s">
        <v>20</v>
      </c>
      <c r="D9" s="55" t="s">
        <v>44</v>
      </c>
      <c r="E9" s="35"/>
      <c r="F9" s="35"/>
      <c r="G9" s="36"/>
      <c r="H9" s="17"/>
      <c r="I9" s="21"/>
      <c r="J9" s="6"/>
    </row>
    <row r="10" spans="1:10">
      <c r="A10" s="24"/>
      <c r="C10" s="48"/>
      <c r="D10" s="55" t="s">
        <v>45</v>
      </c>
      <c r="E10" s="37"/>
      <c r="F10" s="37"/>
      <c r="G10" s="38"/>
      <c r="H10" s="17"/>
      <c r="I10" s="21"/>
      <c r="J10" s="6"/>
    </row>
    <row r="11" spans="1:10">
      <c r="A11" s="24"/>
      <c r="C11" s="48" t="s">
        <v>21</v>
      </c>
      <c r="D11" s="55" t="s">
        <v>46</v>
      </c>
      <c r="E11" s="37"/>
      <c r="F11" s="37"/>
      <c r="G11" s="38"/>
      <c r="H11" s="17"/>
      <c r="I11" s="21"/>
      <c r="J11" s="6"/>
    </row>
    <row r="12" spans="1:10">
      <c r="A12" s="24"/>
      <c r="B12" s="46"/>
      <c r="C12" s="49" t="s">
        <v>22</v>
      </c>
      <c r="D12" s="56" t="s">
        <v>632</v>
      </c>
      <c r="E12" s="25" t="s">
        <v>23</v>
      </c>
      <c r="F12" s="39">
        <v>3170</v>
      </c>
      <c r="G12" s="14"/>
      <c r="H12" s="15"/>
      <c r="I12" s="21"/>
      <c r="J12" s="6"/>
    </row>
    <row r="13" spans="1:10">
      <c r="A13" s="24"/>
      <c r="B13" s="14"/>
      <c r="C13" s="48"/>
      <c r="D13" s="14"/>
      <c r="E13" s="14"/>
      <c r="F13" s="14"/>
      <c r="G13" s="14"/>
      <c r="H13" s="16"/>
      <c r="I13" s="21"/>
      <c r="J13" s="6"/>
    </row>
    <row r="14" spans="1:10">
      <c r="A14" s="24" t="s">
        <v>38</v>
      </c>
      <c r="B14" s="47"/>
      <c r="C14" s="48" t="s">
        <v>20</v>
      </c>
      <c r="D14" s="54" t="s">
        <v>52</v>
      </c>
      <c r="E14" s="41"/>
      <c r="F14" s="41"/>
      <c r="G14" s="42"/>
      <c r="H14" s="17"/>
      <c r="I14" s="21"/>
      <c r="J14" s="6"/>
    </row>
    <row r="15" spans="1:10">
      <c r="A15" s="24"/>
      <c r="B15" s="47"/>
      <c r="C15" s="48"/>
      <c r="D15" s="40"/>
      <c r="E15" s="41"/>
      <c r="F15" s="41"/>
      <c r="G15" s="42"/>
      <c r="H15" s="17"/>
      <c r="I15" s="21"/>
      <c r="J15" s="6"/>
    </row>
    <row r="16" spans="1:10">
      <c r="A16" s="24"/>
      <c r="C16" s="48" t="s">
        <v>21</v>
      </c>
      <c r="D16" s="52" t="s">
        <v>51</v>
      </c>
      <c r="E16" s="35"/>
      <c r="F16" s="35"/>
      <c r="G16" s="36"/>
      <c r="H16" s="17"/>
      <c r="I16" s="21"/>
      <c r="J16" s="6"/>
    </row>
    <row r="17" spans="1:10">
      <c r="A17" s="26"/>
      <c r="B17" s="46"/>
      <c r="C17" s="48" t="s">
        <v>22</v>
      </c>
      <c r="D17" s="58" t="s">
        <v>632</v>
      </c>
      <c r="E17" s="25" t="s">
        <v>23</v>
      </c>
      <c r="F17" s="39">
        <v>3149</v>
      </c>
      <c r="G17" s="14"/>
      <c r="H17" s="15"/>
      <c r="I17" s="21"/>
      <c r="J17" s="6"/>
    </row>
    <row r="18" spans="1:10" ht="15.75" thickBot="1">
      <c r="A18" s="27"/>
      <c r="B18" s="18"/>
      <c r="C18" s="18"/>
      <c r="D18" s="18"/>
      <c r="E18" s="19"/>
      <c r="F18" s="19"/>
      <c r="G18" s="19"/>
      <c r="H18" s="20"/>
      <c r="I18" s="21"/>
      <c r="J18" s="6"/>
    </row>
    <row r="19" spans="1:10">
      <c r="A19" s="23"/>
      <c r="B19" s="11"/>
      <c r="C19" s="11"/>
      <c r="D19" s="11"/>
      <c r="E19" s="12"/>
      <c r="F19" s="12"/>
      <c r="G19" s="12"/>
      <c r="H19" s="13"/>
      <c r="I19" s="21"/>
      <c r="J19" s="6"/>
    </row>
    <row r="20" spans="1:10">
      <c r="A20" s="24" t="s">
        <v>24</v>
      </c>
      <c r="B20" s="55" t="s">
        <v>50</v>
      </c>
      <c r="C20" s="43"/>
      <c r="D20" s="44"/>
      <c r="E20" s="44"/>
      <c r="F20" s="45"/>
      <c r="G20" s="14"/>
      <c r="H20" s="16"/>
      <c r="I20" s="21"/>
      <c r="J20" s="6"/>
    </row>
    <row r="21" spans="1:10">
      <c r="A21" s="24" t="s">
        <v>25</v>
      </c>
      <c r="B21" s="52"/>
      <c r="C21" s="35"/>
      <c r="D21" s="35"/>
      <c r="E21" s="35"/>
      <c r="F21" s="36"/>
      <c r="G21" s="14"/>
      <c r="H21" s="16"/>
      <c r="I21" s="21"/>
      <c r="J21" s="6"/>
    </row>
    <row r="22" spans="1:10">
      <c r="A22" s="24" t="s">
        <v>26</v>
      </c>
      <c r="B22" s="53"/>
      <c r="C22" s="35"/>
      <c r="D22" s="35"/>
      <c r="E22" s="35"/>
      <c r="F22" s="36"/>
      <c r="G22" s="14"/>
      <c r="H22" s="16"/>
      <c r="I22" s="21"/>
      <c r="J22" s="6"/>
    </row>
    <row r="23" spans="1:10" ht="15.75" thickBot="1">
      <c r="A23" s="27"/>
      <c r="B23" s="18"/>
      <c r="C23" s="18"/>
      <c r="D23" s="18"/>
      <c r="E23" s="19"/>
      <c r="F23" s="19"/>
      <c r="G23" s="19"/>
      <c r="H23" s="20"/>
      <c r="I23" s="21"/>
      <c r="J23" s="6"/>
    </row>
    <row r="24" spans="1:10">
      <c r="A24" s="21"/>
      <c r="B24" s="21"/>
      <c r="C24" s="21"/>
      <c r="D24" s="21"/>
      <c r="E24" s="21"/>
      <c r="F24" s="21"/>
      <c r="G24" s="21"/>
      <c r="H24" s="21"/>
      <c r="I24" s="21"/>
      <c r="J24" s="6"/>
    </row>
    <row r="25" spans="1:10">
      <c r="A25" s="174" t="s">
        <v>537</v>
      </c>
      <c r="B25" s="21" t="s">
        <v>538</v>
      </c>
      <c r="C25" s="21"/>
      <c r="D25" s="21"/>
      <c r="E25" s="21"/>
      <c r="F25" s="21"/>
      <c r="G25" s="21"/>
      <c r="H25" s="21"/>
      <c r="I25" s="21"/>
      <c r="J25" s="6"/>
    </row>
    <row r="26" spans="1:10">
      <c r="A26" s="175" t="s">
        <v>539</v>
      </c>
      <c r="B26" s="176" t="s">
        <v>540</v>
      </c>
      <c r="C26" s="57"/>
      <c r="D26" s="57"/>
      <c r="E26" s="57"/>
      <c r="F26" s="57"/>
      <c r="G26" s="57"/>
      <c r="H26" s="57"/>
    </row>
    <row r="27" spans="1:10">
      <c r="A27" s="175" t="s">
        <v>541</v>
      </c>
      <c r="B27" s="176" t="s">
        <v>633</v>
      </c>
      <c r="C27" s="57"/>
      <c r="D27" s="57"/>
      <c r="E27" s="57"/>
      <c r="F27" s="57"/>
      <c r="G27" s="57"/>
      <c r="H27" s="57"/>
    </row>
    <row r="28" spans="1:10">
      <c r="A28" s="175" t="s">
        <v>542</v>
      </c>
      <c r="B28" s="176">
        <v>2013</v>
      </c>
      <c r="C28" s="57"/>
      <c r="D28" s="57"/>
      <c r="E28" s="57"/>
      <c r="F28" s="57"/>
      <c r="G28" s="57"/>
      <c r="H28" s="57"/>
    </row>
    <row r="29" spans="1:10">
      <c r="A29" s="177" t="s">
        <v>543</v>
      </c>
      <c r="B29" s="176" t="s">
        <v>629</v>
      </c>
      <c r="C29" s="57"/>
      <c r="D29" s="57"/>
      <c r="E29" s="57"/>
      <c r="F29" s="57"/>
      <c r="G29" s="57"/>
      <c r="H29" s="57"/>
    </row>
    <row r="30" spans="1:10">
      <c r="A30" s="175" t="s">
        <v>544</v>
      </c>
      <c r="B30" s="176" t="s">
        <v>545</v>
      </c>
      <c r="C30" s="57"/>
      <c r="D30" s="57"/>
      <c r="E30" s="57"/>
      <c r="F30" s="57"/>
      <c r="G30" s="57"/>
      <c r="H30" s="57"/>
    </row>
    <row r="31" spans="1:10">
      <c r="A31" s="175" t="s">
        <v>546</v>
      </c>
      <c r="B31" s="176" t="s">
        <v>547</v>
      </c>
      <c r="C31" s="57"/>
      <c r="D31" s="57"/>
      <c r="E31" s="57"/>
      <c r="F31" s="57"/>
      <c r="G31" s="57"/>
      <c r="H31" s="57"/>
    </row>
    <row r="32" spans="1:10">
      <c r="A32" s="175" t="s">
        <v>548</v>
      </c>
      <c r="B32" s="176" t="s">
        <v>634</v>
      </c>
      <c r="C32" s="57"/>
      <c r="D32" s="57"/>
      <c r="E32" s="57"/>
      <c r="F32" s="57"/>
      <c r="G32" s="57"/>
      <c r="H32" s="57"/>
    </row>
    <row r="33" spans="1:8">
      <c r="A33" s="175" t="s">
        <v>549</v>
      </c>
      <c r="B33" s="176">
        <v>1</v>
      </c>
      <c r="C33" s="57"/>
      <c r="D33" s="57"/>
      <c r="E33" s="57"/>
      <c r="F33" s="57"/>
      <c r="G33" s="57"/>
      <c r="H33" s="57"/>
    </row>
    <row r="34" spans="1:8">
      <c r="A34" s="177" t="s">
        <v>550</v>
      </c>
      <c r="B34" t="s">
        <v>1025</v>
      </c>
      <c r="C34" s="57"/>
      <c r="D34" s="57"/>
      <c r="E34" s="57"/>
      <c r="F34" s="57"/>
      <c r="G34" s="57"/>
      <c r="H34" s="57"/>
    </row>
  </sheetData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30"/>
  <sheetViews>
    <sheetView showGridLines="0" workbookViewId="0">
      <selection activeCell="G15" sqref="G15"/>
    </sheetView>
  </sheetViews>
  <sheetFormatPr defaultRowHeight="15"/>
  <cols>
    <col min="1" max="1" width="4" customWidth="1"/>
  </cols>
  <sheetData>
    <row r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24" ht="20.25">
      <c r="B2" s="8" t="s">
        <v>17</v>
      </c>
      <c r="C2" s="2"/>
      <c r="D2" s="2"/>
      <c r="E2" s="2"/>
      <c r="F2" s="2"/>
      <c r="G2" s="2"/>
      <c r="H2" s="2"/>
      <c r="I2" s="2"/>
      <c r="J2" s="2"/>
      <c r="K2" s="2"/>
    </row>
    <row r="3" spans="1:24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4">
      <c r="A4" s="3"/>
      <c r="B4" s="2"/>
      <c r="C4" s="2"/>
      <c r="D4" s="2"/>
      <c r="E4" s="2"/>
      <c r="F4" s="2"/>
      <c r="G4" s="2"/>
      <c r="H4" s="2"/>
      <c r="I4" s="2"/>
      <c r="J4" s="2"/>
      <c r="K4" s="2"/>
    </row>
    <row r="5" spans="1:24">
      <c r="A5" s="3"/>
      <c r="B5" s="2"/>
      <c r="C5" s="2"/>
      <c r="D5" s="2"/>
      <c r="E5" s="2"/>
      <c r="F5" s="2"/>
      <c r="G5" s="2"/>
      <c r="H5" s="2"/>
      <c r="I5" s="2"/>
      <c r="J5" s="2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30"/>
    </row>
    <row r="6" spans="1:24">
      <c r="A6" s="2"/>
      <c r="B6" s="2"/>
      <c r="C6" s="2"/>
      <c r="D6" s="2"/>
      <c r="E6" s="2"/>
      <c r="F6" s="2"/>
      <c r="G6" s="2"/>
      <c r="H6" s="2"/>
      <c r="I6" s="2"/>
      <c r="J6" s="2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30"/>
    </row>
    <row r="7" spans="1:24">
      <c r="A7" s="2"/>
      <c r="B7" s="2"/>
      <c r="C7" s="2"/>
      <c r="D7" s="2"/>
      <c r="E7" s="2"/>
      <c r="F7" s="2"/>
      <c r="G7" s="2"/>
      <c r="H7" s="2"/>
      <c r="I7" s="2"/>
      <c r="J7" s="2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30"/>
    </row>
    <row r="8" spans="1:24">
      <c r="A8" s="2"/>
      <c r="B8" s="2"/>
      <c r="C8" s="2"/>
      <c r="D8" s="2"/>
      <c r="E8" s="2"/>
      <c r="F8" s="2"/>
      <c r="G8" s="2"/>
      <c r="H8" s="2"/>
      <c r="I8" s="2"/>
      <c r="J8" s="2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30"/>
    </row>
    <row r="9" spans="1:24">
      <c r="A9" s="2"/>
      <c r="B9" s="2"/>
      <c r="C9" s="2"/>
      <c r="D9" s="2"/>
      <c r="E9" s="2"/>
      <c r="F9" s="2"/>
      <c r="G9" s="2"/>
      <c r="H9" s="2"/>
      <c r="I9" s="2"/>
      <c r="J9" s="2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30"/>
    </row>
    <row r="10" spans="1:24">
      <c r="A10" s="2"/>
      <c r="B10" s="2"/>
      <c r="C10" s="2"/>
      <c r="D10" s="2"/>
      <c r="E10" s="2"/>
      <c r="F10" s="2"/>
      <c r="G10" s="2"/>
      <c r="H10" s="2"/>
      <c r="I10" s="2"/>
      <c r="J10" s="2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30"/>
    </row>
    <row r="11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30"/>
    </row>
    <row r="12" spans="1:24">
      <c r="A12" s="2"/>
      <c r="B12" s="2"/>
      <c r="C12" s="2"/>
      <c r="D12" s="2"/>
      <c r="E12" s="2"/>
      <c r="F12" s="2"/>
      <c r="G12" s="2"/>
      <c r="H12" s="2"/>
      <c r="I12" s="2"/>
      <c r="J12" s="2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30"/>
    </row>
    <row r="13" spans="1:24">
      <c r="A13" s="2"/>
      <c r="B13" s="2"/>
      <c r="C13" s="2"/>
      <c r="D13" s="2"/>
      <c r="E13" s="2"/>
      <c r="F13" s="2"/>
      <c r="G13" s="2"/>
      <c r="H13" s="2"/>
      <c r="I13" s="2"/>
      <c r="J13" s="2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30"/>
    </row>
    <row r="14" spans="1:24">
      <c r="A14" s="2"/>
      <c r="B14" s="2"/>
      <c r="C14" s="2"/>
      <c r="D14" s="2"/>
      <c r="E14" s="2"/>
      <c r="F14" s="2"/>
      <c r="G14" s="2"/>
      <c r="H14" s="2"/>
      <c r="I14" s="2"/>
      <c r="J14" s="2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</row>
    <row r="15" spans="1:24">
      <c r="A15" s="2"/>
      <c r="B15" s="2"/>
      <c r="C15" s="2"/>
      <c r="D15" s="2"/>
      <c r="E15" s="2"/>
      <c r="F15" s="2"/>
      <c r="G15" s="2"/>
      <c r="H15" s="2"/>
      <c r="I15" s="2"/>
      <c r="J15" s="2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</row>
    <row r="16" spans="1:24">
      <c r="A16" s="2"/>
      <c r="B16" s="2"/>
      <c r="C16" s="2"/>
      <c r="D16" s="2"/>
      <c r="E16" s="2"/>
      <c r="F16" s="2"/>
      <c r="G16" s="2"/>
      <c r="H16" s="2"/>
      <c r="I16" s="2"/>
      <c r="J16" s="2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</row>
    <row r="17" spans="1:23">
      <c r="A17" s="2"/>
      <c r="B17" s="2"/>
      <c r="C17" s="2"/>
      <c r="D17" s="2"/>
      <c r="E17" s="2"/>
      <c r="F17" s="2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</row>
    <row r="18" spans="1:23">
      <c r="A18" s="2"/>
      <c r="B18" s="2"/>
      <c r="C18" s="2"/>
      <c r="D18" s="2"/>
      <c r="E18" s="2"/>
      <c r="F18" s="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</row>
    <row r="19" spans="1:23">
      <c r="A19" s="2"/>
      <c r="B19" s="2"/>
      <c r="C19" s="2"/>
      <c r="D19" s="2"/>
      <c r="E19" s="2"/>
      <c r="F19" s="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</row>
    <row r="20" spans="1:23">
      <c r="A20" s="2"/>
      <c r="B20" s="2"/>
      <c r="C20" s="2"/>
      <c r="D20" s="2"/>
      <c r="E20" s="2"/>
      <c r="F20" s="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</row>
    <row r="21" spans="1:23">
      <c r="A21" s="2"/>
      <c r="B21" s="2"/>
      <c r="C21" s="2"/>
      <c r="D21" s="2"/>
      <c r="E21" s="2"/>
      <c r="F21" s="2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</row>
    <row r="22" spans="1:23">
      <c r="A22" s="2"/>
      <c r="B22" s="2"/>
      <c r="C22" s="2"/>
      <c r="D22" s="2"/>
      <c r="E22" s="2"/>
      <c r="F22" s="2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</row>
    <row r="23" spans="1:23">
      <c r="A23" s="2"/>
      <c r="B23" s="2"/>
      <c r="C23" s="2"/>
      <c r="D23" s="2"/>
      <c r="E23" s="2"/>
      <c r="F23" s="2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</row>
    <row r="24" spans="1:23">
      <c r="A24" s="2"/>
      <c r="B24" s="2"/>
      <c r="C24" s="2"/>
      <c r="D24" s="2"/>
      <c r="E24" s="2"/>
      <c r="F24" s="2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</row>
    <row r="25" spans="1:23">
      <c r="A25" s="2"/>
      <c r="B25" s="2"/>
      <c r="C25" s="2"/>
      <c r="D25" s="2"/>
      <c r="E25" s="2"/>
      <c r="F25" s="2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</row>
    <row r="26" spans="1:23">
      <c r="A26" s="2"/>
      <c r="B26" s="2"/>
      <c r="C26" s="2"/>
      <c r="D26" s="2"/>
      <c r="E26" s="2"/>
      <c r="F26" s="2"/>
    </row>
    <row r="27" spans="1:23">
      <c r="A27" s="2"/>
      <c r="B27" s="2"/>
      <c r="C27" s="2"/>
      <c r="D27" s="2"/>
      <c r="E27" s="2"/>
      <c r="F27" s="2"/>
    </row>
    <row r="28" spans="1:23">
      <c r="A28" s="2"/>
      <c r="B28" s="2"/>
      <c r="C28" s="2"/>
      <c r="D28" s="2"/>
      <c r="E28" s="2"/>
      <c r="F28" s="2"/>
    </row>
    <row r="29" spans="1:23">
      <c r="A29" s="2"/>
      <c r="B29" s="2"/>
      <c r="C29" s="2"/>
      <c r="D29" s="2"/>
      <c r="E29" s="2"/>
      <c r="F29" s="2"/>
    </row>
    <row r="30" spans="1:23">
      <c r="A30" s="2"/>
      <c r="B30" s="2"/>
      <c r="C30" s="2"/>
      <c r="D30" s="2"/>
      <c r="E30" s="2"/>
      <c r="F30" s="2"/>
    </row>
  </sheetData>
  <phoneticPr fontId="10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O284"/>
  <sheetViews>
    <sheetView zoomScale="70" zoomScaleNormal="70" workbookViewId="0">
      <selection activeCell="B20" sqref="B20"/>
    </sheetView>
  </sheetViews>
  <sheetFormatPr defaultRowHeight="15"/>
  <cols>
    <col min="1" max="1" width="18.42578125" style="57" bestFit="1" customWidth="1"/>
    <col min="2" max="2" width="90.140625" style="57" customWidth="1"/>
    <col min="3" max="3" width="9.140625" style="57"/>
    <col min="4" max="4" width="31.42578125" style="57" bestFit="1" customWidth="1"/>
    <col min="5" max="5" width="19.28515625" style="57" bestFit="1" customWidth="1"/>
    <col min="6" max="7" width="20.140625" style="57" bestFit="1" customWidth="1"/>
    <col min="8" max="8" width="19.7109375" style="57" bestFit="1" customWidth="1"/>
    <col min="9" max="10" width="20.140625" style="57" bestFit="1" customWidth="1"/>
    <col min="11" max="11" width="19.7109375" style="57" bestFit="1" customWidth="1"/>
    <col min="12" max="12" width="40.7109375" style="57" bestFit="1" customWidth="1"/>
    <col min="13" max="13" width="2.85546875" style="57" customWidth="1"/>
    <col min="14" max="14" width="33.42578125" style="57" bestFit="1" customWidth="1"/>
    <col min="15" max="16" width="18.28515625" style="57" bestFit="1" customWidth="1"/>
    <col min="17" max="17" width="17.85546875" style="57" bestFit="1" customWidth="1"/>
    <col min="18" max="18" width="18.28515625" style="57" bestFit="1" customWidth="1"/>
    <col min="19" max="19" width="17.42578125" style="57" bestFit="1" customWidth="1"/>
    <col min="20" max="21" width="17.85546875" style="57" bestFit="1" customWidth="1"/>
    <col min="22" max="22" width="40.7109375" style="57" bestFit="1" customWidth="1"/>
    <col min="23" max="23" width="9.140625" style="57"/>
    <col min="24" max="24" width="6.5703125" style="57" customWidth="1"/>
    <col min="25" max="25" width="11.85546875" style="57" customWidth="1"/>
    <col min="26" max="16384" width="9.140625" style="57"/>
  </cols>
  <sheetData>
    <row r="1" spans="1:41" ht="15.75">
      <c r="B1" s="4" t="s">
        <v>615</v>
      </c>
    </row>
    <row r="2" spans="1:41" ht="15.75">
      <c r="B2" s="4"/>
    </row>
    <row r="3" spans="1:41">
      <c r="B3" s="1" t="s">
        <v>15</v>
      </c>
      <c r="D3" s="1" t="s">
        <v>0</v>
      </c>
      <c r="N3" s="1" t="s">
        <v>16</v>
      </c>
    </row>
    <row r="4" spans="1:41" s="30" customFormat="1">
      <c r="A4" s="66"/>
      <c r="B4" s="67" t="s">
        <v>31</v>
      </c>
      <c r="C4" s="66"/>
      <c r="D4" s="68">
        <v>2006</v>
      </c>
      <c r="E4" s="68">
        <v>2007</v>
      </c>
      <c r="F4" s="68">
        <v>2008</v>
      </c>
      <c r="G4" s="68">
        <v>2009</v>
      </c>
      <c r="H4" s="68">
        <v>2010</v>
      </c>
      <c r="I4" s="68">
        <v>2011</v>
      </c>
      <c r="J4" s="68">
        <v>2012</v>
      </c>
      <c r="K4" s="68">
        <v>2013</v>
      </c>
      <c r="L4" s="50" t="s">
        <v>34</v>
      </c>
      <c r="M4" s="66"/>
      <c r="N4" s="68">
        <v>2006</v>
      </c>
      <c r="O4" s="68">
        <v>2007</v>
      </c>
      <c r="P4" s="68">
        <v>2008</v>
      </c>
      <c r="Q4" s="68">
        <v>2009</v>
      </c>
      <c r="R4" s="68">
        <v>2010</v>
      </c>
      <c r="S4" s="68">
        <v>2011</v>
      </c>
      <c r="T4" s="68">
        <v>2012</v>
      </c>
      <c r="U4" s="68">
        <v>2013</v>
      </c>
      <c r="V4" s="50" t="s">
        <v>34</v>
      </c>
    </row>
    <row r="5" spans="1:41" s="30" customFormat="1">
      <c r="A5" s="67" t="s">
        <v>14</v>
      </c>
      <c r="B5" s="67" t="s">
        <v>1</v>
      </c>
      <c r="C5" s="67" t="s">
        <v>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41" s="30" customFormat="1" ht="15.75">
      <c r="A6" s="29"/>
      <c r="B6" s="71" t="s">
        <v>600</v>
      </c>
      <c r="C6" s="60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7" spans="1:41" s="30" customFormat="1">
      <c r="A7" s="29" t="s">
        <v>512</v>
      </c>
      <c r="B7" s="59" t="s">
        <v>4</v>
      </c>
      <c r="C7" s="60" t="s">
        <v>630</v>
      </c>
      <c r="D7" s="61">
        <f>(15206.5885096701)*1000</f>
        <v>15206588.509670101</v>
      </c>
      <c r="E7" s="61">
        <f>(12373.24700145)*1000</f>
        <v>12373247.00145</v>
      </c>
      <c r="F7" s="61">
        <f>(12428.4076887401)*1000</f>
        <v>12428407.688740101</v>
      </c>
      <c r="G7" s="61">
        <f>(12372.87934212)*1000</f>
        <v>12372879.342120001</v>
      </c>
      <c r="H7" s="61">
        <f>(12434.23813277)*1000</f>
        <v>12434238.13277</v>
      </c>
      <c r="I7" s="61">
        <f>(13132.84965063)*1000</f>
        <v>13132849.650629999</v>
      </c>
      <c r="J7" s="61">
        <f>(13882.74756582)*1000</f>
        <v>13882747.565819999</v>
      </c>
      <c r="K7" s="61">
        <f>(14908.27877841)*1000</f>
        <v>14908278.778410001</v>
      </c>
      <c r="L7" s="62"/>
      <c r="M7" s="62"/>
      <c r="N7" s="61">
        <f t="shared" ref="N7:U15" si="0">(0)*1000</f>
        <v>0</v>
      </c>
      <c r="O7" s="61">
        <f t="shared" si="0"/>
        <v>0</v>
      </c>
      <c r="P7" s="61">
        <f t="shared" si="0"/>
        <v>0</v>
      </c>
      <c r="Q7" s="61">
        <f t="shared" si="0"/>
        <v>0</v>
      </c>
      <c r="R7" s="61">
        <f t="shared" si="0"/>
        <v>0</v>
      </c>
      <c r="S7" s="61">
        <f t="shared" si="0"/>
        <v>0</v>
      </c>
      <c r="T7" s="61">
        <f t="shared" si="0"/>
        <v>0</v>
      </c>
      <c r="U7" s="61">
        <f t="shared" si="0"/>
        <v>0</v>
      </c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</row>
    <row r="8" spans="1:41" s="30" customFormat="1">
      <c r="A8" s="29" t="s">
        <v>513</v>
      </c>
      <c r="B8" s="59" t="s">
        <v>5</v>
      </c>
      <c r="C8" s="60" t="s">
        <v>630</v>
      </c>
      <c r="D8" s="61">
        <f>(129161.967582596)*1000</f>
        <v>129161967.582596</v>
      </c>
      <c r="E8" s="61">
        <f>(144394.425834936)*1000</f>
        <v>144394425.83493599</v>
      </c>
      <c r="F8" s="61">
        <f>(153631.669934947)*1000</f>
        <v>153631669.93494698</v>
      </c>
      <c r="G8" s="61">
        <f>(156090.374452643)*1000</f>
        <v>156090374.45264301</v>
      </c>
      <c r="H8" s="61">
        <f>(158136.761224075)*1000</f>
        <v>158136761.22407499</v>
      </c>
      <c r="I8" s="61">
        <f>(160325.081706816)*1000</f>
        <v>160325081.70681602</v>
      </c>
      <c r="J8" s="61">
        <f>(168480.775747315)*1000</f>
        <v>168480775.74731499</v>
      </c>
      <c r="K8" s="61">
        <f>(174344.980593072)*1000</f>
        <v>174344980.593072</v>
      </c>
      <c r="L8" s="62"/>
      <c r="M8" s="62"/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61">
        <f t="shared" si="0"/>
        <v>0</v>
      </c>
      <c r="S8" s="61">
        <f t="shared" si="0"/>
        <v>0</v>
      </c>
      <c r="T8" s="61">
        <f t="shared" si="0"/>
        <v>0</v>
      </c>
      <c r="U8" s="61">
        <f t="shared" si="0"/>
        <v>0</v>
      </c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pans="1:41" s="30" customFormat="1">
      <c r="A9" s="29" t="s">
        <v>514</v>
      </c>
      <c r="B9" s="59" t="s">
        <v>6</v>
      </c>
      <c r="C9" s="60" t="s">
        <v>630</v>
      </c>
      <c r="D9" s="61">
        <f>(68192.0216378721)*1000</f>
        <v>68192021.6378721</v>
      </c>
      <c r="E9" s="61">
        <f>(63654.6898535191)*1000</f>
        <v>63654689.853519097</v>
      </c>
      <c r="F9" s="61">
        <f>(57693.8947803453)*1000</f>
        <v>57693894.780345298</v>
      </c>
      <c r="G9" s="61">
        <f>(51602.169491797)*1000</f>
        <v>51602169.491797</v>
      </c>
      <c r="H9" s="61">
        <f>(50558.8583033415)*1000</f>
        <v>50558858.3033415</v>
      </c>
      <c r="I9" s="61">
        <f>(51833.3918496528)*1000</f>
        <v>51833391.849652797</v>
      </c>
      <c r="J9" s="61">
        <f>(54430.4591948158)*1000</f>
        <v>54430459.1948158</v>
      </c>
      <c r="K9" s="61">
        <f>(57793.2311223699)*1000</f>
        <v>57793231.1223699</v>
      </c>
      <c r="L9" s="62"/>
      <c r="M9" s="62"/>
      <c r="N9" s="61">
        <f t="shared" si="0"/>
        <v>0</v>
      </c>
      <c r="O9" s="61">
        <f t="shared" si="0"/>
        <v>0</v>
      </c>
      <c r="P9" s="61">
        <f t="shared" si="0"/>
        <v>0</v>
      </c>
      <c r="Q9" s="61">
        <f t="shared" si="0"/>
        <v>0</v>
      </c>
      <c r="R9" s="61">
        <f t="shared" si="0"/>
        <v>0</v>
      </c>
      <c r="S9" s="61">
        <f t="shared" si="0"/>
        <v>0</v>
      </c>
      <c r="T9" s="61">
        <f t="shared" si="0"/>
        <v>0</v>
      </c>
      <c r="U9" s="61">
        <f t="shared" si="0"/>
        <v>0</v>
      </c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</row>
    <row r="10" spans="1:41" s="30" customFormat="1">
      <c r="A10" s="29" t="s">
        <v>515</v>
      </c>
      <c r="B10" s="59" t="s">
        <v>7</v>
      </c>
      <c r="C10" s="60" t="s">
        <v>630</v>
      </c>
      <c r="D10" s="61">
        <f>(0)*1000</f>
        <v>0</v>
      </c>
      <c r="E10" s="61">
        <f>(0)*1000</f>
        <v>0</v>
      </c>
      <c r="F10" s="61">
        <f>(0)*1000</f>
        <v>0</v>
      </c>
      <c r="G10" s="61">
        <f>(0)*1000</f>
        <v>0</v>
      </c>
      <c r="H10" s="61">
        <f>(75.9114060783943)*1000</f>
        <v>75911.406078394299</v>
      </c>
      <c r="I10" s="61">
        <f>(247.444006485554)*1000</f>
        <v>247444.00648555401</v>
      </c>
      <c r="J10" s="61">
        <f>(432.490001490385)*1000</f>
        <v>432490.00149038498</v>
      </c>
      <c r="K10" s="61">
        <f>(609.994181211725)*1000</f>
        <v>609994.18121172499</v>
      </c>
      <c r="L10" s="62"/>
      <c r="M10" s="62"/>
      <c r="N10" s="61">
        <f t="shared" si="0"/>
        <v>0</v>
      </c>
      <c r="O10" s="61">
        <f t="shared" si="0"/>
        <v>0</v>
      </c>
      <c r="P10" s="61">
        <f t="shared" si="0"/>
        <v>0</v>
      </c>
      <c r="Q10" s="61">
        <f t="shared" si="0"/>
        <v>0</v>
      </c>
      <c r="R10" s="61">
        <f t="shared" si="0"/>
        <v>0</v>
      </c>
      <c r="S10" s="61">
        <f t="shared" si="0"/>
        <v>0</v>
      </c>
      <c r="T10" s="61">
        <f t="shared" si="0"/>
        <v>0</v>
      </c>
      <c r="U10" s="61">
        <f t="shared" si="0"/>
        <v>0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</row>
    <row r="11" spans="1:41" s="30" customFormat="1">
      <c r="A11" s="29" t="s">
        <v>516</v>
      </c>
      <c r="B11" s="59" t="s">
        <v>8</v>
      </c>
      <c r="C11" s="60" t="s">
        <v>630</v>
      </c>
      <c r="D11" s="61">
        <f>(18013.8774598944)*1000</f>
        <v>18013877.4598944</v>
      </c>
      <c r="E11" s="61">
        <f>(21346.1587987442)*1000</f>
        <v>21346158.798744202</v>
      </c>
      <c r="F11" s="61">
        <f>(18882.0317052298)*1000</f>
        <v>18882031.7052298</v>
      </c>
      <c r="G11" s="61">
        <f>(17922.0126991598)*1000</f>
        <v>17922012.699159801</v>
      </c>
      <c r="H11" s="61">
        <f>(18267.8525532358)*1000</f>
        <v>18267852.553235799</v>
      </c>
      <c r="I11" s="61">
        <f>(19525.0824036268)*1000</f>
        <v>19525082.4036268</v>
      </c>
      <c r="J11" s="61">
        <f>(20939.8951925633)*1000</f>
        <v>20939895.192563303</v>
      </c>
      <c r="K11" s="61">
        <f>(23031.7160720738)*1000</f>
        <v>23031716.072073799</v>
      </c>
      <c r="L11" s="62"/>
      <c r="M11" s="62"/>
      <c r="N11" s="61">
        <f t="shared" si="0"/>
        <v>0</v>
      </c>
      <c r="O11" s="61">
        <f t="shared" si="0"/>
        <v>0</v>
      </c>
      <c r="P11" s="61">
        <f t="shared" si="0"/>
        <v>0</v>
      </c>
      <c r="Q11" s="61">
        <f t="shared" si="0"/>
        <v>0</v>
      </c>
      <c r="R11" s="61">
        <f t="shared" si="0"/>
        <v>0</v>
      </c>
      <c r="S11" s="61">
        <f t="shared" si="0"/>
        <v>0</v>
      </c>
      <c r="T11" s="61">
        <f t="shared" si="0"/>
        <v>0</v>
      </c>
      <c r="U11" s="61">
        <f t="shared" si="0"/>
        <v>0</v>
      </c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</row>
    <row r="12" spans="1:41" s="30" customFormat="1">
      <c r="A12" s="29" t="s">
        <v>517</v>
      </c>
      <c r="B12" s="59" t="s">
        <v>39</v>
      </c>
      <c r="C12" s="60" t="s">
        <v>630</v>
      </c>
      <c r="D12" s="61">
        <f>(3880.33436240142)*1000</f>
        <v>3880334.3624014203</v>
      </c>
      <c r="E12" s="61">
        <f>(3112.50819768329)*1000</f>
        <v>3112508.1976832896</v>
      </c>
      <c r="F12" s="61">
        <f>(2760.48654998565)*1000</f>
        <v>2760486.54998565</v>
      </c>
      <c r="G12" s="61">
        <f>(2568.11193427985)*1000</f>
        <v>2568111.9342798502</v>
      </c>
      <c r="H12" s="61">
        <f>(2405.13367396217)*1000</f>
        <v>2405133.6739621703</v>
      </c>
      <c r="I12" s="61">
        <f>(2334.56383857902)*1000</f>
        <v>2334563.83857902</v>
      </c>
      <c r="J12" s="61">
        <f>(2236.74011854916)*1000</f>
        <v>2236740.1185491597</v>
      </c>
      <c r="K12" s="61">
        <f>(1853.28160066132)*1000</f>
        <v>1853281.6006613199</v>
      </c>
      <c r="L12" s="62"/>
      <c r="M12" s="62"/>
      <c r="N12" s="61">
        <f t="shared" si="0"/>
        <v>0</v>
      </c>
      <c r="O12" s="61">
        <f t="shared" si="0"/>
        <v>0</v>
      </c>
      <c r="P12" s="61">
        <f t="shared" si="0"/>
        <v>0</v>
      </c>
      <c r="Q12" s="61">
        <f t="shared" si="0"/>
        <v>0</v>
      </c>
      <c r="R12" s="61">
        <f t="shared" si="0"/>
        <v>0</v>
      </c>
      <c r="S12" s="61">
        <f t="shared" si="0"/>
        <v>0</v>
      </c>
      <c r="T12" s="61">
        <f t="shared" si="0"/>
        <v>0</v>
      </c>
      <c r="U12" s="61">
        <f t="shared" si="0"/>
        <v>0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</row>
    <row r="13" spans="1:41" s="30" customFormat="1">
      <c r="A13" s="29" t="s">
        <v>518</v>
      </c>
      <c r="B13" s="59" t="s">
        <v>33</v>
      </c>
      <c r="C13" s="60" t="s">
        <v>630</v>
      </c>
      <c r="D13" s="61">
        <f>(2937.07848901661)*1000</f>
        <v>2937078.4890166102</v>
      </c>
      <c r="E13" s="61">
        <f>(2938.57452762133)*1000</f>
        <v>2938574.5276213302</v>
      </c>
      <c r="F13" s="61">
        <f>(3035.27233199952)*1000</f>
        <v>3035272.3319995198</v>
      </c>
      <c r="G13" s="61">
        <f>(2853.82366422655)*1000</f>
        <v>2853823.6642265501</v>
      </c>
      <c r="H13" s="61">
        <f>(2287.68424636284)*1000</f>
        <v>2287684.2463628398</v>
      </c>
      <c r="I13" s="61">
        <f>(2437.86735254023)*1000</f>
        <v>2437867.3525402299</v>
      </c>
      <c r="J13" s="61">
        <f>(2515.85227379336)*1000</f>
        <v>2515852.2737933598</v>
      </c>
      <c r="K13" s="61">
        <f>(2676.87605932921)*1000</f>
        <v>2676876.0593292098</v>
      </c>
      <c r="L13" s="62"/>
      <c r="M13" s="62"/>
      <c r="N13" s="61">
        <f t="shared" si="0"/>
        <v>0</v>
      </c>
      <c r="O13" s="61">
        <f t="shared" si="0"/>
        <v>0</v>
      </c>
      <c r="P13" s="61">
        <f t="shared" si="0"/>
        <v>0</v>
      </c>
      <c r="Q13" s="61">
        <f t="shared" si="0"/>
        <v>0</v>
      </c>
      <c r="R13" s="61">
        <f t="shared" si="0"/>
        <v>0</v>
      </c>
      <c r="S13" s="61">
        <f t="shared" si="0"/>
        <v>0</v>
      </c>
      <c r="T13" s="61">
        <f t="shared" si="0"/>
        <v>0</v>
      </c>
      <c r="U13" s="61">
        <f t="shared" si="0"/>
        <v>0</v>
      </c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</row>
    <row r="14" spans="1:41" s="30" customFormat="1">
      <c r="A14" s="29" t="s">
        <v>519</v>
      </c>
      <c r="B14" s="59" t="s">
        <v>9</v>
      </c>
      <c r="C14" s="60" t="s">
        <v>630</v>
      </c>
      <c r="D14" s="61">
        <f t="shared" ref="D14:K14" si="1">(0)*1000</f>
        <v>0</v>
      </c>
      <c r="E14" s="61">
        <f t="shared" si="1"/>
        <v>0</v>
      </c>
      <c r="F14" s="61">
        <f t="shared" si="1"/>
        <v>0</v>
      </c>
      <c r="G14" s="61">
        <f t="shared" si="1"/>
        <v>0</v>
      </c>
      <c r="H14" s="61">
        <f t="shared" si="1"/>
        <v>0</v>
      </c>
      <c r="I14" s="61">
        <f t="shared" si="1"/>
        <v>0</v>
      </c>
      <c r="J14" s="61">
        <f t="shared" si="1"/>
        <v>0</v>
      </c>
      <c r="K14" s="61">
        <f t="shared" si="1"/>
        <v>0</v>
      </c>
      <c r="L14" s="62"/>
      <c r="M14" s="62"/>
      <c r="N14" s="61">
        <f t="shared" si="0"/>
        <v>0</v>
      </c>
      <c r="O14" s="61">
        <f t="shared" si="0"/>
        <v>0</v>
      </c>
      <c r="P14" s="61">
        <f t="shared" si="0"/>
        <v>0</v>
      </c>
      <c r="Q14" s="61">
        <f t="shared" si="0"/>
        <v>0</v>
      </c>
      <c r="R14" s="61">
        <f t="shared" si="0"/>
        <v>0</v>
      </c>
      <c r="S14" s="61">
        <f t="shared" si="0"/>
        <v>0</v>
      </c>
      <c r="T14" s="61">
        <f t="shared" si="0"/>
        <v>0</v>
      </c>
      <c r="U14" s="61">
        <f t="shared" si="0"/>
        <v>0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</row>
    <row r="15" spans="1:41" s="30" customFormat="1">
      <c r="A15" s="29" t="s">
        <v>520</v>
      </c>
      <c r="B15" s="59" t="s">
        <v>10</v>
      </c>
      <c r="C15" s="60" t="s">
        <v>630</v>
      </c>
      <c r="D15" s="61">
        <f>(45739.1319585493)*1000</f>
        <v>45739131.958549298</v>
      </c>
      <c r="E15" s="61">
        <f>(47314.5862244367)*1000</f>
        <v>47314586.2244367</v>
      </c>
      <c r="F15" s="61">
        <f>(49291.3239108447)*1000</f>
        <v>49291323.910844699</v>
      </c>
      <c r="G15" s="61">
        <f>(51671.1592517142)*1000</f>
        <v>51671159.2517142</v>
      </c>
      <c r="H15" s="61">
        <f>(55687.7081784374)*1000</f>
        <v>55687708.178437404</v>
      </c>
      <c r="I15" s="61">
        <f>(57424.3650327883)*1000</f>
        <v>57424365.032788299</v>
      </c>
      <c r="J15" s="61">
        <f>(61037.5002518951)*1000</f>
        <v>61037500.2518951</v>
      </c>
      <c r="K15" s="61">
        <f>(67801.0415928721)*1000</f>
        <v>67801041.592872098</v>
      </c>
      <c r="L15" s="62"/>
      <c r="M15" s="62"/>
      <c r="N15" s="61">
        <f t="shared" si="0"/>
        <v>0</v>
      </c>
      <c r="O15" s="61">
        <f t="shared" si="0"/>
        <v>0</v>
      </c>
      <c r="P15" s="61">
        <f t="shared" si="0"/>
        <v>0</v>
      </c>
      <c r="Q15" s="61">
        <f t="shared" si="0"/>
        <v>0</v>
      </c>
      <c r="R15" s="61">
        <f t="shared" si="0"/>
        <v>0</v>
      </c>
      <c r="S15" s="61">
        <f t="shared" si="0"/>
        <v>0</v>
      </c>
      <c r="T15" s="61">
        <f t="shared" si="0"/>
        <v>0</v>
      </c>
      <c r="U15" s="61">
        <f t="shared" si="0"/>
        <v>0</v>
      </c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</row>
    <row r="16" spans="1:41" s="30" customFormat="1">
      <c r="A16" s="29" t="s">
        <v>521</v>
      </c>
      <c r="B16" s="59" t="s">
        <v>35</v>
      </c>
      <c r="C16" s="60" t="s">
        <v>630</v>
      </c>
      <c r="D16" s="61">
        <f t="shared" ref="D16:K19" si="2">(0)*1000</f>
        <v>0</v>
      </c>
      <c r="E16" s="61">
        <f t="shared" si="2"/>
        <v>0</v>
      </c>
      <c r="F16" s="61">
        <f t="shared" si="2"/>
        <v>0</v>
      </c>
      <c r="G16" s="61">
        <f t="shared" si="2"/>
        <v>0</v>
      </c>
      <c r="H16" s="61">
        <f t="shared" si="2"/>
        <v>0</v>
      </c>
      <c r="I16" s="61">
        <f t="shared" si="2"/>
        <v>0</v>
      </c>
      <c r="J16" s="61">
        <f t="shared" si="2"/>
        <v>0</v>
      </c>
      <c r="K16" s="61">
        <f t="shared" si="2"/>
        <v>0</v>
      </c>
      <c r="L16" s="62"/>
      <c r="M16" s="62"/>
      <c r="N16" s="61">
        <f>(1600.16645)*1000</f>
        <v>1600166.45</v>
      </c>
      <c r="O16" s="61">
        <f>(1179)*1000</f>
        <v>1179000</v>
      </c>
      <c r="P16" s="61">
        <f>(962.9656)*1000</f>
        <v>962965.6</v>
      </c>
      <c r="Q16" s="61">
        <f>(1030.73394)*1000</f>
        <v>1030733.9400000001</v>
      </c>
      <c r="R16" s="61">
        <f>(886.34146)*1000</f>
        <v>886341.46</v>
      </c>
      <c r="S16" s="61">
        <f>(419.71966)*1000</f>
        <v>419719.66</v>
      </c>
      <c r="T16" s="61">
        <f>(761.23756)*1000</f>
        <v>761237.56</v>
      </c>
      <c r="U16" s="61">
        <f>(590.01613)*1000</f>
        <v>590016.13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</row>
    <row r="17" spans="1:41" s="30" customFormat="1">
      <c r="A17" s="29" t="s">
        <v>522</v>
      </c>
      <c r="B17" s="59" t="s">
        <v>36</v>
      </c>
      <c r="C17" s="60" t="s">
        <v>630</v>
      </c>
      <c r="D17" s="61">
        <f t="shared" si="2"/>
        <v>0</v>
      </c>
      <c r="E17" s="61">
        <f t="shared" si="2"/>
        <v>0</v>
      </c>
      <c r="F17" s="61">
        <f t="shared" si="2"/>
        <v>0</v>
      </c>
      <c r="G17" s="61">
        <f t="shared" si="2"/>
        <v>0</v>
      </c>
      <c r="H17" s="61">
        <f t="shared" si="2"/>
        <v>0</v>
      </c>
      <c r="I17" s="61">
        <f t="shared" si="2"/>
        <v>0</v>
      </c>
      <c r="J17" s="61">
        <f t="shared" si="2"/>
        <v>0</v>
      </c>
      <c r="K17" s="61">
        <f t="shared" si="2"/>
        <v>0</v>
      </c>
      <c r="L17" s="62"/>
      <c r="M17" s="62"/>
      <c r="N17" s="61">
        <f>(7584.49268)*1000</f>
        <v>7584492.6800000006</v>
      </c>
      <c r="O17" s="61">
        <f>(9722)*1000</f>
        <v>9722000</v>
      </c>
      <c r="P17" s="61">
        <f>(10068.94881)*1000</f>
        <v>10068948.810000001</v>
      </c>
      <c r="Q17" s="61">
        <f>(9502.55992)*1000</f>
        <v>9502559.9199999999</v>
      </c>
      <c r="R17" s="61">
        <f>(10654.94897)*1000</f>
        <v>10654948.969999999</v>
      </c>
      <c r="S17" s="61">
        <f>(11559.48808)*1000</f>
        <v>11559488.08</v>
      </c>
      <c r="T17" s="61">
        <f>(11079.2533)*1000</f>
        <v>11079253.300000001</v>
      </c>
      <c r="U17" s="61">
        <f>(9061.51477)*1000</f>
        <v>9061514.7699999996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</row>
    <row r="18" spans="1:41" s="30" customFormat="1">
      <c r="A18" s="29" t="s">
        <v>523</v>
      </c>
      <c r="B18" s="59" t="s">
        <v>37</v>
      </c>
      <c r="C18" s="60" t="s">
        <v>630</v>
      </c>
      <c r="D18" s="61">
        <f t="shared" si="2"/>
        <v>0</v>
      </c>
      <c r="E18" s="61">
        <f t="shared" si="2"/>
        <v>0</v>
      </c>
      <c r="F18" s="61">
        <f t="shared" si="2"/>
        <v>0</v>
      </c>
      <c r="G18" s="61">
        <f t="shared" si="2"/>
        <v>0</v>
      </c>
      <c r="H18" s="61">
        <f t="shared" si="2"/>
        <v>0</v>
      </c>
      <c r="I18" s="61">
        <f t="shared" si="2"/>
        <v>0</v>
      </c>
      <c r="J18" s="61">
        <f t="shared" si="2"/>
        <v>0</v>
      </c>
      <c r="K18" s="61">
        <f t="shared" si="2"/>
        <v>0</v>
      </c>
      <c r="L18" s="62"/>
      <c r="M18" s="62"/>
      <c r="N18" s="61">
        <f>(3794.76249)*1000</f>
        <v>3794762.49</v>
      </c>
      <c r="O18" s="61">
        <f>(3833.09228)*1000</f>
        <v>3833092.28</v>
      </c>
      <c r="P18" s="61">
        <f>(4511.62445)*1000</f>
        <v>4511624.45</v>
      </c>
      <c r="Q18" s="61">
        <f>(4718.1683)*1000</f>
        <v>4718168.3</v>
      </c>
      <c r="R18" s="61">
        <f>(5014.80207)*1000</f>
        <v>5014802.0699999994</v>
      </c>
      <c r="S18" s="61">
        <f>(6533.96798)*1000</f>
        <v>6533967.9800000004</v>
      </c>
      <c r="T18" s="61">
        <f>(7190.85568)*1000</f>
        <v>7190855.6799999997</v>
      </c>
      <c r="U18" s="61">
        <f>(7244.9366)*1000</f>
        <v>7244936.5999999996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</row>
    <row r="19" spans="1:41" s="30" customFormat="1">
      <c r="A19" s="29" t="s">
        <v>524</v>
      </c>
      <c r="B19" s="59" t="s">
        <v>11</v>
      </c>
      <c r="C19" s="60" t="s">
        <v>630</v>
      </c>
      <c r="D19" s="61">
        <f t="shared" si="2"/>
        <v>0</v>
      </c>
      <c r="E19" s="61">
        <f t="shared" si="2"/>
        <v>0</v>
      </c>
      <c r="F19" s="61">
        <f t="shared" si="2"/>
        <v>0</v>
      </c>
      <c r="G19" s="61">
        <f t="shared" si="2"/>
        <v>0</v>
      </c>
      <c r="H19" s="61">
        <f t="shared" si="2"/>
        <v>0</v>
      </c>
      <c r="I19" s="61">
        <f t="shared" si="2"/>
        <v>0</v>
      </c>
      <c r="J19" s="61">
        <f t="shared" si="2"/>
        <v>0</v>
      </c>
      <c r="K19" s="61">
        <f t="shared" si="2"/>
        <v>0</v>
      </c>
      <c r="L19" s="62"/>
      <c r="M19" s="62"/>
      <c r="N19" s="61">
        <f>(15)*1000</f>
        <v>15000</v>
      </c>
      <c r="O19" s="61">
        <f>(0)*1000</f>
        <v>0</v>
      </c>
      <c r="P19" s="61">
        <f>(0)*1000</f>
        <v>0</v>
      </c>
      <c r="Q19" s="61">
        <f>(15)*1000</f>
        <v>15000</v>
      </c>
      <c r="R19" s="61">
        <f>(0)*1000</f>
        <v>0</v>
      </c>
      <c r="S19" s="61">
        <f>(68.41141)*1000</f>
        <v>68411.41</v>
      </c>
      <c r="T19" s="61">
        <f>(43.97166)*1000</f>
        <v>43971.66</v>
      </c>
      <c r="U19" s="61">
        <f>(490.60981)*1000</f>
        <v>490609.81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</row>
    <row r="20" spans="1:41" s="30" customFormat="1">
      <c r="A20" s="29"/>
      <c r="B20" s="63" t="s">
        <v>13</v>
      </c>
      <c r="C20" s="60" t="s">
        <v>630</v>
      </c>
      <c r="D20" s="64">
        <f>(283131)*1000</f>
        <v>283131000</v>
      </c>
      <c r="E20" s="64">
        <f>(295134.19043839)*1000</f>
        <v>295134190.43839002</v>
      </c>
      <c r="F20" s="64">
        <f>(297723.086902092)*1000</f>
        <v>297723086.90209198</v>
      </c>
      <c r="G20" s="64">
        <f>(295080.530835941)*1000</f>
        <v>295080530.83594102</v>
      </c>
      <c r="H20" s="64">
        <f>(299854.147718263)*1000</f>
        <v>299854147.71826297</v>
      </c>
      <c r="I20" s="64">
        <f>(307260.645841119)*1000</f>
        <v>307260645.84111899</v>
      </c>
      <c r="J20" s="64">
        <f>(323956.460346242)*1000</f>
        <v>323956460.34624201</v>
      </c>
      <c r="K20" s="64">
        <f>(343019.4)*1000</f>
        <v>343019400</v>
      </c>
      <c r="L20" s="70"/>
      <c r="M20" s="70"/>
      <c r="N20" s="64">
        <f>(12994.42162)*1000</f>
        <v>12994421.619999999</v>
      </c>
      <c r="O20" s="64">
        <f>(14734.09228)*1000</f>
        <v>14734092.280000001</v>
      </c>
      <c r="P20" s="64">
        <f>(15543.53886)*1000</f>
        <v>15543538.860000001</v>
      </c>
      <c r="Q20" s="64">
        <f>(15266.46216)*1000</f>
        <v>15266462.159999998</v>
      </c>
      <c r="R20" s="64">
        <f>(16556.0925)*1000</f>
        <v>16556092.499999998</v>
      </c>
      <c r="S20" s="64">
        <f>(18581.58713)*1000</f>
        <v>18581587.129999999</v>
      </c>
      <c r="T20" s="64">
        <f>(19075.3182)*1000</f>
        <v>19075318.200000003</v>
      </c>
      <c r="U20" s="64">
        <f>(17387.07731)*1000</f>
        <v>17387077.310000002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</row>
    <row r="21" spans="1:41" s="30" customFormat="1">
      <c r="A21" s="29"/>
      <c r="B21" s="63"/>
      <c r="C21" s="60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</row>
    <row r="22" spans="1:41" s="30" customFormat="1" ht="15.75">
      <c r="A22" s="29"/>
      <c r="B22" s="71" t="s">
        <v>601</v>
      </c>
      <c r="C22" s="60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</row>
    <row r="23" spans="1:41" s="30" customFormat="1">
      <c r="A23" s="29" t="s">
        <v>525</v>
      </c>
      <c r="B23" s="59" t="s">
        <v>32</v>
      </c>
      <c r="C23" s="60" t="s">
        <v>630</v>
      </c>
      <c r="D23" s="61">
        <f>(125152)*1000</f>
        <v>125152000</v>
      </c>
      <c r="E23" s="61">
        <f>(132724.93500525)*1000</f>
        <v>132724935.00525001</v>
      </c>
      <c r="F23" s="61">
        <f>(139243.119084524)*1000</f>
        <v>139243119.08452398</v>
      </c>
      <c r="G23" s="61">
        <f>(141291.4496)*1000</f>
        <v>141291449.59999999</v>
      </c>
      <c r="H23" s="61">
        <f>(141062.556560821)*1000</f>
        <v>141062556.560821</v>
      </c>
      <c r="I23" s="61">
        <f>(145446.680341144)*1000</f>
        <v>145446680.341144</v>
      </c>
      <c r="J23" s="61">
        <f>(152660.7677321)*1000</f>
        <v>152660767.73210001</v>
      </c>
      <c r="K23" s="61">
        <f>(158763.476798701)*1000</f>
        <v>158763476.79870102</v>
      </c>
      <c r="L23" s="62"/>
      <c r="M23" s="62"/>
      <c r="N23" s="61">
        <f t="shared" ref="N23:U27" si="3">(0)*1000</f>
        <v>0</v>
      </c>
      <c r="O23" s="61">
        <f t="shared" si="3"/>
        <v>0</v>
      </c>
      <c r="P23" s="61">
        <f t="shared" si="3"/>
        <v>0</v>
      </c>
      <c r="Q23" s="61">
        <f t="shared" si="3"/>
        <v>0</v>
      </c>
      <c r="R23" s="61">
        <f t="shared" si="3"/>
        <v>0</v>
      </c>
      <c r="S23" s="61">
        <f t="shared" si="3"/>
        <v>0</v>
      </c>
      <c r="T23" s="61">
        <f t="shared" si="3"/>
        <v>0</v>
      </c>
      <c r="U23" s="61">
        <f t="shared" si="3"/>
        <v>0</v>
      </c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</row>
    <row r="24" spans="1:41" s="30" customFormat="1">
      <c r="A24" s="29" t="s">
        <v>526</v>
      </c>
      <c r="B24" s="59" t="s">
        <v>40</v>
      </c>
      <c r="C24" s="60" t="s">
        <v>630</v>
      </c>
      <c r="D24" s="61">
        <f>(83720)*1000</f>
        <v>83720000</v>
      </c>
      <c r="E24" s="61">
        <f>(82396.3323654395)*1000</f>
        <v>82396332.365439504</v>
      </c>
      <c r="F24" s="61">
        <f>(79047.3973684256)*1000</f>
        <v>79047397.368425608</v>
      </c>
      <c r="G24" s="61">
        <f>(72565.7050724819)*1000</f>
        <v>72565705.0724819</v>
      </c>
      <c r="H24" s="61">
        <f>(70842.2521326628)*1000</f>
        <v>70842252.132662803</v>
      </c>
      <c r="I24" s="61">
        <f>(71668.8318699412)*1000</f>
        <v>71668831.869941205</v>
      </c>
      <c r="J24" s="61">
        <f>(74883.7087358046)*1000</f>
        <v>74883708.735804603</v>
      </c>
      <c r="K24" s="61">
        <f>(79034.8911785888)*1000</f>
        <v>79034891.178588808</v>
      </c>
      <c r="L24" s="62"/>
      <c r="M24" s="62"/>
      <c r="N24" s="61">
        <f t="shared" si="3"/>
        <v>0</v>
      </c>
      <c r="O24" s="61">
        <f t="shared" si="3"/>
        <v>0</v>
      </c>
      <c r="P24" s="61">
        <f t="shared" si="3"/>
        <v>0</v>
      </c>
      <c r="Q24" s="61">
        <f t="shared" si="3"/>
        <v>0</v>
      </c>
      <c r="R24" s="61">
        <f t="shared" si="3"/>
        <v>0</v>
      </c>
      <c r="S24" s="61">
        <f t="shared" si="3"/>
        <v>0</v>
      </c>
      <c r="T24" s="61">
        <f t="shared" si="3"/>
        <v>0</v>
      </c>
      <c r="U24" s="61">
        <f t="shared" si="3"/>
        <v>0</v>
      </c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</row>
    <row r="25" spans="1:41" s="30" customFormat="1">
      <c r="A25" s="29" t="s">
        <v>527</v>
      </c>
      <c r="B25" s="59" t="s">
        <v>41</v>
      </c>
      <c r="C25" s="60" t="s">
        <v>630</v>
      </c>
      <c r="D25" s="61">
        <f>(52846)*1000</f>
        <v>52846000</v>
      </c>
      <c r="E25" s="61">
        <f>(58594.1345325153)*1000</f>
        <v>58594134.532515302</v>
      </c>
      <c r="F25" s="61">
        <f>(64604.3861041237)*1000</f>
        <v>64604386.104123704</v>
      </c>
      <c r="G25" s="61">
        <f>(65413.1029356813)*1000</f>
        <v>65413102.935681298</v>
      </c>
      <c r="H25" s="61">
        <f>(73097.3141038045)*1000</f>
        <v>73097314.103804499</v>
      </c>
      <c r="I25" s="61">
        <f>(74873.4509019564)*1000</f>
        <v>74873450.901956394</v>
      </c>
      <c r="J25" s="61">
        <f>(79714.0872841993)*1000</f>
        <v>79714087.284199297</v>
      </c>
      <c r="K25" s="61">
        <f>(87025.0199781617)*1000</f>
        <v>87025019.978161693</v>
      </c>
      <c r="L25" s="62"/>
      <c r="M25" s="62"/>
      <c r="N25" s="61">
        <f t="shared" si="3"/>
        <v>0</v>
      </c>
      <c r="O25" s="61">
        <f t="shared" si="3"/>
        <v>0</v>
      </c>
      <c r="P25" s="61">
        <f t="shared" si="3"/>
        <v>0</v>
      </c>
      <c r="Q25" s="61">
        <f t="shared" si="3"/>
        <v>0</v>
      </c>
      <c r="R25" s="61">
        <f t="shared" si="3"/>
        <v>0</v>
      </c>
      <c r="S25" s="61">
        <f t="shared" si="3"/>
        <v>0</v>
      </c>
      <c r="T25" s="61">
        <f t="shared" si="3"/>
        <v>0</v>
      </c>
      <c r="U25" s="61">
        <f t="shared" si="3"/>
        <v>0</v>
      </c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</row>
    <row r="26" spans="1:41" s="30" customFormat="1">
      <c r="A26" s="29" t="s">
        <v>528</v>
      </c>
      <c r="B26" s="59" t="s">
        <v>42</v>
      </c>
      <c r="C26" s="60" t="s">
        <v>630</v>
      </c>
      <c r="D26" s="61">
        <f>(18507)*1000</f>
        <v>18507000</v>
      </c>
      <c r="E26" s="61">
        <f>(18553.8364683009)*1000</f>
        <v>18553836.468300898</v>
      </c>
      <c r="F26" s="61">
        <f>(11664.5171212291)*1000</f>
        <v>11664517.121229101</v>
      </c>
      <c r="G26" s="61">
        <f>(12946.6260034849)*1000</f>
        <v>12946626.003484901</v>
      </c>
      <c r="H26" s="61">
        <f>(12562.4572605575)*1000</f>
        <v>12562457.260557499</v>
      </c>
      <c r="I26" s="61">
        <f>(12848.6780098354)*1000</f>
        <v>12848678.0098354</v>
      </c>
      <c r="J26" s="61">
        <f>(14159.4169916268)*1000</f>
        <v>14159416.991626801</v>
      </c>
      <c r="K26" s="61">
        <f>(15512.9303287922)*1000</f>
        <v>15512930.328792199</v>
      </c>
      <c r="L26" s="62"/>
      <c r="M26" s="62"/>
      <c r="N26" s="61">
        <f t="shared" si="3"/>
        <v>0</v>
      </c>
      <c r="O26" s="61">
        <f t="shared" si="3"/>
        <v>0</v>
      </c>
      <c r="P26" s="61">
        <f t="shared" si="3"/>
        <v>0</v>
      </c>
      <c r="Q26" s="61">
        <f t="shared" si="3"/>
        <v>0</v>
      </c>
      <c r="R26" s="61">
        <f t="shared" si="3"/>
        <v>0</v>
      </c>
      <c r="S26" s="61">
        <f t="shared" si="3"/>
        <v>0</v>
      </c>
      <c r="T26" s="61">
        <f t="shared" si="3"/>
        <v>0</v>
      </c>
      <c r="U26" s="61">
        <f t="shared" si="3"/>
        <v>0</v>
      </c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</row>
    <row r="27" spans="1:41" s="30" customFormat="1">
      <c r="A27" s="29" t="s">
        <v>529</v>
      </c>
      <c r="B27" s="59" t="s">
        <v>33</v>
      </c>
      <c r="C27" s="60" t="s">
        <v>630</v>
      </c>
      <c r="D27" s="61">
        <f>(2906)*1000</f>
        <v>2906000</v>
      </c>
      <c r="E27" s="61">
        <f>(2864.95206688452)*1000</f>
        <v>2864952.06688452</v>
      </c>
      <c r="F27" s="61">
        <f>(3163.66722378937)*1000</f>
        <v>3163667.2237893702</v>
      </c>
      <c r="G27" s="61">
        <f>(2863.6472242926)*1000</f>
        <v>2863647.2242926001</v>
      </c>
      <c r="H27" s="61">
        <f>(2289.56766041787)*1000</f>
        <v>2289567.6604178697</v>
      </c>
      <c r="I27" s="61">
        <f>(2423.00471824202)*1000</f>
        <v>2423004.7182420199</v>
      </c>
      <c r="J27" s="61">
        <f>(2538.47960251116)*1000</f>
        <v>2538479.6025111601</v>
      </c>
      <c r="K27" s="61">
        <f>(2683.07843538742)*1000</f>
        <v>2683078.43538742</v>
      </c>
      <c r="L27" s="62"/>
      <c r="M27" s="62"/>
      <c r="N27" s="61">
        <f t="shared" si="3"/>
        <v>0</v>
      </c>
      <c r="O27" s="61">
        <f t="shared" si="3"/>
        <v>0</v>
      </c>
      <c r="P27" s="61">
        <f t="shared" si="3"/>
        <v>0</v>
      </c>
      <c r="Q27" s="61">
        <f t="shared" si="3"/>
        <v>0</v>
      </c>
      <c r="R27" s="61">
        <f t="shared" si="3"/>
        <v>0</v>
      </c>
      <c r="S27" s="61">
        <f t="shared" si="3"/>
        <v>0</v>
      </c>
      <c r="T27" s="61">
        <f t="shared" si="3"/>
        <v>0</v>
      </c>
      <c r="U27" s="61">
        <f t="shared" si="3"/>
        <v>0</v>
      </c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</row>
    <row r="28" spans="1:41" s="30" customFormat="1">
      <c r="A28" s="29" t="s">
        <v>530</v>
      </c>
      <c r="B28" s="59" t="s">
        <v>12</v>
      </c>
      <c r="C28" s="60" t="s">
        <v>630</v>
      </c>
      <c r="D28" s="61">
        <f t="shared" ref="D28:K28" si="4">(0)*1000</f>
        <v>0</v>
      </c>
      <c r="E28" s="61">
        <f t="shared" si="4"/>
        <v>0</v>
      </c>
      <c r="F28" s="61">
        <f t="shared" si="4"/>
        <v>0</v>
      </c>
      <c r="G28" s="61">
        <f t="shared" si="4"/>
        <v>0</v>
      </c>
      <c r="H28" s="61">
        <f t="shared" si="4"/>
        <v>0</v>
      </c>
      <c r="I28" s="61">
        <f t="shared" si="4"/>
        <v>0</v>
      </c>
      <c r="J28" s="61">
        <f t="shared" si="4"/>
        <v>0</v>
      </c>
      <c r="K28" s="61">
        <f t="shared" si="4"/>
        <v>0</v>
      </c>
      <c r="L28" s="62"/>
      <c r="M28" s="62"/>
      <c r="N28" s="61">
        <f>(12994.42162)*1000</f>
        <v>12994421.619999999</v>
      </c>
      <c r="O28" s="61">
        <f>(14734.09228)*1000</f>
        <v>14734092.280000001</v>
      </c>
      <c r="P28" s="61">
        <f>(15543.53886)*1000</f>
        <v>15543538.860000001</v>
      </c>
      <c r="Q28" s="61">
        <f>(15266.46216)*1000</f>
        <v>15266462.159999998</v>
      </c>
      <c r="R28" s="61">
        <f>(16556.0925)*1000</f>
        <v>16556092.499999998</v>
      </c>
      <c r="S28" s="61">
        <f>(18581.58713)*1000</f>
        <v>18581587.129999999</v>
      </c>
      <c r="T28" s="61">
        <f>(19075.3182)*1000</f>
        <v>19075318.200000003</v>
      </c>
      <c r="U28" s="61">
        <f>(17387.07731)*1000</f>
        <v>17387077.310000002</v>
      </c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  <row r="29" spans="1:41" s="30" customFormat="1">
      <c r="A29" s="29"/>
      <c r="B29" s="63" t="s">
        <v>29</v>
      </c>
      <c r="C29" s="60" t="s">
        <v>630</v>
      </c>
      <c r="D29" s="64">
        <f>(283131)*1000</f>
        <v>283131000</v>
      </c>
      <c r="E29" s="64">
        <f>(295134.19043839)*1000</f>
        <v>295134190.43839002</v>
      </c>
      <c r="F29" s="64">
        <f>(297723.086902092)*1000</f>
        <v>297723086.90209198</v>
      </c>
      <c r="G29" s="64">
        <f>(295080.530835941)*1000</f>
        <v>295080530.83594102</v>
      </c>
      <c r="H29" s="64">
        <f>(299854.147718264)*1000</f>
        <v>299854147.71826404</v>
      </c>
      <c r="I29" s="64">
        <f>(307260.645841119)*1000</f>
        <v>307260645.84111899</v>
      </c>
      <c r="J29" s="64">
        <f>(323956.460346242)*1000</f>
        <v>323956460.34624201</v>
      </c>
      <c r="K29" s="64">
        <f>(343019.396719631)*1000</f>
        <v>343019396.71963096</v>
      </c>
      <c r="L29" s="70"/>
      <c r="M29" s="70"/>
      <c r="N29" s="64">
        <f>(12994.42162)*1000</f>
        <v>12994421.619999999</v>
      </c>
      <c r="O29" s="64">
        <f>(14734.09228)*1000</f>
        <v>14734092.280000001</v>
      </c>
      <c r="P29" s="64">
        <f>(15543.53886)*1000</f>
        <v>15543538.860000001</v>
      </c>
      <c r="Q29" s="64">
        <f>(15266.46216)*1000</f>
        <v>15266462.159999998</v>
      </c>
      <c r="R29" s="64">
        <f>(16556.0925)*1000</f>
        <v>16556092.499999998</v>
      </c>
      <c r="S29" s="64">
        <f>(18581.58713)*1000</f>
        <v>18581587.129999999</v>
      </c>
      <c r="T29" s="64">
        <f>(19075.3182)*1000</f>
        <v>19075318.200000003</v>
      </c>
      <c r="U29" s="64">
        <f>(17387.07731)*1000</f>
        <v>17387077.310000002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</row>
    <row r="30" spans="1:41">
      <c r="A30" s="29"/>
      <c r="B30" s="5"/>
      <c r="C30" s="28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</row>
    <row r="31" spans="1:41" s="30" customFormat="1" ht="15.75">
      <c r="A31" s="29"/>
      <c r="B31" s="71" t="s">
        <v>602</v>
      </c>
      <c r="C31" s="60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</row>
    <row r="32" spans="1:41" s="30" customFormat="1">
      <c r="A32" s="29" t="s">
        <v>531</v>
      </c>
      <c r="B32" s="59" t="s">
        <v>47</v>
      </c>
      <c r="C32" s="60" t="s">
        <v>630</v>
      </c>
      <c r="D32" s="61">
        <f>(25503.2107790557)*1000</f>
        <v>25503210.7790557</v>
      </c>
      <c r="E32" s="61">
        <f>(1397.60744772883)*1000</f>
        <v>1397607.4477288299</v>
      </c>
      <c r="F32" s="61">
        <f>(1199.37361444797)*1000</f>
        <v>1199373.6144479702</v>
      </c>
      <c r="G32" s="61">
        <f>(3132.02431790816)*1000</f>
        <v>3132024.3179081599</v>
      </c>
      <c r="H32" s="61">
        <f>(188.214445848479)*1000</f>
        <v>188214.44584847899</v>
      </c>
      <c r="I32" s="61">
        <f>(0)*1000</f>
        <v>0</v>
      </c>
      <c r="J32" s="61">
        <f>(0)*1000</f>
        <v>0</v>
      </c>
      <c r="K32" s="61">
        <f>(0)*1000</f>
        <v>0</v>
      </c>
      <c r="L32" s="62"/>
      <c r="M32" s="62"/>
      <c r="N32" s="61">
        <f t="shared" ref="N32:U33" si="5">(0)*1000</f>
        <v>0</v>
      </c>
      <c r="O32" s="61">
        <f t="shared" si="5"/>
        <v>0</v>
      </c>
      <c r="P32" s="61">
        <f t="shared" si="5"/>
        <v>0</v>
      </c>
      <c r="Q32" s="61">
        <f t="shared" si="5"/>
        <v>0</v>
      </c>
      <c r="R32" s="61">
        <f t="shared" si="5"/>
        <v>0</v>
      </c>
      <c r="S32" s="61">
        <f t="shared" si="5"/>
        <v>0</v>
      </c>
      <c r="T32" s="61">
        <f t="shared" si="5"/>
        <v>0</v>
      </c>
      <c r="U32" s="61">
        <f t="shared" si="5"/>
        <v>0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</row>
    <row r="33" spans="1:41" s="30" customFormat="1">
      <c r="A33" s="29" t="s">
        <v>532</v>
      </c>
      <c r="B33" s="59" t="s">
        <v>27</v>
      </c>
      <c r="C33" s="60" t="s">
        <v>630</v>
      </c>
      <c r="D33" s="61">
        <f>(609.12080005876)*1000</f>
        <v>609120.80005875998</v>
      </c>
      <c r="E33" s="61">
        <f>(-1474.49694984664)*1000</f>
        <v>-1474496.94984664</v>
      </c>
      <c r="F33" s="61">
        <f>(0)*1000</f>
        <v>0</v>
      </c>
      <c r="G33" s="61">
        <f>(-8998.93838417174)*1000</f>
        <v>-8998938.3841717411</v>
      </c>
      <c r="H33" s="61">
        <f>(4054.31598484984)*1000</f>
        <v>4054315.9848498399</v>
      </c>
      <c r="I33" s="61">
        <f>(0)*1000</f>
        <v>0</v>
      </c>
      <c r="J33" s="61">
        <f>(0)*1000</f>
        <v>0</v>
      </c>
      <c r="K33" s="61">
        <f>(5021.36753647808)*1000</f>
        <v>5021367.5364780799</v>
      </c>
      <c r="L33" s="62"/>
      <c r="M33" s="62"/>
      <c r="N33" s="61">
        <f t="shared" si="5"/>
        <v>0</v>
      </c>
      <c r="O33" s="61">
        <f t="shared" si="5"/>
        <v>0</v>
      </c>
      <c r="P33" s="61">
        <f t="shared" si="5"/>
        <v>0</v>
      </c>
      <c r="Q33" s="61">
        <f t="shared" si="5"/>
        <v>0</v>
      </c>
      <c r="R33" s="61">
        <f t="shared" si="5"/>
        <v>0</v>
      </c>
      <c r="S33" s="61">
        <f t="shared" si="5"/>
        <v>0</v>
      </c>
      <c r="T33" s="61">
        <f t="shared" si="5"/>
        <v>0</v>
      </c>
      <c r="U33" s="61">
        <f t="shared" si="5"/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</row>
    <row r="34" spans="1:41" s="30" customFormat="1">
      <c r="A34" s="29" t="s">
        <v>533</v>
      </c>
      <c r="B34" s="59" t="s">
        <v>49</v>
      </c>
      <c r="C34" s="60" t="s">
        <v>630</v>
      </c>
      <c r="D34" s="61">
        <f t="shared" ref="D34:E36" si="6">(0)*1000</f>
        <v>0</v>
      </c>
      <c r="E34" s="61">
        <f t="shared" si="6"/>
        <v>0</v>
      </c>
      <c r="F34" s="61">
        <f>(0)*1000</f>
        <v>0</v>
      </c>
      <c r="G34" s="61">
        <f t="shared" ref="G34:H36" si="7">(0)*1000</f>
        <v>0</v>
      </c>
      <c r="H34" s="61">
        <f t="shared" si="7"/>
        <v>0</v>
      </c>
      <c r="I34" s="61">
        <f>(0)*1000</f>
        <v>0</v>
      </c>
      <c r="J34" s="61">
        <f>(0)*1000</f>
        <v>0</v>
      </c>
      <c r="K34" s="61">
        <f>(0)*1000</f>
        <v>0</v>
      </c>
      <c r="L34" s="62"/>
      <c r="M34" s="62"/>
      <c r="N34" s="61">
        <f t="shared" ref="N34:Q37" si="8">(0)*1000</f>
        <v>0</v>
      </c>
      <c r="O34" s="61">
        <f t="shared" si="8"/>
        <v>0</v>
      </c>
      <c r="P34" s="61">
        <f t="shared" si="8"/>
        <v>0</v>
      </c>
      <c r="Q34" s="61">
        <f t="shared" si="8"/>
        <v>0</v>
      </c>
      <c r="R34" s="61"/>
      <c r="S34" s="61">
        <f t="shared" ref="S34:U37" si="9">(0)*1000</f>
        <v>0</v>
      </c>
      <c r="T34" s="61">
        <f t="shared" si="9"/>
        <v>0</v>
      </c>
      <c r="U34" s="61">
        <f t="shared" si="9"/>
        <v>0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</row>
    <row r="35" spans="1:41" s="30" customFormat="1">
      <c r="A35" s="29" t="s">
        <v>534</v>
      </c>
      <c r="B35" s="59" t="s">
        <v>48</v>
      </c>
      <c r="C35" s="60" t="s">
        <v>630</v>
      </c>
      <c r="D35" s="61">
        <f t="shared" si="6"/>
        <v>0</v>
      </c>
      <c r="E35" s="61">
        <f t="shared" si="6"/>
        <v>0</v>
      </c>
      <c r="F35" s="61">
        <f>(0)*1000</f>
        <v>0</v>
      </c>
      <c r="G35" s="61">
        <f t="shared" si="7"/>
        <v>0</v>
      </c>
      <c r="H35" s="61">
        <f t="shared" si="7"/>
        <v>0</v>
      </c>
      <c r="I35" s="61">
        <f>(-4931.78814969643)*1000</f>
        <v>-4931788.1496964302</v>
      </c>
      <c r="J35" s="61">
        <f>(-5110.09399006658)*1000</f>
        <v>-5110093.9900665795</v>
      </c>
      <c r="K35" s="61">
        <f>(-6742.78014319751)*1000</f>
        <v>-6742780.1431975104</v>
      </c>
      <c r="L35" s="62"/>
      <c r="M35" s="62"/>
      <c r="N35" s="61">
        <f t="shared" si="8"/>
        <v>0</v>
      </c>
      <c r="O35" s="61">
        <f t="shared" si="8"/>
        <v>0</v>
      </c>
      <c r="P35" s="61">
        <f t="shared" si="8"/>
        <v>0</v>
      </c>
      <c r="Q35" s="61">
        <f t="shared" si="8"/>
        <v>0</v>
      </c>
      <c r="R35" s="61">
        <f>(0)*1000</f>
        <v>0</v>
      </c>
      <c r="S35" s="61">
        <f t="shared" si="9"/>
        <v>0</v>
      </c>
      <c r="T35" s="61">
        <f t="shared" si="9"/>
        <v>0</v>
      </c>
      <c r="U35" s="61">
        <f t="shared" si="9"/>
        <v>0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</row>
    <row r="36" spans="1:41" s="30" customFormat="1">
      <c r="A36" s="29" t="s">
        <v>535</v>
      </c>
      <c r="B36" s="59" t="s">
        <v>28</v>
      </c>
      <c r="C36" s="60" t="s">
        <v>630</v>
      </c>
      <c r="D36" s="61">
        <f t="shared" si="6"/>
        <v>0</v>
      </c>
      <c r="E36" s="61">
        <f t="shared" si="6"/>
        <v>0</v>
      </c>
      <c r="F36" s="61">
        <f>(0)*1000</f>
        <v>0</v>
      </c>
      <c r="G36" s="61">
        <f t="shared" si="7"/>
        <v>0</v>
      </c>
      <c r="H36" s="61">
        <f t="shared" si="7"/>
        <v>0</v>
      </c>
      <c r="I36" s="61">
        <f>(0)*1000</f>
        <v>0</v>
      </c>
      <c r="J36" s="61">
        <f>(0)*1000</f>
        <v>0</v>
      </c>
      <c r="K36" s="61">
        <f>(0)*1000</f>
        <v>0</v>
      </c>
      <c r="L36" s="62"/>
      <c r="M36" s="62"/>
      <c r="N36" s="61">
        <f t="shared" si="8"/>
        <v>0</v>
      </c>
      <c r="O36" s="61">
        <f t="shared" si="8"/>
        <v>0</v>
      </c>
      <c r="P36" s="61">
        <f t="shared" si="8"/>
        <v>0</v>
      </c>
      <c r="Q36" s="61">
        <f t="shared" si="8"/>
        <v>0</v>
      </c>
      <c r="R36" s="61">
        <f>(0)*1000</f>
        <v>0</v>
      </c>
      <c r="S36" s="61">
        <f t="shared" si="9"/>
        <v>0</v>
      </c>
      <c r="T36" s="61">
        <f t="shared" si="9"/>
        <v>0</v>
      </c>
      <c r="U36" s="61">
        <f t="shared" si="9"/>
        <v>0</v>
      </c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</row>
    <row r="37" spans="1:41" s="30" customFormat="1">
      <c r="A37" s="29"/>
      <c r="B37" s="63" t="s">
        <v>30</v>
      </c>
      <c r="C37" s="60" t="s">
        <v>630</v>
      </c>
      <c r="D37" s="64">
        <f>(26112.3315791144)*1000</f>
        <v>26112331.5791144</v>
      </c>
      <c r="E37" s="64">
        <f>(-76.8895021178064)*1000</f>
        <v>-76889.502117806405</v>
      </c>
      <c r="F37" s="64">
        <f>(1199.37361444797)*1000</f>
        <v>1199373.6144479702</v>
      </c>
      <c r="G37" s="64">
        <f>(-5866.91406626358)*1000</f>
        <v>-5866914.0662635798</v>
      </c>
      <c r="H37" s="64">
        <f>(4242.53043069832)*1000</f>
        <v>4242530.4306983203</v>
      </c>
      <c r="I37" s="64">
        <f>(-4931.78814969643)*1000</f>
        <v>-4931788.1496964302</v>
      </c>
      <c r="J37" s="64">
        <f>(-5110.09399006658)*1000</f>
        <v>-5110093.9900665795</v>
      </c>
      <c r="K37" s="64">
        <f>(-1721.41260671943)*1000</f>
        <v>-1721412.6067194301</v>
      </c>
      <c r="N37" s="65">
        <f t="shared" si="8"/>
        <v>0</v>
      </c>
      <c r="O37" s="65">
        <f t="shared" si="8"/>
        <v>0</v>
      </c>
      <c r="P37" s="65">
        <f t="shared" si="8"/>
        <v>0</v>
      </c>
      <c r="Q37" s="65">
        <f t="shared" si="8"/>
        <v>0</v>
      </c>
      <c r="R37" s="65">
        <f>(0)*1000</f>
        <v>0</v>
      </c>
      <c r="S37" s="65">
        <f t="shared" si="9"/>
        <v>0</v>
      </c>
      <c r="T37" s="65">
        <f t="shared" si="9"/>
        <v>0</v>
      </c>
      <c r="U37" s="65">
        <f t="shared" si="9"/>
        <v>0</v>
      </c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</row>
    <row r="70" spans="4:21"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</row>
    <row r="71" spans="4:21"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</row>
    <row r="72" spans="4:21"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</row>
    <row r="73" spans="4:21"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</row>
    <row r="74" spans="4:21"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</row>
    <row r="75" spans="4:21"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</row>
    <row r="76" spans="4:21"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</row>
    <row r="77" spans="4:21"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</row>
    <row r="78" spans="4:21"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</row>
    <row r="79" spans="4:21"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</row>
    <row r="80" spans="4:21"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</row>
    <row r="81" spans="4:21"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</row>
    <row r="82" spans="4:21"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</row>
    <row r="83" spans="4:21"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</row>
    <row r="84" spans="4:21"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</row>
    <row r="85" spans="4:21"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</row>
    <row r="86" spans="4:21"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</row>
    <row r="87" spans="4:21"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</row>
    <row r="88" spans="4:21"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</row>
    <row r="89" spans="4:21"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</row>
    <row r="90" spans="4:21"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</row>
    <row r="91" spans="4:21"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</row>
    <row r="92" spans="4:21"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</row>
    <row r="93" spans="4:21"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</row>
    <row r="94" spans="4:21"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</row>
    <row r="95" spans="4:21"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</row>
    <row r="96" spans="4:21"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</row>
    <row r="97" spans="4:21"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</row>
    <row r="98" spans="4:21"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</row>
    <row r="99" spans="4:21"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</row>
    <row r="100" spans="4:21"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4:21"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4:21"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4:21"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4:21"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4:21"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4:21"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4:21"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4:21"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4:21"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4:21"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4:21"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4:21"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4:21"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4:21"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4:21"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4:21"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4:21"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4:21"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4:21"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4:21"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4:21"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4:21"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4:21"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4:21"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4:21"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4:21"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4:21"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4:21"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4:21"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4:21"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4:21"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4:21"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4:21"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4:21"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4:21"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4:21"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4:21"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4:21"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4:21"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4:21"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4:21"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4:21"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4:21"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4:21"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4:21"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4:21"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</row>
    <row r="147" spans="4:21"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</row>
    <row r="148" spans="4:21"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</row>
    <row r="149" spans="4:21"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</row>
    <row r="150" spans="4:21"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</row>
    <row r="151" spans="4:21"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</row>
    <row r="152" spans="4:21"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</row>
    <row r="153" spans="4:21"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</row>
    <row r="154" spans="4:21"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</row>
    <row r="155" spans="4:21"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</row>
    <row r="156" spans="4:21"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</row>
    <row r="157" spans="4:21"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</row>
    <row r="158" spans="4:21"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</row>
    <row r="159" spans="4:21"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</row>
    <row r="160" spans="4:21"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</row>
    <row r="161" spans="4:21"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</row>
    <row r="162" spans="4:21"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</row>
    <row r="163" spans="4:21"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</row>
    <row r="164" spans="4:21"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</row>
    <row r="165" spans="4:21"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</row>
    <row r="166" spans="4:21"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</row>
    <row r="167" spans="4:21"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</row>
    <row r="168" spans="4:21"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</row>
    <row r="169" spans="4:21"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</row>
    <row r="170" spans="4:21"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</row>
    <row r="171" spans="4:21"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</row>
    <row r="172" spans="4:21"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</row>
    <row r="173" spans="4:21"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</row>
    <row r="174" spans="4:21"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</row>
    <row r="175" spans="4:21"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</row>
    <row r="176" spans="4:21"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</row>
    <row r="177" spans="4:21"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</row>
    <row r="178" spans="4:21"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</row>
    <row r="179" spans="4:21"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</row>
    <row r="180" spans="4:21"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</row>
    <row r="181" spans="4:21"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</row>
    <row r="182" spans="4:21"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</row>
    <row r="183" spans="4:21"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</row>
    <row r="184" spans="4:21"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</row>
    <row r="185" spans="4:21"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</row>
    <row r="186" spans="4:21"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</row>
    <row r="187" spans="4:21"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</row>
    <row r="188" spans="4:21"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</row>
    <row r="189" spans="4:21"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</row>
    <row r="190" spans="4:21"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</row>
    <row r="191" spans="4:21"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</row>
    <row r="192" spans="4:21"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</row>
    <row r="193" spans="4:21"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</row>
    <row r="194" spans="4:21"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</row>
    <row r="195" spans="4:21"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</row>
    <row r="196" spans="4:21"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</row>
    <row r="197" spans="4:21"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</row>
    <row r="198" spans="4:21"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</row>
    <row r="199" spans="4:21"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</row>
    <row r="200" spans="4:21"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</row>
    <row r="201" spans="4:21"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</row>
    <row r="202" spans="4:21"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</row>
    <row r="203" spans="4:21"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</row>
    <row r="204" spans="4:21"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</row>
    <row r="205" spans="4:21"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</row>
    <row r="206" spans="4:21"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</row>
    <row r="207" spans="4:21"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</row>
    <row r="208" spans="4:21"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</row>
    <row r="209" spans="4:21"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</row>
    <row r="210" spans="4:21"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</row>
    <row r="211" spans="4:21"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</row>
    <row r="212" spans="4:21"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</row>
    <row r="213" spans="4:21"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</row>
    <row r="214" spans="4:21"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</row>
    <row r="215" spans="4:21"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</row>
    <row r="216" spans="4:21"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</row>
    <row r="217" spans="4:21"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</row>
    <row r="218" spans="4:21"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</row>
    <row r="219" spans="4:21"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</row>
    <row r="220" spans="4:21"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</row>
    <row r="221" spans="4:21"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</row>
    <row r="222" spans="4:21"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</row>
    <row r="223" spans="4:21"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</row>
    <row r="224" spans="4:21"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</row>
    <row r="225" spans="4:21"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</row>
    <row r="226" spans="4:21"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</row>
    <row r="227" spans="4:21"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</row>
    <row r="228" spans="4:21"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</row>
    <row r="229" spans="4:21"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</row>
    <row r="230" spans="4:21"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</row>
    <row r="231" spans="4:21"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</row>
    <row r="232" spans="4:21"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</row>
    <row r="233" spans="4:21"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</row>
    <row r="234" spans="4:21"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</row>
    <row r="235" spans="4:21"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</row>
    <row r="236" spans="4:21"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</row>
    <row r="237" spans="4:21"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</row>
    <row r="238" spans="4:21"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</row>
    <row r="239" spans="4:21"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</row>
    <row r="240" spans="4:21"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</row>
    <row r="241" spans="4:21"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</row>
    <row r="242" spans="4:21"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</row>
    <row r="243" spans="4:21"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</row>
    <row r="244" spans="4:21"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</row>
    <row r="245" spans="4:21"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</row>
    <row r="246" spans="4:21"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</row>
    <row r="247" spans="4:21"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</row>
    <row r="248" spans="4:21"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</row>
    <row r="249" spans="4:21"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</row>
    <row r="250" spans="4:21"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</row>
    <row r="251" spans="4:21"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</row>
    <row r="252" spans="4:21"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</row>
    <row r="253" spans="4:21"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</row>
    <row r="254" spans="4:21"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</row>
    <row r="255" spans="4:21"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</row>
    <row r="256" spans="4:21"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</row>
    <row r="257" spans="4:21"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</row>
    <row r="258" spans="4:21"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</row>
    <row r="259" spans="4:21"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</row>
    <row r="260" spans="4:21"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</row>
    <row r="261" spans="4:21"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</row>
    <row r="262" spans="4:21"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</row>
    <row r="263" spans="4:21"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</row>
    <row r="264" spans="4:21"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</row>
    <row r="265" spans="4:21"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</row>
    <row r="266" spans="4:21"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</row>
    <row r="267" spans="4:21"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</row>
    <row r="268" spans="4:21"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</row>
    <row r="269" spans="4:21"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</row>
    <row r="270" spans="4:21"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</row>
    <row r="271" spans="4:21"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</row>
    <row r="272" spans="4:21"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</row>
    <row r="273" spans="4:21"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</row>
    <row r="274" spans="4:21"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</row>
    <row r="275" spans="4:21"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</row>
    <row r="276" spans="4:21"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</row>
    <row r="277" spans="4:21"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</row>
    <row r="278" spans="4:21"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</row>
    <row r="279" spans="4:21"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</row>
    <row r="280" spans="4:21"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</row>
    <row r="281" spans="4:21"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</row>
    <row r="282" spans="4:21"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</row>
    <row r="283" spans="4:21"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</row>
    <row r="284" spans="4:21"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</row>
  </sheetData>
  <pageMargins left="0.23622047244094491" right="0.23622047244094491" top="0.74803149606299213" bottom="0.74803149606299213" header="0.31496062992125984" footer="0.31496062992125984"/>
  <pageSetup paperSize="8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64"/>
  <sheetViews>
    <sheetView topLeftCell="L1" zoomScale="90" zoomScaleNormal="90" workbookViewId="0">
      <selection activeCell="I30" sqref="I30"/>
    </sheetView>
  </sheetViews>
  <sheetFormatPr defaultRowHeight="15"/>
  <cols>
    <col min="1" max="1" width="21" style="57" bestFit="1" customWidth="1"/>
    <col min="2" max="2" width="83.140625" style="57" bestFit="1" customWidth="1"/>
    <col min="3" max="3" width="10.85546875" style="72" customWidth="1"/>
    <col min="4" max="4" width="22" style="57" customWidth="1"/>
    <col min="5" max="6" width="15" style="57" bestFit="1" customWidth="1"/>
    <col min="7" max="9" width="15.42578125" style="57" bestFit="1" customWidth="1"/>
    <col min="10" max="10" width="15.85546875" style="57" bestFit="1" customWidth="1"/>
    <col min="11" max="11" width="15" style="57" bestFit="1" customWidth="1"/>
    <col min="12" max="13" width="6.28515625" style="57" customWidth="1"/>
    <col min="14" max="14" width="15.42578125" style="57" customWidth="1"/>
    <col min="15" max="21" width="15.42578125" style="57" bestFit="1" customWidth="1"/>
    <col min="22" max="16384" width="9.140625" style="57"/>
  </cols>
  <sheetData>
    <row r="1" spans="1:51" ht="15.75">
      <c r="B1" s="4" t="s">
        <v>616</v>
      </c>
    </row>
    <row r="2" spans="1:51">
      <c r="B2" s="73"/>
      <c r="C2" s="74"/>
      <c r="D2" s="73"/>
      <c r="E2" s="73"/>
      <c r="F2" s="73"/>
      <c r="G2" s="73"/>
      <c r="H2" s="73"/>
      <c r="I2" s="73"/>
      <c r="J2" s="73"/>
      <c r="K2" s="73"/>
    </row>
    <row r="3" spans="1:51">
      <c r="B3" s="1" t="s">
        <v>15</v>
      </c>
      <c r="C3" s="75"/>
      <c r="D3" s="1" t="s">
        <v>0</v>
      </c>
      <c r="N3" s="1" t="s">
        <v>16</v>
      </c>
    </row>
    <row r="4" spans="1:51" s="76" customFormat="1">
      <c r="B4" s="1" t="s">
        <v>31</v>
      </c>
      <c r="C4" s="77"/>
      <c r="D4" s="78">
        <v>2006</v>
      </c>
      <c r="E4" s="78">
        <v>2007</v>
      </c>
      <c r="F4" s="78">
        <v>2008</v>
      </c>
      <c r="G4" s="78">
        <v>2009</v>
      </c>
      <c r="H4" s="78">
        <v>2010</v>
      </c>
      <c r="I4" s="78">
        <v>2011</v>
      </c>
      <c r="J4" s="78">
        <v>2012</v>
      </c>
      <c r="K4" s="78">
        <v>2013</v>
      </c>
      <c r="N4" s="78">
        <v>2006</v>
      </c>
      <c r="O4" s="78">
        <v>2007</v>
      </c>
      <c r="P4" s="78">
        <v>2008</v>
      </c>
      <c r="Q4" s="78">
        <v>2009</v>
      </c>
      <c r="R4" s="78">
        <v>2010</v>
      </c>
      <c r="S4" s="78">
        <v>2011</v>
      </c>
      <c r="T4" s="78">
        <v>2012</v>
      </c>
      <c r="U4" s="78">
        <v>2013</v>
      </c>
      <c r="V4" s="57"/>
    </row>
    <row r="5" spans="1:51">
      <c r="A5" s="1" t="s">
        <v>14</v>
      </c>
      <c r="B5" s="1" t="s">
        <v>1</v>
      </c>
      <c r="C5" s="75" t="s">
        <v>2</v>
      </c>
    </row>
    <row r="6" spans="1:51" ht="15.75">
      <c r="A6" s="1"/>
      <c r="B6" s="79" t="s">
        <v>591</v>
      </c>
      <c r="C6" s="75"/>
    </row>
    <row r="7" spans="1:51" s="30" customFormat="1">
      <c r="A7" s="29"/>
      <c r="B7" s="81" t="s">
        <v>592</v>
      </c>
      <c r="C7" s="60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</row>
    <row r="8" spans="1:51">
      <c r="A8" s="57" t="s">
        <v>918</v>
      </c>
      <c r="B8" s="451" t="s">
        <v>919</v>
      </c>
      <c r="C8" s="28" t="s">
        <v>920</v>
      </c>
      <c r="D8" s="468">
        <f>(4210.52095543228)*1000</f>
        <v>4210520.95543228</v>
      </c>
      <c r="E8" s="468">
        <f>(4369.29640581338)*1000</f>
        <v>4369296.4058133801</v>
      </c>
      <c r="F8" s="468">
        <f>(3613.86842936118)*1000</f>
        <v>3613868.4293611799</v>
      </c>
      <c r="G8" s="468">
        <f>(2248.06734)*1000</f>
        <v>2248067.34</v>
      </c>
      <c r="H8" s="468">
        <f>(2135.27839)*1000</f>
        <v>2135278.39</v>
      </c>
      <c r="I8" s="468">
        <f>(2758.84099211098)*1000</f>
        <v>2758840.9921109802</v>
      </c>
      <c r="J8" s="468">
        <f>(4823.85686594256)*1000</f>
        <v>4823856.8659425601</v>
      </c>
      <c r="K8" s="468">
        <f>(5123.32323342648)*1000</f>
        <v>5123323.2334264806</v>
      </c>
      <c r="L8" s="452"/>
      <c r="M8" s="452"/>
      <c r="N8" s="468">
        <f t="shared" ref="N8:U13" si="0">(0)*1000</f>
        <v>0</v>
      </c>
      <c r="O8" s="468">
        <f t="shared" si="0"/>
        <v>0</v>
      </c>
      <c r="P8" s="468">
        <f t="shared" si="0"/>
        <v>0</v>
      </c>
      <c r="Q8" s="468">
        <f t="shared" si="0"/>
        <v>0</v>
      </c>
      <c r="R8" s="468">
        <f t="shared" si="0"/>
        <v>0</v>
      </c>
      <c r="S8" s="468">
        <f t="shared" si="0"/>
        <v>0</v>
      </c>
      <c r="T8" s="468">
        <f t="shared" si="0"/>
        <v>0</v>
      </c>
      <c r="U8" s="468">
        <f t="shared" si="0"/>
        <v>0</v>
      </c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</row>
    <row r="9" spans="1:51">
      <c r="A9" s="57" t="s">
        <v>921</v>
      </c>
      <c r="B9" s="451" t="s">
        <v>922</v>
      </c>
      <c r="C9" s="28" t="s">
        <v>920</v>
      </c>
      <c r="D9" s="468">
        <f>(9692.49894824095)*1000</f>
        <v>9692498.9482409488</v>
      </c>
      <c r="E9" s="468">
        <f>(9878.13506245067)*1000</f>
        <v>9878135.0624506697</v>
      </c>
      <c r="F9" s="468">
        <f>(9371.06841655566)*1000</f>
        <v>9371068.4165556598</v>
      </c>
      <c r="G9" s="468">
        <f>(6489.33697)*1000</f>
        <v>6489336.9700000007</v>
      </c>
      <c r="H9" s="468">
        <f>(9123.69075)*1000</f>
        <v>9123690.75</v>
      </c>
      <c r="I9" s="468">
        <f>(15766.274298671)*1000</f>
        <v>15766274.298671</v>
      </c>
      <c r="J9" s="468">
        <f>(25207.7038114573)*1000</f>
        <v>25207703.811457302</v>
      </c>
      <c r="K9" s="468">
        <f>(23114.6816908838)*1000</f>
        <v>23114681.6908838</v>
      </c>
      <c r="L9" s="452"/>
      <c r="M9" s="452"/>
      <c r="N9" s="468">
        <f t="shared" si="0"/>
        <v>0</v>
      </c>
      <c r="O9" s="468">
        <f t="shared" si="0"/>
        <v>0</v>
      </c>
      <c r="P9" s="468">
        <f t="shared" si="0"/>
        <v>0</v>
      </c>
      <c r="Q9" s="468">
        <f t="shared" si="0"/>
        <v>0</v>
      </c>
      <c r="R9" s="468">
        <f t="shared" si="0"/>
        <v>0</v>
      </c>
      <c r="S9" s="468">
        <f t="shared" si="0"/>
        <v>0</v>
      </c>
      <c r="T9" s="468">
        <f t="shared" si="0"/>
        <v>0</v>
      </c>
      <c r="U9" s="468">
        <f t="shared" si="0"/>
        <v>0</v>
      </c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</row>
    <row r="10" spans="1:51">
      <c r="A10" s="57" t="s">
        <v>923</v>
      </c>
      <c r="B10" s="451" t="s">
        <v>924</v>
      </c>
      <c r="C10" s="28" t="s">
        <v>920</v>
      </c>
      <c r="D10" s="468">
        <f>(6881.98009632676)*1000</f>
        <v>6881980.09632676</v>
      </c>
      <c r="E10" s="468">
        <f>(5590.56853173595)*1000</f>
        <v>5590568.5317359501</v>
      </c>
      <c r="F10" s="468">
        <f>(8664.1290628523)*1000</f>
        <v>8664129.0628523007</v>
      </c>
      <c r="G10" s="468">
        <f>(6337.60594)*1000</f>
        <v>6337605.9400000004</v>
      </c>
      <c r="H10" s="468">
        <f>(10573.40194)*1000</f>
        <v>10573401.939999999</v>
      </c>
      <c r="I10" s="468">
        <f>(12990.4044651855)*1000</f>
        <v>12990404.465185501</v>
      </c>
      <c r="J10" s="468">
        <f>(14857.5756417664)*1000</f>
        <v>14857575.641766399</v>
      </c>
      <c r="K10" s="468">
        <f>(12467.9355365882)*1000</f>
        <v>12467935.536588199</v>
      </c>
      <c r="L10" s="452"/>
      <c r="M10" s="452"/>
      <c r="N10" s="468">
        <f t="shared" si="0"/>
        <v>0</v>
      </c>
      <c r="O10" s="468">
        <f t="shared" si="0"/>
        <v>0</v>
      </c>
      <c r="P10" s="468">
        <f t="shared" si="0"/>
        <v>0</v>
      </c>
      <c r="Q10" s="468">
        <f t="shared" si="0"/>
        <v>0</v>
      </c>
      <c r="R10" s="468">
        <f t="shared" si="0"/>
        <v>0</v>
      </c>
      <c r="S10" s="468">
        <f t="shared" si="0"/>
        <v>0</v>
      </c>
      <c r="T10" s="468">
        <f t="shared" si="0"/>
        <v>0</v>
      </c>
      <c r="U10" s="468">
        <f t="shared" si="0"/>
        <v>0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</row>
    <row r="11" spans="1:51">
      <c r="A11" s="57" t="s">
        <v>925</v>
      </c>
      <c r="B11" s="451" t="s">
        <v>926</v>
      </c>
      <c r="C11" s="28" t="s">
        <v>920</v>
      </c>
      <c r="D11" s="468">
        <f>(2297)*1000</f>
        <v>2297000</v>
      </c>
      <c r="E11" s="468">
        <f>(2192)*1000</f>
        <v>2192000</v>
      </c>
      <c r="F11" s="468">
        <f>(2441.18512509089)*1000</f>
        <v>2441185.1250908901</v>
      </c>
      <c r="G11" s="468">
        <f>(206.32939)*1000</f>
        <v>206329.38999999998</v>
      </c>
      <c r="H11" s="468">
        <f>(227.25382)*1000</f>
        <v>227253.81999999998</v>
      </c>
      <c r="I11" s="468">
        <f>(3897.86260162584)*1000</f>
        <v>3897862.6016258397</v>
      </c>
      <c r="J11" s="468">
        <f>(9499.47018464455)*1000</f>
        <v>9499470.1846445501</v>
      </c>
      <c r="K11" s="468">
        <f>(6722.72659059946)*1000</f>
        <v>6722726.5905994596</v>
      </c>
      <c r="L11" s="452"/>
      <c r="M11" s="452"/>
      <c r="N11" s="468">
        <f t="shared" si="0"/>
        <v>0</v>
      </c>
      <c r="O11" s="468">
        <f t="shared" si="0"/>
        <v>0</v>
      </c>
      <c r="P11" s="468">
        <f t="shared" si="0"/>
        <v>0</v>
      </c>
      <c r="Q11" s="468">
        <f t="shared" si="0"/>
        <v>0</v>
      </c>
      <c r="R11" s="468">
        <f t="shared" si="0"/>
        <v>0</v>
      </c>
      <c r="S11" s="468">
        <f t="shared" si="0"/>
        <v>0</v>
      </c>
      <c r="T11" s="468">
        <f t="shared" si="0"/>
        <v>0</v>
      </c>
      <c r="U11" s="468">
        <f t="shared" si="0"/>
        <v>0</v>
      </c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</row>
    <row r="12" spans="1:51">
      <c r="A12" s="57" t="s">
        <v>927</v>
      </c>
      <c r="B12" s="451" t="s">
        <v>928</v>
      </c>
      <c r="C12" s="28" t="s">
        <v>920</v>
      </c>
      <c r="D12" s="468">
        <f>(2847)*1000</f>
        <v>2847000</v>
      </c>
      <c r="E12" s="468">
        <f>(2717)*1000</f>
        <v>2717000</v>
      </c>
      <c r="F12" s="468">
        <f>(2965.09460995285)*1000</f>
        <v>2965094.6099528503</v>
      </c>
      <c r="G12" s="468">
        <f>(1779.54695)*1000</f>
        <v>1779546.95</v>
      </c>
      <c r="H12" s="468">
        <f>(2542.43186)*1000</f>
        <v>2542431.8600000003</v>
      </c>
      <c r="I12" s="468">
        <f>(2218.13468076725)*1000</f>
        <v>2218134.6807672498</v>
      </c>
      <c r="J12" s="468">
        <f>(747.198252840489)*1000</f>
        <v>747198.25284048903</v>
      </c>
      <c r="K12" s="468">
        <f>(1110.47332222037)*1000</f>
        <v>1110473.3222203699</v>
      </c>
      <c r="L12" s="452"/>
      <c r="M12" s="452"/>
      <c r="N12" s="468">
        <f t="shared" si="0"/>
        <v>0</v>
      </c>
      <c r="O12" s="468">
        <f t="shared" si="0"/>
        <v>0</v>
      </c>
      <c r="P12" s="468">
        <f t="shared" si="0"/>
        <v>0</v>
      </c>
      <c r="Q12" s="468">
        <f t="shared" si="0"/>
        <v>0</v>
      </c>
      <c r="R12" s="468">
        <f t="shared" si="0"/>
        <v>0</v>
      </c>
      <c r="S12" s="468">
        <f t="shared" si="0"/>
        <v>0</v>
      </c>
      <c r="T12" s="468">
        <f t="shared" si="0"/>
        <v>0</v>
      </c>
      <c r="U12" s="468">
        <f t="shared" si="0"/>
        <v>0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</row>
    <row r="13" spans="1:51">
      <c r="A13" s="57" t="s">
        <v>929</v>
      </c>
      <c r="B13" s="451" t="s">
        <v>930</v>
      </c>
      <c r="C13" s="28" t="s">
        <v>920</v>
      </c>
      <c r="D13" s="468">
        <f t="shared" ref="D13:K16" si="1">(0)*1000</f>
        <v>0</v>
      </c>
      <c r="E13" s="468">
        <f t="shared" si="1"/>
        <v>0</v>
      </c>
      <c r="F13" s="468">
        <f t="shared" si="1"/>
        <v>0</v>
      </c>
      <c r="G13" s="468">
        <f t="shared" si="1"/>
        <v>0</v>
      </c>
      <c r="H13" s="468">
        <f t="shared" si="1"/>
        <v>0</v>
      </c>
      <c r="I13" s="468">
        <f t="shared" si="1"/>
        <v>0</v>
      </c>
      <c r="J13" s="468">
        <f t="shared" si="1"/>
        <v>0</v>
      </c>
      <c r="K13" s="468">
        <f t="shared" si="1"/>
        <v>0</v>
      </c>
      <c r="L13" s="452"/>
      <c r="M13" s="452"/>
      <c r="N13" s="468">
        <f t="shared" si="0"/>
        <v>0</v>
      </c>
      <c r="O13" s="468">
        <f t="shared" si="0"/>
        <v>0</v>
      </c>
      <c r="P13" s="468">
        <f t="shared" si="0"/>
        <v>0</v>
      </c>
      <c r="Q13" s="468">
        <f t="shared" si="0"/>
        <v>0</v>
      </c>
      <c r="R13" s="468">
        <f t="shared" si="0"/>
        <v>0</v>
      </c>
      <c r="S13" s="468">
        <f t="shared" si="0"/>
        <v>0</v>
      </c>
      <c r="T13" s="468">
        <f t="shared" si="0"/>
        <v>0</v>
      </c>
      <c r="U13" s="468">
        <f t="shared" si="0"/>
        <v>0</v>
      </c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</row>
    <row r="14" spans="1:51">
      <c r="A14" s="57" t="s">
        <v>931</v>
      </c>
      <c r="B14" s="451" t="s">
        <v>932</v>
      </c>
      <c r="C14" s="28" t="s">
        <v>920</v>
      </c>
      <c r="D14" s="468">
        <f t="shared" si="1"/>
        <v>0</v>
      </c>
      <c r="E14" s="468">
        <f t="shared" si="1"/>
        <v>0</v>
      </c>
      <c r="F14" s="468">
        <f t="shared" si="1"/>
        <v>0</v>
      </c>
      <c r="G14" s="468">
        <f t="shared" si="1"/>
        <v>0</v>
      </c>
      <c r="H14" s="468">
        <f t="shared" si="1"/>
        <v>0</v>
      </c>
      <c r="I14" s="468">
        <f t="shared" si="1"/>
        <v>0</v>
      </c>
      <c r="J14" s="468">
        <f t="shared" si="1"/>
        <v>0</v>
      </c>
      <c r="K14" s="468">
        <f t="shared" si="1"/>
        <v>0</v>
      </c>
      <c r="L14" s="452"/>
      <c r="M14" s="452"/>
      <c r="N14" s="468">
        <f>(2998)*1000</f>
        <v>2998000</v>
      </c>
      <c r="O14" s="468">
        <f>(2673)*1000</f>
        <v>2673000</v>
      </c>
      <c r="P14" s="468">
        <f>(3146.58101193505)*1000</f>
        <v>3146581.0119350497</v>
      </c>
      <c r="Q14" s="468">
        <f>(1250.52771)*1000</f>
        <v>1250527.71</v>
      </c>
      <c r="R14" s="468">
        <f>(1792.25597)*1000</f>
        <v>1792255.97</v>
      </c>
      <c r="S14" s="468">
        <f>(2050.15089252861)*1000</f>
        <v>2050150.8925286098</v>
      </c>
      <c r="T14" s="468">
        <f>(2029.47369721457)*1000</f>
        <v>2029473.6972145699</v>
      </c>
      <c r="U14" s="468">
        <f>(1812.76965102152)*1000</f>
        <v>1812769.6510215201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</row>
    <row r="15" spans="1:51">
      <c r="A15" s="57" t="s">
        <v>933</v>
      </c>
      <c r="B15" s="451" t="s">
        <v>934</v>
      </c>
      <c r="C15" s="28" t="s">
        <v>920</v>
      </c>
      <c r="D15" s="468">
        <f t="shared" si="1"/>
        <v>0</v>
      </c>
      <c r="E15" s="468">
        <f t="shared" si="1"/>
        <v>0</v>
      </c>
      <c r="F15" s="468">
        <f t="shared" si="1"/>
        <v>0</v>
      </c>
      <c r="G15" s="468">
        <f t="shared" si="1"/>
        <v>0</v>
      </c>
      <c r="H15" s="468">
        <f t="shared" si="1"/>
        <v>0</v>
      </c>
      <c r="I15" s="468">
        <f t="shared" si="1"/>
        <v>0</v>
      </c>
      <c r="J15" s="468">
        <f t="shared" si="1"/>
        <v>0</v>
      </c>
      <c r="K15" s="468">
        <f t="shared" si="1"/>
        <v>0</v>
      </c>
      <c r="L15" s="452"/>
      <c r="M15" s="452"/>
      <c r="N15" s="468">
        <f>(1462)*1000</f>
        <v>1462000</v>
      </c>
      <c r="O15" s="468">
        <f>(1984)*1000</f>
        <v>1984000</v>
      </c>
      <c r="P15" s="468">
        <f>(1992.67090954789)*1000</f>
        <v>1992670.9095478901</v>
      </c>
      <c r="Q15" s="468">
        <f>(2296.56566000001)*1000</f>
        <v>2296565.6600000104</v>
      </c>
      <c r="R15" s="468">
        <f>(2416.68917)*1000</f>
        <v>2416689.17</v>
      </c>
      <c r="S15" s="468">
        <f>(3172.2721502055)*1000</f>
        <v>3172272.1502055</v>
      </c>
      <c r="T15" s="468">
        <f>(2858.61516613415)*1000</f>
        <v>2858615.1661341502</v>
      </c>
      <c r="U15" s="468">
        <f>(3622.79953919769)*1000</f>
        <v>3622799.5391976903</v>
      </c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</row>
    <row r="16" spans="1:51">
      <c r="A16" s="57" t="s">
        <v>935</v>
      </c>
      <c r="B16" s="451" t="s">
        <v>936</v>
      </c>
      <c r="C16" s="28" t="s">
        <v>920</v>
      </c>
      <c r="D16" s="468">
        <f t="shared" si="1"/>
        <v>0</v>
      </c>
      <c r="E16" s="468">
        <f t="shared" si="1"/>
        <v>0</v>
      </c>
      <c r="F16" s="468">
        <f t="shared" si="1"/>
        <v>0</v>
      </c>
      <c r="G16" s="468">
        <f t="shared" si="1"/>
        <v>0</v>
      </c>
      <c r="H16" s="468">
        <f t="shared" si="1"/>
        <v>0</v>
      </c>
      <c r="I16" s="468">
        <f t="shared" si="1"/>
        <v>0</v>
      </c>
      <c r="J16" s="468">
        <f t="shared" si="1"/>
        <v>0</v>
      </c>
      <c r="K16" s="468">
        <f t="shared" si="1"/>
        <v>0</v>
      </c>
      <c r="L16" s="452"/>
      <c r="M16" s="452"/>
      <c r="N16" s="468">
        <f t="shared" ref="N16:U16" si="2">(0)*1000</f>
        <v>0</v>
      </c>
      <c r="O16" s="468">
        <f t="shared" si="2"/>
        <v>0</v>
      </c>
      <c r="P16" s="468">
        <f t="shared" si="2"/>
        <v>0</v>
      </c>
      <c r="Q16" s="468">
        <f t="shared" si="2"/>
        <v>0</v>
      </c>
      <c r="R16" s="468">
        <f t="shared" si="2"/>
        <v>0</v>
      </c>
      <c r="S16" s="468">
        <f t="shared" si="2"/>
        <v>0</v>
      </c>
      <c r="T16" s="468">
        <f t="shared" si="2"/>
        <v>0</v>
      </c>
      <c r="U16" s="468">
        <f t="shared" si="2"/>
        <v>0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</row>
    <row r="17" spans="1:41">
      <c r="A17" s="57" t="s">
        <v>937</v>
      </c>
      <c r="B17" s="451" t="s">
        <v>938</v>
      </c>
      <c r="C17" s="28" t="s">
        <v>920</v>
      </c>
      <c r="D17" s="468">
        <f>(26744)*1000</f>
        <v>26744000</v>
      </c>
      <c r="E17" s="468">
        <f>(25618)*1000</f>
        <v>25618000</v>
      </c>
      <c r="F17" s="468">
        <f>(26435.5414791067)*1000</f>
        <v>26435541.479106702</v>
      </c>
      <c r="G17" s="468">
        <f>(29279.4255798375)*1000</f>
        <v>29279425.579837501</v>
      </c>
      <c r="H17" s="468">
        <f>(25511.9485305993)*1000</f>
        <v>25511948.5305993</v>
      </c>
      <c r="I17" s="468">
        <f>(24179.9960418189)*1000</f>
        <v>24179996.041818902</v>
      </c>
      <c r="J17" s="468">
        <f>(11866.69872635)*1000</f>
        <v>11866698.72635</v>
      </c>
      <c r="K17" s="468">
        <f>(11917.67050745)*1000</f>
        <v>11917670.507450001</v>
      </c>
      <c r="L17" s="452"/>
      <c r="M17" s="452"/>
      <c r="N17" s="468">
        <f>(4272)*1000</f>
        <v>4272000</v>
      </c>
      <c r="O17" s="468">
        <f>(5797)*1000</f>
        <v>5797000</v>
      </c>
      <c r="P17" s="468">
        <f>(5820.88446639929)*1000</f>
        <v>5820884.4663992906</v>
      </c>
      <c r="Q17" s="468">
        <f>(7250.19322373076)*1000</f>
        <v>7250193.2237307597</v>
      </c>
      <c r="R17" s="468">
        <f>(7707.29025908449)*1000</f>
        <v>7707290.2590844892</v>
      </c>
      <c r="S17" s="468">
        <f>(0)*1000</f>
        <v>0</v>
      </c>
      <c r="T17" s="468">
        <f>(2491.67895)*1000</f>
        <v>2491678.9500000002</v>
      </c>
      <c r="U17" s="468">
        <f>(247)*1000</f>
        <v>247000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</row>
    <row r="18" spans="1:41">
      <c r="A18" s="57" t="s">
        <v>939</v>
      </c>
      <c r="B18" s="451" t="s">
        <v>940</v>
      </c>
      <c r="C18" s="28" t="s">
        <v>920</v>
      </c>
      <c r="D18" s="468">
        <f>(6240)*1000</f>
        <v>6240000</v>
      </c>
      <c r="E18" s="468">
        <f>(5956)*1000</f>
        <v>5956000</v>
      </c>
      <c r="F18" s="468">
        <f>(6167.71193484284)*1000</f>
        <v>6167711.9348428398</v>
      </c>
      <c r="G18" s="468">
        <f>(739.322910377402)*1000</f>
        <v>739322.91037740197</v>
      </c>
      <c r="H18" s="468">
        <f>(935.087661338362)*1000</f>
        <v>935087.66133836191</v>
      </c>
      <c r="I18" s="468">
        <f>(1095.37956975)*1000</f>
        <v>1095379.56975</v>
      </c>
      <c r="J18" s="468">
        <f>(608.341446750001)*1000</f>
        <v>608341.44675000093</v>
      </c>
      <c r="K18" s="468">
        <f>(568.39848225)*1000</f>
        <v>568398.48225</v>
      </c>
      <c r="L18" s="452"/>
      <c r="M18" s="452"/>
      <c r="N18" s="468">
        <f t="shared" ref="N18:R28" si="3">(0)*1000</f>
        <v>0</v>
      </c>
      <c r="O18" s="468">
        <f t="shared" si="3"/>
        <v>0</v>
      </c>
      <c r="P18" s="468">
        <f t="shared" si="3"/>
        <v>0</v>
      </c>
      <c r="Q18" s="468">
        <f t="shared" si="3"/>
        <v>0</v>
      </c>
      <c r="R18" s="468">
        <f t="shared" si="3"/>
        <v>0</v>
      </c>
      <c r="S18" s="468">
        <f>(0)*1000</f>
        <v>0</v>
      </c>
      <c r="T18" s="468">
        <f>(0)*1000</f>
        <v>0</v>
      </c>
      <c r="U18" s="468">
        <f>(0)*1000</f>
        <v>0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</row>
    <row r="19" spans="1:41">
      <c r="A19" s="57" t="s">
        <v>941</v>
      </c>
      <c r="B19" s="451" t="s">
        <v>942</v>
      </c>
      <c r="C19" s="28" t="s">
        <v>920</v>
      </c>
      <c r="D19" s="468">
        <f>(1937)*1000</f>
        <v>1937000</v>
      </c>
      <c r="E19" s="468">
        <f>(1869)*1000</f>
        <v>1869000</v>
      </c>
      <c r="F19" s="468">
        <f>(1928.23703694169)*1000</f>
        <v>1928237.0369416899</v>
      </c>
      <c r="G19" s="468">
        <f>(777.264309779109)*1000</f>
        <v>777264.30977910897</v>
      </c>
      <c r="H19" s="468">
        <f>(110.134791956607)*1000</f>
        <v>110134.791956607</v>
      </c>
      <c r="I19" s="468">
        <f>(803.6739002)*1000</f>
        <v>803673.90020000003</v>
      </c>
      <c r="J19" s="468">
        <f>(971.3677106)*1000</f>
        <v>971367.71059999999</v>
      </c>
      <c r="K19" s="468">
        <f>(481.8555522)*1000</f>
        <v>481855.55219999998</v>
      </c>
      <c r="L19" s="452"/>
      <c r="M19" s="452"/>
      <c r="N19" s="468">
        <f t="shared" si="3"/>
        <v>0</v>
      </c>
      <c r="O19" s="468">
        <f t="shared" si="3"/>
        <v>0</v>
      </c>
      <c r="P19" s="468">
        <f t="shared" si="3"/>
        <v>0</v>
      </c>
      <c r="Q19" s="468">
        <f t="shared" si="3"/>
        <v>0</v>
      </c>
      <c r="R19" s="468">
        <f t="shared" si="3"/>
        <v>0</v>
      </c>
      <c r="S19" s="468">
        <f>(0)*1000</f>
        <v>0</v>
      </c>
      <c r="T19" s="468">
        <f>(0)*1000</f>
        <v>0</v>
      </c>
      <c r="U19" s="468">
        <f>(0)*1000</f>
        <v>0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</row>
    <row r="20" spans="1:41">
      <c r="A20" s="57" t="s">
        <v>943</v>
      </c>
      <c r="B20" s="451" t="s">
        <v>944</v>
      </c>
      <c r="C20" s="28" t="s">
        <v>920</v>
      </c>
      <c r="D20" s="468">
        <f>(3891)*1000</f>
        <v>3891000</v>
      </c>
      <c r="E20" s="468">
        <f>(3733)*1000</f>
        <v>3733000</v>
      </c>
      <c r="F20" s="468">
        <f>(4408.39413590118)*1000</f>
        <v>4408394.1359011801</v>
      </c>
      <c r="G20" s="468">
        <f>(4174.09027934462)*1000</f>
        <v>4174090.2793446202</v>
      </c>
      <c r="H20" s="468">
        <f>(4885.8929134157)*1000</f>
        <v>4885892.9134156993</v>
      </c>
      <c r="I20" s="468">
        <f>(2103.14415756188)*1000</f>
        <v>2103144.1575618801</v>
      </c>
      <c r="J20" s="468">
        <f>(3969.76133552425)*1000</f>
        <v>3969761.3355242503</v>
      </c>
      <c r="K20" s="468">
        <f>(9850.83350123709)*1000</f>
        <v>9850833.5012370907</v>
      </c>
      <c r="L20" s="452"/>
      <c r="M20" s="452"/>
      <c r="N20" s="468">
        <f t="shared" si="3"/>
        <v>0</v>
      </c>
      <c r="O20" s="468">
        <f t="shared" si="3"/>
        <v>0</v>
      </c>
      <c r="P20" s="468">
        <f t="shared" si="3"/>
        <v>0</v>
      </c>
      <c r="Q20" s="468">
        <f t="shared" si="3"/>
        <v>0</v>
      </c>
      <c r="R20" s="468">
        <f t="shared" si="3"/>
        <v>0</v>
      </c>
      <c r="S20" s="468">
        <f>(3856.22139328812)*1000</f>
        <v>3856221.3932881202</v>
      </c>
      <c r="T20" s="468">
        <f>(2834.32650952575)*1000</f>
        <v>2834326.5095257503</v>
      </c>
      <c r="U20" s="468">
        <f>(4962.84231311291)*1000</f>
        <v>4962842.3131129099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</row>
    <row r="21" spans="1:41">
      <c r="A21" s="57" t="s">
        <v>945</v>
      </c>
      <c r="B21" s="451" t="s">
        <v>946</v>
      </c>
      <c r="C21" s="28" t="s">
        <v>920</v>
      </c>
      <c r="D21" s="468">
        <f>(2750)*1000</f>
        <v>2750000</v>
      </c>
      <c r="E21" s="468">
        <f>(2674)*1000</f>
        <v>2674000</v>
      </c>
      <c r="F21" s="468">
        <f>(2750.54596905146)*1000</f>
        <v>2750545.9690514598</v>
      </c>
      <c r="G21" s="468">
        <f>(2528.08565815571)*1000</f>
        <v>2528085.65815571</v>
      </c>
      <c r="H21" s="468">
        <f>(1798.30764938528)*1000</f>
        <v>1798307.64938528</v>
      </c>
      <c r="I21" s="468">
        <f>(1800.25739597987)*1000</f>
        <v>1800257.3959798699</v>
      </c>
      <c r="J21" s="468">
        <f>(1210.74355252016)*1000</f>
        <v>1210743.5525201599</v>
      </c>
      <c r="K21" s="468">
        <f>(1495.15703412015)*1000</f>
        <v>1495157.0341201499</v>
      </c>
      <c r="L21" s="452"/>
      <c r="M21" s="452"/>
      <c r="N21" s="468">
        <f t="shared" si="3"/>
        <v>0</v>
      </c>
      <c r="O21" s="468">
        <f t="shared" si="3"/>
        <v>0</v>
      </c>
      <c r="P21" s="468">
        <f t="shared" si="3"/>
        <v>0</v>
      </c>
      <c r="Q21" s="468">
        <f t="shared" si="3"/>
        <v>0</v>
      </c>
      <c r="R21" s="468">
        <f t="shared" si="3"/>
        <v>0</v>
      </c>
      <c r="S21" s="468">
        <f>(83.8966640201291)*1000</f>
        <v>83896.664020129101</v>
      </c>
      <c r="T21" s="468">
        <f>(53.1787474798347)*1000</f>
        <v>53178.747479834696</v>
      </c>
      <c r="U21" s="468">
        <f>(55.4630358798515)*1000</f>
        <v>55463.035879851501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</row>
    <row r="22" spans="1:41">
      <c r="A22" s="57" t="s">
        <v>947</v>
      </c>
      <c r="B22" s="451" t="s">
        <v>948</v>
      </c>
      <c r="C22" s="28" t="s">
        <v>920</v>
      </c>
      <c r="D22" s="468">
        <f t="shared" ref="D22:K22" si="4">(0)*1000</f>
        <v>0</v>
      </c>
      <c r="E22" s="468">
        <f t="shared" si="4"/>
        <v>0</v>
      </c>
      <c r="F22" s="468">
        <f t="shared" si="4"/>
        <v>0</v>
      </c>
      <c r="G22" s="468">
        <f t="shared" si="4"/>
        <v>0</v>
      </c>
      <c r="H22" s="468">
        <f t="shared" si="4"/>
        <v>0</v>
      </c>
      <c r="I22" s="468">
        <f t="shared" si="4"/>
        <v>0</v>
      </c>
      <c r="J22" s="468">
        <f t="shared" si="4"/>
        <v>0</v>
      </c>
      <c r="K22" s="468">
        <f t="shared" si="4"/>
        <v>0</v>
      </c>
      <c r="L22" s="452"/>
      <c r="M22" s="452"/>
      <c r="N22" s="468">
        <f t="shared" si="3"/>
        <v>0</v>
      </c>
      <c r="O22" s="468">
        <f t="shared" si="3"/>
        <v>0</v>
      </c>
      <c r="P22" s="468">
        <f t="shared" si="3"/>
        <v>0</v>
      </c>
      <c r="Q22" s="468">
        <f t="shared" si="3"/>
        <v>0</v>
      </c>
      <c r="R22" s="468">
        <f t="shared" si="3"/>
        <v>0</v>
      </c>
      <c r="S22" s="468">
        <f>(0)*1000</f>
        <v>0</v>
      </c>
      <c r="T22" s="468">
        <f>(0)*1000</f>
        <v>0</v>
      </c>
      <c r="U22" s="468">
        <f>(0)*1000</f>
        <v>0</v>
      </c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</row>
    <row r="23" spans="1:41">
      <c r="A23" s="57" t="s">
        <v>949</v>
      </c>
      <c r="B23" s="451" t="s">
        <v>950</v>
      </c>
      <c r="C23" s="28" t="s">
        <v>920</v>
      </c>
      <c r="D23" s="468">
        <f t="shared" ref="D23:H27" si="5">(0)*1000</f>
        <v>0</v>
      </c>
      <c r="E23" s="468">
        <f t="shared" si="5"/>
        <v>0</v>
      </c>
      <c r="F23" s="468">
        <f t="shared" si="5"/>
        <v>0</v>
      </c>
      <c r="G23" s="468">
        <f t="shared" si="5"/>
        <v>0</v>
      </c>
      <c r="H23" s="468">
        <f t="shared" si="5"/>
        <v>0</v>
      </c>
      <c r="I23" s="468">
        <f>(11155.6570496834)*1000</f>
        <v>11155657.049683399</v>
      </c>
      <c r="J23" s="468">
        <f>(13713.6254202298)*1000</f>
        <v>13713625.4202298</v>
      </c>
      <c r="K23" s="468">
        <f>(11637.4753466369)*1000</f>
        <v>11637475.346636901</v>
      </c>
      <c r="L23" s="452"/>
      <c r="M23" s="452"/>
      <c r="N23" s="468">
        <f t="shared" si="3"/>
        <v>0</v>
      </c>
      <c r="O23" s="468">
        <f t="shared" si="3"/>
        <v>0</v>
      </c>
      <c r="P23" s="468">
        <f t="shared" si="3"/>
        <v>0</v>
      </c>
      <c r="Q23" s="468">
        <f t="shared" si="3"/>
        <v>0</v>
      </c>
      <c r="R23" s="468">
        <f t="shared" si="3"/>
        <v>0</v>
      </c>
      <c r="S23" s="468">
        <f>(315.965650316576)*1000</f>
        <v>315965.65031657601</v>
      </c>
      <c r="T23" s="468">
        <f>(602.335169770226)*1000</f>
        <v>602335.169770226</v>
      </c>
      <c r="U23" s="468">
        <f>(431.693593363079)*1000</f>
        <v>431693.59336307901</v>
      </c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</row>
    <row r="24" spans="1:41">
      <c r="A24" s="57" t="s">
        <v>951</v>
      </c>
      <c r="B24" s="451" t="s">
        <v>952</v>
      </c>
      <c r="C24" s="28" t="s">
        <v>920</v>
      </c>
      <c r="D24" s="468">
        <f t="shared" si="5"/>
        <v>0</v>
      </c>
      <c r="E24" s="468">
        <f t="shared" si="5"/>
        <v>0</v>
      </c>
      <c r="F24" s="468">
        <f t="shared" si="5"/>
        <v>0</v>
      </c>
      <c r="G24" s="468">
        <f t="shared" si="5"/>
        <v>0</v>
      </c>
      <c r="H24" s="468">
        <f t="shared" si="5"/>
        <v>0</v>
      </c>
      <c r="I24" s="468">
        <f>(143.164)*1000</f>
        <v>143164</v>
      </c>
      <c r="J24" s="468">
        <f>(59.47976)*1000</f>
        <v>59479.76</v>
      </c>
      <c r="K24" s="468">
        <f>(284.25137)*1000</f>
        <v>284251.37</v>
      </c>
      <c r="L24" s="452"/>
      <c r="M24" s="452"/>
      <c r="N24" s="468">
        <f t="shared" si="3"/>
        <v>0</v>
      </c>
      <c r="O24" s="468">
        <f t="shared" si="3"/>
        <v>0</v>
      </c>
      <c r="P24" s="468">
        <f t="shared" si="3"/>
        <v>0</v>
      </c>
      <c r="Q24" s="468">
        <f t="shared" si="3"/>
        <v>0</v>
      </c>
      <c r="R24" s="468">
        <f t="shared" si="3"/>
        <v>0</v>
      </c>
      <c r="S24" s="468">
        <f t="shared" ref="S24:U27" si="6">(0)*1000</f>
        <v>0</v>
      </c>
      <c r="T24" s="468">
        <f t="shared" si="6"/>
        <v>0</v>
      </c>
      <c r="U24" s="468">
        <f t="shared" si="6"/>
        <v>0</v>
      </c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</row>
    <row r="25" spans="1:41">
      <c r="A25" s="57" t="s">
        <v>953</v>
      </c>
      <c r="B25" s="451" t="s">
        <v>954</v>
      </c>
      <c r="C25" s="28" t="s">
        <v>920</v>
      </c>
      <c r="D25" s="468">
        <f t="shared" si="5"/>
        <v>0</v>
      </c>
      <c r="E25" s="468">
        <f t="shared" si="5"/>
        <v>0</v>
      </c>
      <c r="F25" s="468">
        <f t="shared" si="5"/>
        <v>0</v>
      </c>
      <c r="G25" s="468">
        <f t="shared" si="5"/>
        <v>0</v>
      </c>
      <c r="H25" s="468">
        <f t="shared" si="5"/>
        <v>0</v>
      </c>
      <c r="I25" s="468">
        <f>(219.51)*1000</f>
        <v>219510</v>
      </c>
      <c r="J25" s="468">
        <f>(53.92)*1000</f>
        <v>53920</v>
      </c>
      <c r="K25" s="468">
        <f>(292.643)*1000</f>
        <v>292643</v>
      </c>
      <c r="L25" s="452"/>
      <c r="M25" s="452"/>
      <c r="N25" s="468">
        <f t="shared" si="3"/>
        <v>0</v>
      </c>
      <c r="O25" s="468">
        <f t="shared" si="3"/>
        <v>0</v>
      </c>
      <c r="P25" s="468">
        <f t="shared" si="3"/>
        <v>0</v>
      </c>
      <c r="Q25" s="468">
        <f t="shared" si="3"/>
        <v>0</v>
      </c>
      <c r="R25" s="468">
        <f t="shared" si="3"/>
        <v>0</v>
      </c>
      <c r="S25" s="468">
        <f t="shared" si="6"/>
        <v>0</v>
      </c>
      <c r="T25" s="468">
        <f t="shared" si="6"/>
        <v>0</v>
      </c>
      <c r="U25" s="468">
        <f t="shared" si="6"/>
        <v>0</v>
      </c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</row>
    <row r="26" spans="1:41">
      <c r="A26" s="57" t="s">
        <v>955</v>
      </c>
      <c r="B26" s="451" t="s">
        <v>956</v>
      </c>
      <c r="C26" s="28" t="s">
        <v>920</v>
      </c>
      <c r="D26" s="468">
        <f t="shared" si="5"/>
        <v>0</v>
      </c>
      <c r="E26" s="468">
        <f t="shared" si="5"/>
        <v>0</v>
      </c>
      <c r="F26" s="468">
        <f t="shared" si="5"/>
        <v>0</v>
      </c>
      <c r="G26" s="468">
        <f t="shared" si="5"/>
        <v>0</v>
      </c>
      <c r="H26" s="468">
        <f t="shared" si="5"/>
        <v>0</v>
      </c>
      <c r="I26" s="468">
        <f t="shared" ref="I26:K27" si="7">(0)*1000</f>
        <v>0</v>
      </c>
      <c r="J26" s="468">
        <f t="shared" si="7"/>
        <v>0</v>
      </c>
      <c r="K26" s="468">
        <f t="shared" si="7"/>
        <v>0</v>
      </c>
      <c r="L26" s="452"/>
      <c r="M26" s="452"/>
      <c r="N26" s="468">
        <f t="shared" si="3"/>
        <v>0</v>
      </c>
      <c r="O26" s="468">
        <f t="shared" si="3"/>
        <v>0</v>
      </c>
      <c r="P26" s="468">
        <f t="shared" si="3"/>
        <v>0</v>
      </c>
      <c r="Q26" s="468">
        <f t="shared" si="3"/>
        <v>0</v>
      </c>
      <c r="R26" s="468">
        <f t="shared" si="3"/>
        <v>0</v>
      </c>
      <c r="S26" s="468">
        <f t="shared" si="6"/>
        <v>0</v>
      </c>
      <c r="T26" s="468">
        <f t="shared" si="6"/>
        <v>0</v>
      </c>
      <c r="U26" s="468">
        <f t="shared" si="6"/>
        <v>0</v>
      </c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</row>
    <row r="27" spans="1:41">
      <c r="A27" s="57" t="s">
        <v>957</v>
      </c>
      <c r="B27" s="451" t="s">
        <v>958</v>
      </c>
      <c r="C27" s="28" t="s">
        <v>920</v>
      </c>
      <c r="D27" s="468">
        <f t="shared" si="5"/>
        <v>0</v>
      </c>
      <c r="E27" s="468">
        <f t="shared" si="5"/>
        <v>0</v>
      </c>
      <c r="F27" s="468">
        <f t="shared" si="5"/>
        <v>0</v>
      </c>
      <c r="G27" s="468">
        <f t="shared" si="5"/>
        <v>0</v>
      </c>
      <c r="H27" s="468">
        <f t="shared" si="5"/>
        <v>0</v>
      </c>
      <c r="I27" s="468">
        <f t="shared" si="7"/>
        <v>0</v>
      </c>
      <c r="J27" s="468">
        <f t="shared" si="7"/>
        <v>0</v>
      </c>
      <c r="K27" s="468">
        <f t="shared" si="7"/>
        <v>0</v>
      </c>
      <c r="L27" s="452"/>
      <c r="M27" s="452"/>
      <c r="N27" s="468">
        <f t="shared" si="3"/>
        <v>0</v>
      </c>
      <c r="O27" s="468">
        <f t="shared" si="3"/>
        <v>0</v>
      </c>
      <c r="P27" s="468">
        <f t="shared" si="3"/>
        <v>0</v>
      </c>
      <c r="Q27" s="468">
        <f t="shared" si="3"/>
        <v>0</v>
      </c>
      <c r="R27" s="468">
        <f t="shared" si="3"/>
        <v>0</v>
      </c>
      <c r="S27" s="468">
        <f t="shared" si="6"/>
        <v>0</v>
      </c>
      <c r="T27" s="468">
        <f t="shared" si="6"/>
        <v>0</v>
      </c>
      <c r="U27" s="468">
        <f t="shared" si="6"/>
        <v>0</v>
      </c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</row>
    <row r="28" spans="1:41">
      <c r="A28" s="57" t="s">
        <v>959</v>
      </c>
      <c r="B28" s="451" t="s">
        <v>960</v>
      </c>
      <c r="C28" s="28" t="s">
        <v>920</v>
      </c>
      <c r="D28" s="468">
        <f>(15746)*1000</f>
        <v>15746000</v>
      </c>
      <c r="E28" s="468">
        <f>(16876)*1000</f>
        <v>16876000</v>
      </c>
      <c r="F28" s="468">
        <f>(16668.1101093902)*1000</f>
        <v>16668110.109390199</v>
      </c>
      <c r="G28" s="468">
        <f>(34488.8471656356)*1000</f>
        <v>34488847.165635601</v>
      </c>
      <c r="H28" s="468">
        <f>(38286.6382530981)*1000</f>
        <v>38286638.2530981</v>
      </c>
      <c r="I28" s="468">
        <f>(42860.456361554)*1000</f>
        <v>42860456.361554004</v>
      </c>
      <c r="J28" s="468">
        <f>(38930.1402904039)*1000</f>
        <v>38930140.290403895</v>
      </c>
      <c r="K28" s="468">
        <f>(31108.0658964636)*1000</f>
        <v>31108065.896463599</v>
      </c>
      <c r="L28" s="452"/>
      <c r="M28" s="452"/>
      <c r="N28" s="468">
        <f t="shared" si="3"/>
        <v>0</v>
      </c>
      <c r="O28" s="468">
        <f t="shared" si="3"/>
        <v>0</v>
      </c>
      <c r="P28" s="468">
        <f t="shared" si="3"/>
        <v>0</v>
      </c>
      <c r="Q28" s="468">
        <f t="shared" si="3"/>
        <v>0</v>
      </c>
      <c r="R28" s="468">
        <f t="shared" si="3"/>
        <v>0</v>
      </c>
      <c r="S28" s="468">
        <f>(664.520374695854)*1000</f>
        <v>664520.37469585403</v>
      </c>
      <c r="T28" s="468">
        <f>(1259.89749084596)*1000</f>
        <v>1259897.4908459599</v>
      </c>
      <c r="U28" s="468">
        <f>(788.17745728636)*1000</f>
        <v>788177.45728635998</v>
      </c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  <row r="29" spans="1:41" customFormat="1"/>
    <row r="30" spans="1:41">
      <c r="A30" s="1"/>
      <c r="B30" s="1"/>
      <c r="C30" s="28"/>
      <c r="D30" s="51"/>
      <c r="E30" s="51"/>
      <c r="F30" s="51"/>
      <c r="G30" s="51"/>
      <c r="H30" s="51"/>
      <c r="I30" s="51"/>
      <c r="J30" s="51"/>
      <c r="K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</row>
    <row r="31" spans="1:41">
      <c r="B31" s="81" t="s">
        <v>593</v>
      </c>
      <c r="C31" s="82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</row>
    <row r="32" spans="1:41">
      <c r="A32" s="57" t="s">
        <v>961</v>
      </c>
      <c r="B32" s="95" t="s">
        <v>962</v>
      </c>
      <c r="C32" s="120" t="s">
        <v>920</v>
      </c>
      <c r="D32" s="134">
        <f>(1608)*1000</f>
        <v>1608000</v>
      </c>
      <c r="E32" s="134">
        <f>(1535)*1000</f>
        <v>1535000</v>
      </c>
      <c r="F32" s="134">
        <f>(1674.73906086705)*1000</f>
        <v>1674739.06086705</v>
      </c>
      <c r="G32" s="134">
        <f>(1417.28852)*1000</f>
        <v>1417288.52</v>
      </c>
      <c r="H32" s="134">
        <f>(2391.28248)*1000</f>
        <v>2391282.48</v>
      </c>
      <c r="I32" s="134"/>
      <c r="J32" s="134"/>
      <c r="K32" s="134"/>
      <c r="L32" s="453"/>
      <c r="M32" s="453"/>
      <c r="N32" s="134">
        <f t="shared" ref="N32:R33" si="8">(0)*1000</f>
        <v>0</v>
      </c>
      <c r="O32" s="134">
        <f t="shared" si="8"/>
        <v>0</v>
      </c>
      <c r="P32" s="134">
        <f t="shared" si="8"/>
        <v>0</v>
      </c>
      <c r="Q32" s="134">
        <f t="shared" si="8"/>
        <v>0</v>
      </c>
      <c r="R32" s="134">
        <f t="shared" si="8"/>
        <v>0</v>
      </c>
      <c r="S32" s="454"/>
      <c r="T32" s="454"/>
      <c r="U32" s="454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</row>
    <row r="33" spans="1:41">
      <c r="A33" s="57" t="s">
        <v>963</v>
      </c>
      <c r="B33" s="95" t="s">
        <v>964</v>
      </c>
      <c r="C33" s="120" t="s">
        <v>920</v>
      </c>
      <c r="D33" s="134">
        <f>(0)*1000</f>
        <v>0</v>
      </c>
      <c r="E33" s="134">
        <f>(0)*1000</f>
        <v>0</v>
      </c>
      <c r="F33" s="134">
        <f>(0)*1000</f>
        <v>0</v>
      </c>
      <c r="G33" s="134">
        <f>(0)*1000</f>
        <v>0</v>
      </c>
      <c r="H33" s="134">
        <f>(0)*1000</f>
        <v>0</v>
      </c>
      <c r="I33" s="134"/>
      <c r="J33" s="134"/>
      <c r="K33" s="134"/>
      <c r="L33" s="453"/>
      <c r="M33" s="453"/>
      <c r="N33" s="134">
        <f t="shared" si="8"/>
        <v>0</v>
      </c>
      <c r="O33" s="134">
        <f t="shared" si="8"/>
        <v>0</v>
      </c>
      <c r="P33" s="134">
        <f t="shared" si="8"/>
        <v>0</v>
      </c>
      <c r="Q33" s="134">
        <f t="shared" si="8"/>
        <v>0</v>
      </c>
      <c r="R33" s="134">
        <f t="shared" si="8"/>
        <v>0</v>
      </c>
      <c r="S33" s="454"/>
      <c r="T33" s="454"/>
      <c r="U33" s="454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</row>
    <row r="34" spans="1:41">
      <c r="A34" s="57" t="s">
        <v>965</v>
      </c>
      <c r="B34" s="95" t="s">
        <v>137</v>
      </c>
      <c r="C34" s="120" t="s">
        <v>920</v>
      </c>
      <c r="D34" s="134">
        <f>(15725)*1000</f>
        <v>15725000</v>
      </c>
      <c r="E34" s="134">
        <f>(15008)*1000</f>
        <v>15008000</v>
      </c>
      <c r="F34" s="134">
        <f>(16378.9480152797)*1000</f>
        <v>16378948.015279701</v>
      </c>
      <c r="G34" s="134">
        <f>(11199.3318186)*1000</f>
        <v>11199331.818599999</v>
      </c>
      <c r="H34" s="134">
        <f>(15941.692652)*1000</f>
        <v>15941692.651999999</v>
      </c>
      <c r="I34" s="134"/>
      <c r="J34" s="134"/>
      <c r="K34" s="134"/>
      <c r="L34" s="453"/>
      <c r="M34" s="453"/>
      <c r="N34" s="134">
        <f>(1199)*1000</f>
        <v>1199000</v>
      </c>
      <c r="O34" s="134">
        <f>(1627)*1000</f>
        <v>1627000</v>
      </c>
      <c r="P34" s="134">
        <f>(1633.99014582927)*1000</f>
        <v>1633990.1458292699</v>
      </c>
      <c r="Q34" s="134">
        <f>(2296.56566000001)*1000</f>
        <v>2296565.6600000104</v>
      </c>
      <c r="R34" s="134">
        <f>(2416.68917)*1000</f>
        <v>2416689.17</v>
      </c>
      <c r="S34" s="454"/>
      <c r="T34" s="454"/>
      <c r="U34" s="454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</row>
    <row r="35" spans="1:41">
      <c r="A35" s="57" t="s">
        <v>966</v>
      </c>
      <c r="B35" s="95" t="s">
        <v>967</v>
      </c>
      <c r="C35" s="120" t="s">
        <v>920</v>
      </c>
      <c r="D35" s="134">
        <f>(3452)*1000</f>
        <v>3452000</v>
      </c>
      <c r="E35" s="134">
        <f>(3295)*1000</f>
        <v>3295000</v>
      </c>
      <c r="F35" s="134">
        <f>(3595.37883262238)*1000</f>
        <v>3595378.83262238</v>
      </c>
      <c r="G35" s="134">
        <f>(2458.3899114)*1000</f>
        <v>2458389.9114000001</v>
      </c>
      <c r="H35" s="134">
        <f>(3499.395948)*1000</f>
        <v>3499395.9479999999</v>
      </c>
      <c r="I35" s="134"/>
      <c r="J35" s="134"/>
      <c r="K35" s="134"/>
      <c r="L35" s="453"/>
      <c r="M35" s="453"/>
      <c r="N35" s="134">
        <f>(263)*1000</f>
        <v>263000</v>
      </c>
      <c r="O35" s="134">
        <f>(357)*1000</f>
        <v>357000</v>
      </c>
      <c r="P35" s="134">
        <f>(358.680763718619)*1000</f>
        <v>358680.76371861901</v>
      </c>
      <c r="Q35" s="134">
        <f t="shared" ref="Q35:R38" si="9">(0)*1000</f>
        <v>0</v>
      </c>
      <c r="R35" s="134">
        <f t="shared" si="9"/>
        <v>0</v>
      </c>
      <c r="S35" s="454"/>
      <c r="T35" s="454"/>
      <c r="U35" s="454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</row>
    <row r="36" spans="1:41">
      <c r="A36" s="57" t="s">
        <v>968</v>
      </c>
      <c r="B36" s="95" t="s">
        <v>969</v>
      </c>
      <c r="C36" s="120" t="s">
        <v>920</v>
      </c>
      <c r="D36" s="134">
        <f t="shared" ref="D36:H37" si="10">(0)*1000</f>
        <v>0</v>
      </c>
      <c r="E36" s="134">
        <f t="shared" si="10"/>
        <v>0</v>
      </c>
      <c r="F36" s="134">
        <f t="shared" si="10"/>
        <v>0</v>
      </c>
      <c r="G36" s="134">
        <f t="shared" si="10"/>
        <v>0</v>
      </c>
      <c r="H36" s="134">
        <f t="shared" si="10"/>
        <v>0</v>
      </c>
      <c r="I36" s="134"/>
      <c r="J36" s="134"/>
      <c r="K36" s="134"/>
      <c r="L36" s="453"/>
      <c r="M36" s="453"/>
      <c r="N36" s="134">
        <f t="shared" ref="N36:P38" si="11">(0)*1000</f>
        <v>0</v>
      </c>
      <c r="O36" s="134">
        <f t="shared" si="11"/>
        <v>0</v>
      </c>
      <c r="P36" s="134">
        <f t="shared" si="11"/>
        <v>0</v>
      </c>
      <c r="Q36" s="134">
        <f t="shared" si="9"/>
        <v>0</v>
      </c>
      <c r="R36" s="134">
        <f t="shared" si="9"/>
        <v>0</v>
      </c>
      <c r="S36" s="454"/>
      <c r="T36" s="454"/>
      <c r="U36" s="454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</row>
    <row r="37" spans="1:41">
      <c r="A37" s="57" t="s">
        <v>970</v>
      </c>
      <c r="B37" s="95" t="s">
        <v>971</v>
      </c>
      <c r="C37" s="120" t="s">
        <v>920</v>
      </c>
      <c r="D37" s="134">
        <f t="shared" si="10"/>
        <v>0</v>
      </c>
      <c r="E37" s="134">
        <f t="shared" si="10"/>
        <v>0</v>
      </c>
      <c r="F37" s="134">
        <f t="shared" si="10"/>
        <v>0</v>
      </c>
      <c r="G37" s="134">
        <f t="shared" si="10"/>
        <v>0</v>
      </c>
      <c r="H37" s="134">
        <f t="shared" si="10"/>
        <v>0</v>
      </c>
      <c r="I37" s="134"/>
      <c r="J37" s="134"/>
      <c r="K37" s="134"/>
      <c r="L37" s="453"/>
      <c r="M37" s="453"/>
      <c r="N37" s="134">
        <f t="shared" si="11"/>
        <v>0</v>
      </c>
      <c r="O37" s="134">
        <f t="shared" si="11"/>
        <v>0</v>
      </c>
      <c r="P37" s="134">
        <f t="shared" si="11"/>
        <v>0</v>
      </c>
      <c r="Q37" s="134">
        <f t="shared" si="9"/>
        <v>0</v>
      </c>
      <c r="R37" s="134">
        <f t="shared" si="9"/>
        <v>0</v>
      </c>
      <c r="S37" s="454"/>
      <c r="T37" s="454"/>
      <c r="U37" s="454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</row>
    <row r="38" spans="1:41">
      <c r="A38" s="57" t="s">
        <v>972</v>
      </c>
      <c r="B38" s="95" t="s">
        <v>973</v>
      </c>
      <c r="C38" s="120" t="s">
        <v>920</v>
      </c>
      <c r="D38" s="134">
        <f t="shared" ref="D38:F39" si="12">(0)*1000</f>
        <v>0</v>
      </c>
      <c r="E38" s="134">
        <f t="shared" si="12"/>
        <v>0</v>
      </c>
      <c r="F38" s="134">
        <f t="shared" si="12"/>
        <v>0</v>
      </c>
      <c r="G38" s="134"/>
      <c r="H38" s="134">
        <f>(0)*1000</f>
        <v>0</v>
      </c>
      <c r="I38" s="134"/>
      <c r="J38" s="134"/>
      <c r="K38" s="134"/>
      <c r="L38" s="453"/>
      <c r="M38" s="453"/>
      <c r="N38" s="134">
        <f t="shared" si="11"/>
        <v>0</v>
      </c>
      <c r="O38" s="134">
        <f t="shared" si="11"/>
        <v>0</v>
      </c>
      <c r="P38" s="134">
        <f t="shared" si="11"/>
        <v>0</v>
      </c>
      <c r="Q38" s="134">
        <f t="shared" si="9"/>
        <v>0</v>
      </c>
      <c r="R38" s="134">
        <f t="shared" si="9"/>
        <v>0</v>
      </c>
      <c r="S38" s="454"/>
      <c r="T38" s="454"/>
      <c r="U38" s="454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</row>
    <row r="39" spans="1:41">
      <c r="A39" s="57" t="s">
        <v>974</v>
      </c>
      <c r="B39" s="95" t="s">
        <v>932</v>
      </c>
      <c r="C39" s="120" t="s">
        <v>920</v>
      </c>
      <c r="D39" s="134">
        <f t="shared" si="12"/>
        <v>0</v>
      </c>
      <c r="E39" s="134">
        <f t="shared" si="12"/>
        <v>0</v>
      </c>
      <c r="F39" s="134">
        <f t="shared" si="12"/>
        <v>0</v>
      </c>
      <c r="G39" s="134">
        <f>(0)*1000</f>
        <v>0</v>
      </c>
      <c r="H39" s="134">
        <f>(0)*1000</f>
        <v>0</v>
      </c>
      <c r="I39" s="134"/>
      <c r="J39" s="134"/>
      <c r="K39" s="134"/>
      <c r="L39" s="453"/>
      <c r="M39" s="453"/>
      <c r="N39" s="134">
        <f>(2998)*1000</f>
        <v>2998000</v>
      </c>
      <c r="O39" s="134">
        <f>(2673)*1000</f>
        <v>2673000</v>
      </c>
      <c r="P39" s="134">
        <f>(3146.58101193505)*1000</f>
        <v>3146581.0119350497</v>
      </c>
      <c r="Q39" s="134">
        <f>(1250.52771)*1000</f>
        <v>1250527.71</v>
      </c>
      <c r="R39" s="134">
        <f>(1792.25597)*1000</f>
        <v>1792255.97</v>
      </c>
      <c r="S39" s="454"/>
      <c r="T39" s="454"/>
      <c r="U39" s="454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</row>
    <row r="40" spans="1:41">
      <c r="A40" s="57" t="s">
        <v>975</v>
      </c>
      <c r="B40" s="95" t="s">
        <v>976</v>
      </c>
      <c r="C40" s="120" t="s">
        <v>920</v>
      </c>
      <c r="D40" s="134">
        <f>(2297)*1000</f>
        <v>2297000</v>
      </c>
      <c r="E40" s="134">
        <f>(2192)*1000</f>
        <v>2192000</v>
      </c>
      <c r="F40" s="134">
        <f>(2441.18512509089)*1000</f>
        <v>2441185.1250908901</v>
      </c>
      <c r="G40" s="134">
        <f>(206.32939)*1000</f>
        <v>206329.38999999998</v>
      </c>
      <c r="H40" s="134">
        <f>(227.25382)*1000</f>
        <v>227253.81999999998</v>
      </c>
      <c r="I40" s="134"/>
      <c r="J40" s="134"/>
      <c r="K40" s="134"/>
      <c r="L40" s="453"/>
      <c r="M40" s="453"/>
      <c r="N40" s="134">
        <f t="shared" ref="N40:R41" si="13">(0)*1000</f>
        <v>0</v>
      </c>
      <c r="O40" s="134">
        <f t="shared" si="13"/>
        <v>0</v>
      </c>
      <c r="P40" s="134">
        <f t="shared" si="13"/>
        <v>0</v>
      </c>
      <c r="Q40" s="134">
        <f t="shared" si="13"/>
        <v>0</v>
      </c>
      <c r="R40" s="134">
        <f t="shared" si="13"/>
        <v>0</v>
      </c>
      <c r="S40" s="454"/>
      <c r="T40" s="454"/>
      <c r="U40" s="454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</row>
    <row r="41" spans="1:41">
      <c r="A41" s="57" t="s">
        <v>977</v>
      </c>
      <c r="B41" s="95" t="s">
        <v>978</v>
      </c>
      <c r="C41" s="120" t="s">
        <v>920</v>
      </c>
      <c r="D41" s="134">
        <f>(2847)*1000</f>
        <v>2847000</v>
      </c>
      <c r="E41" s="134">
        <f>(2717)*1000</f>
        <v>2717000</v>
      </c>
      <c r="F41" s="134">
        <f>(2965.09460995285)*1000</f>
        <v>2965094.6099528503</v>
      </c>
      <c r="G41" s="134">
        <f>(1779.54695)*1000</f>
        <v>1779546.95</v>
      </c>
      <c r="H41" s="134">
        <f>(2542.43186)*1000</f>
        <v>2542431.8600000003</v>
      </c>
      <c r="I41" s="134"/>
      <c r="J41" s="134"/>
      <c r="K41" s="134"/>
      <c r="L41" s="453"/>
      <c r="M41" s="453"/>
      <c r="N41" s="134">
        <f t="shared" si="13"/>
        <v>0</v>
      </c>
      <c r="O41" s="134">
        <f t="shared" si="13"/>
        <v>0</v>
      </c>
      <c r="P41" s="134">
        <f t="shared" si="13"/>
        <v>0</v>
      </c>
      <c r="Q41" s="134">
        <f t="shared" si="13"/>
        <v>0</v>
      </c>
      <c r="R41" s="134">
        <f t="shared" si="13"/>
        <v>0</v>
      </c>
      <c r="S41" s="454"/>
      <c r="T41" s="454"/>
      <c r="U41" s="454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</row>
    <row r="42" spans="1:41">
      <c r="A42" s="57" t="s">
        <v>979</v>
      </c>
      <c r="B42" s="95" t="s">
        <v>980</v>
      </c>
      <c r="C42" s="120" t="s">
        <v>920</v>
      </c>
      <c r="D42" s="134">
        <f>(26744)*1000</f>
        <v>26744000</v>
      </c>
      <c r="E42" s="134">
        <f>(25618)*1000</f>
        <v>25618000</v>
      </c>
      <c r="F42" s="134">
        <f>(26435.5414791067)*1000</f>
        <v>26435541.479106702</v>
      </c>
      <c r="G42" s="134">
        <f>(29279.4255798375)*1000</f>
        <v>29279425.579837501</v>
      </c>
      <c r="H42" s="134">
        <f>(25511.9485305993)*1000</f>
        <v>25511948.5305993</v>
      </c>
      <c r="I42" s="134"/>
      <c r="J42" s="134"/>
      <c r="K42" s="134"/>
      <c r="L42" s="453"/>
      <c r="M42" s="453"/>
      <c r="N42" s="134">
        <f>(4272)*1000</f>
        <v>4272000</v>
      </c>
      <c r="O42" s="134">
        <f>(5797)*1000</f>
        <v>5797000</v>
      </c>
      <c r="P42" s="134">
        <f>(5820.88446639929)*1000</f>
        <v>5820884.4663992906</v>
      </c>
      <c r="Q42" s="134">
        <f>(7250.19322373076)*1000</f>
        <v>7250193.2237307597</v>
      </c>
      <c r="R42" s="134">
        <f>(7707.29025908449)*1000</f>
        <v>7707290.2590844892</v>
      </c>
      <c r="S42" s="454"/>
      <c r="T42" s="454"/>
      <c r="U42" s="454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</row>
    <row r="43" spans="1:41">
      <c r="A43" s="57" t="s">
        <v>981</v>
      </c>
      <c r="B43" s="95" t="s">
        <v>982</v>
      </c>
      <c r="C43" s="120" t="s">
        <v>920</v>
      </c>
      <c r="D43" s="134">
        <f>(0)*1000</f>
        <v>0</v>
      </c>
      <c r="E43" s="134">
        <f>(0)*1000</f>
        <v>0</v>
      </c>
      <c r="F43" s="134">
        <f>(0)*1000</f>
        <v>0</v>
      </c>
      <c r="G43" s="134">
        <f>(0)*1000</f>
        <v>0</v>
      </c>
      <c r="H43" s="134">
        <f>(0)*1000</f>
        <v>0</v>
      </c>
      <c r="I43" s="134"/>
      <c r="J43" s="134"/>
      <c r="K43" s="134"/>
      <c r="L43" s="453"/>
      <c r="M43" s="453"/>
      <c r="N43" s="134">
        <f t="shared" ref="N43:R48" si="14">(0)*1000</f>
        <v>0</v>
      </c>
      <c r="O43" s="134">
        <f t="shared" si="14"/>
        <v>0</v>
      </c>
      <c r="P43" s="134">
        <f t="shared" si="14"/>
        <v>0</v>
      </c>
      <c r="Q43" s="134">
        <f t="shared" si="14"/>
        <v>0</v>
      </c>
      <c r="R43" s="134">
        <f t="shared" si="14"/>
        <v>0</v>
      </c>
      <c r="S43" s="454"/>
      <c r="T43" s="454"/>
      <c r="U43" s="454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</row>
    <row r="44" spans="1:41">
      <c r="A44" s="57" t="s">
        <v>983</v>
      </c>
      <c r="B44" s="95" t="s">
        <v>940</v>
      </c>
      <c r="C44" s="120" t="s">
        <v>920</v>
      </c>
      <c r="D44" s="134">
        <f>(6240)*1000</f>
        <v>6240000</v>
      </c>
      <c r="E44" s="134">
        <f>(5956)*1000</f>
        <v>5956000</v>
      </c>
      <c r="F44" s="134">
        <f>(6167.71193484284)*1000</f>
        <v>6167711.9348428398</v>
      </c>
      <c r="G44" s="134">
        <f>(739.322910377402)*1000</f>
        <v>739322.91037740197</v>
      </c>
      <c r="H44" s="134">
        <f>(935.087661338362)*1000</f>
        <v>935087.66133836191</v>
      </c>
      <c r="I44" s="134"/>
      <c r="J44" s="134"/>
      <c r="K44" s="134"/>
      <c r="L44" s="453"/>
      <c r="M44" s="453"/>
      <c r="N44" s="134">
        <f t="shared" si="14"/>
        <v>0</v>
      </c>
      <c r="O44" s="134">
        <f t="shared" si="14"/>
        <v>0</v>
      </c>
      <c r="P44" s="134">
        <f t="shared" si="14"/>
        <v>0</v>
      </c>
      <c r="Q44" s="134">
        <f t="shared" si="14"/>
        <v>0</v>
      </c>
      <c r="R44" s="134">
        <f t="shared" si="14"/>
        <v>0</v>
      </c>
      <c r="S44" s="454"/>
      <c r="T44" s="454"/>
      <c r="U44" s="454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</row>
    <row r="45" spans="1:41">
      <c r="A45" s="57" t="s">
        <v>984</v>
      </c>
      <c r="B45" s="95" t="s">
        <v>942</v>
      </c>
      <c r="C45" s="120" t="s">
        <v>920</v>
      </c>
      <c r="D45" s="134">
        <f>(1937)*1000</f>
        <v>1937000</v>
      </c>
      <c r="E45" s="134">
        <f>(1869)*1000</f>
        <v>1869000</v>
      </c>
      <c r="F45" s="134">
        <f>(1928.23703694169)*1000</f>
        <v>1928237.0369416899</v>
      </c>
      <c r="G45" s="134">
        <f>(777.264309779109)*1000</f>
        <v>777264.30977910897</v>
      </c>
      <c r="H45" s="134">
        <f>(110.134791956607)*1000</f>
        <v>110134.791956607</v>
      </c>
      <c r="I45" s="134"/>
      <c r="J45" s="134"/>
      <c r="K45" s="134"/>
      <c r="L45" s="453"/>
      <c r="M45" s="453"/>
      <c r="N45" s="134">
        <f t="shared" si="14"/>
        <v>0</v>
      </c>
      <c r="O45" s="134">
        <f t="shared" si="14"/>
        <v>0</v>
      </c>
      <c r="P45" s="134">
        <f t="shared" si="14"/>
        <v>0</v>
      </c>
      <c r="Q45" s="134">
        <f t="shared" si="14"/>
        <v>0</v>
      </c>
      <c r="R45" s="134">
        <f t="shared" si="14"/>
        <v>0</v>
      </c>
      <c r="S45" s="454"/>
      <c r="T45" s="454"/>
      <c r="U45" s="454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</row>
    <row r="46" spans="1:41">
      <c r="A46" s="57" t="s">
        <v>985</v>
      </c>
      <c r="B46" s="95" t="s">
        <v>944</v>
      </c>
      <c r="C46" s="120" t="s">
        <v>920</v>
      </c>
      <c r="D46" s="134">
        <f>(3891)*1000</f>
        <v>3891000</v>
      </c>
      <c r="E46" s="134">
        <f>(3733)*1000</f>
        <v>3733000</v>
      </c>
      <c r="F46" s="134">
        <f>(4408.39413590118)*1000</f>
        <v>4408394.1359011801</v>
      </c>
      <c r="G46" s="134">
        <f>(4174.09027934462)*1000</f>
        <v>4174090.2793446202</v>
      </c>
      <c r="H46" s="134">
        <f>(4885.8929134157)*1000</f>
        <v>4885892.9134156993</v>
      </c>
      <c r="I46" s="134"/>
      <c r="J46" s="134"/>
      <c r="K46" s="134"/>
      <c r="L46" s="453"/>
      <c r="M46" s="453"/>
      <c r="N46" s="134">
        <f t="shared" si="14"/>
        <v>0</v>
      </c>
      <c r="O46" s="134">
        <f t="shared" si="14"/>
        <v>0</v>
      </c>
      <c r="P46" s="134">
        <f t="shared" si="14"/>
        <v>0</v>
      </c>
      <c r="Q46" s="134">
        <f t="shared" si="14"/>
        <v>0</v>
      </c>
      <c r="R46" s="134">
        <f t="shared" si="14"/>
        <v>0</v>
      </c>
      <c r="S46" s="454"/>
      <c r="T46" s="454"/>
      <c r="U46" s="454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</row>
    <row r="47" spans="1:41">
      <c r="A47" s="57" t="s">
        <v>986</v>
      </c>
      <c r="B47" s="95" t="s">
        <v>946</v>
      </c>
      <c r="C47" s="120" t="s">
        <v>920</v>
      </c>
      <c r="D47" s="134">
        <f>(2750)*1000</f>
        <v>2750000</v>
      </c>
      <c r="E47" s="134">
        <f>(2674)*1000</f>
        <v>2674000</v>
      </c>
      <c r="F47" s="134">
        <f>(2750.54596905146)*1000</f>
        <v>2750545.9690514598</v>
      </c>
      <c r="G47" s="134">
        <f>(2528.08565815571)*1000</f>
        <v>2528085.65815571</v>
      </c>
      <c r="H47" s="134">
        <f>(1798.30764938528)*1000</f>
        <v>1798307.64938528</v>
      </c>
      <c r="I47" s="134"/>
      <c r="J47" s="134"/>
      <c r="K47" s="134"/>
      <c r="L47" s="453"/>
      <c r="M47" s="453"/>
      <c r="N47" s="134">
        <f t="shared" si="14"/>
        <v>0</v>
      </c>
      <c r="O47" s="134">
        <f t="shared" si="14"/>
        <v>0</v>
      </c>
      <c r="P47" s="134">
        <f t="shared" si="14"/>
        <v>0</v>
      </c>
      <c r="Q47" s="134">
        <f t="shared" si="14"/>
        <v>0</v>
      </c>
      <c r="R47" s="134">
        <f t="shared" si="14"/>
        <v>0</v>
      </c>
      <c r="S47" s="454"/>
      <c r="T47" s="454"/>
      <c r="U47" s="454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</row>
    <row r="48" spans="1:41">
      <c r="A48" s="57" t="s">
        <v>987</v>
      </c>
      <c r="B48" s="95" t="s">
        <v>28</v>
      </c>
      <c r="C48" s="120" t="s">
        <v>920</v>
      </c>
      <c r="D48" s="134">
        <f>(15746)*1000</f>
        <v>15746000</v>
      </c>
      <c r="E48" s="134">
        <f>(16876)*1000</f>
        <v>16876000</v>
      </c>
      <c r="F48" s="134">
        <f>(16668.1101093902)*1000</f>
        <v>16668110.109390199</v>
      </c>
      <c r="G48" s="134">
        <f>(34488.8471656356)*1000</f>
        <v>34488847.165635601</v>
      </c>
      <c r="H48" s="134">
        <f>(38286.6382530981)*1000</f>
        <v>38286638.2530981</v>
      </c>
      <c r="I48" s="134"/>
      <c r="J48" s="134"/>
      <c r="K48" s="134"/>
      <c r="L48" s="453"/>
      <c r="M48" s="453"/>
      <c r="N48" s="134">
        <f t="shared" si="14"/>
        <v>0</v>
      </c>
      <c r="O48" s="134">
        <f t="shared" si="14"/>
        <v>0</v>
      </c>
      <c r="P48" s="134">
        <f t="shared" si="14"/>
        <v>0</v>
      </c>
      <c r="Q48" s="134">
        <f t="shared" si="14"/>
        <v>0</v>
      </c>
      <c r="R48" s="134">
        <f t="shared" si="14"/>
        <v>0</v>
      </c>
      <c r="S48" s="454"/>
      <c r="T48" s="454"/>
      <c r="U48" s="454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</row>
    <row r="49" spans="1:41" customFormat="1"/>
    <row r="50" spans="1:41">
      <c r="C50" s="57"/>
    </row>
    <row r="51" spans="1:41">
      <c r="B51" s="81" t="s">
        <v>594</v>
      </c>
      <c r="C51" s="82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</row>
    <row r="52" spans="1:41">
      <c r="A52" s="57" t="s">
        <v>988</v>
      </c>
      <c r="B52" s="95"/>
      <c r="C52" s="120"/>
      <c r="D52" s="84"/>
      <c r="E52" s="84"/>
      <c r="F52" s="84"/>
      <c r="G52" s="84"/>
      <c r="H52" s="84"/>
      <c r="I52" s="84"/>
      <c r="J52" s="84"/>
      <c r="K52" s="84"/>
      <c r="L52" s="453"/>
      <c r="M52" s="453"/>
      <c r="N52" s="84"/>
      <c r="O52" s="84"/>
      <c r="P52" s="84"/>
      <c r="Q52" s="84"/>
      <c r="R52" s="84"/>
      <c r="S52" s="84"/>
      <c r="T52" s="84"/>
      <c r="U52" s="84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</row>
    <row r="53" spans="1:41">
      <c r="A53" s="57" t="s">
        <v>989</v>
      </c>
      <c r="B53" s="95"/>
      <c r="C53" s="120"/>
      <c r="D53" s="84"/>
      <c r="E53" s="84"/>
      <c r="F53" s="84"/>
      <c r="G53" s="84"/>
      <c r="H53" s="84"/>
      <c r="I53" s="84"/>
      <c r="J53" s="84"/>
      <c r="K53" s="84"/>
      <c r="L53" s="453"/>
      <c r="M53" s="453"/>
      <c r="N53" s="84"/>
      <c r="O53" s="84"/>
      <c r="P53" s="84"/>
      <c r="Q53" s="84"/>
      <c r="R53" s="84"/>
      <c r="S53" s="84"/>
      <c r="T53" s="84"/>
      <c r="U53" s="84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1">
      <c r="A54" s="57" t="s">
        <v>990</v>
      </c>
      <c r="B54" s="95"/>
      <c r="C54" s="120"/>
      <c r="D54" s="84"/>
      <c r="E54" s="84"/>
      <c r="F54" s="84"/>
      <c r="G54" s="84"/>
      <c r="H54" s="84"/>
      <c r="I54" s="84"/>
      <c r="J54" s="84"/>
      <c r="K54" s="84"/>
      <c r="L54" s="453"/>
      <c r="M54" s="453"/>
      <c r="N54" s="84"/>
      <c r="O54" s="84"/>
      <c r="P54" s="84"/>
      <c r="Q54" s="84"/>
      <c r="R54" s="84"/>
      <c r="S54" s="84"/>
      <c r="T54" s="84"/>
      <c r="U54" s="84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</row>
    <row r="55" spans="1:41">
      <c r="A55" s="57" t="s">
        <v>991</v>
      </c>
      <c r="B55" s="95"/>
      <c r="C55" s="120"/>
      <c r="D55" s="84"/>
      <c r="E55" s="84"/>
      <c r="F55" s="84"/>
      <c r="G55" s="84"/>
      <c r="H55" s="84"/>
      <c r="I55" s="84"/>
      <c r="J55" s="84"/>
      <c r="K55" s="84"/>
      <c r="L55" s="453"/>
      <c r="M55" s="453"/>
      <c r="N55" s="84"/>
      <c r="O55" s="84"/>
      <c r="P55" s="84"/>
      <c r="Q55" s="84"/>
      <c r="R55" s="84"/>
      <c r="S55" s="84"/>
      <c r="T55" s="84"/>
      <c r="U55" s="84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</row>
    <row r="56" spans="1:41">
      <c r="A56" s="57" t="s">
        <v>992</v>
      </c>
      <c r="B56" s="95"/>
      <c r="C56" s="120"/>
      <c r="D56" s="84"/>
      <c r="E56" s="84"/>
      <c r="F56" s="84"/>
      <c r="G56" s="84"/>
      <c r="H56" s="84"/>
      <c r="I56" s="84"/>
      <c r="J56" s="84"/>
      <c r="K56" s="84"/>
      <c r="L56" s="453"/>
      <c r="M56" s="453"/>
      <c r="N56" s="84"/>
      <c r="O56" s="84"/>
      <c r="P56" s="84"/>
      <c r="Q56" s="84"/>
      <c r="R56" s="84"/>
      <c r="S56" s="84"/>
      <c r="T56" s="84"/>
      <c r="U56" s="84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</row>
    <row r="57" spans="1:41">
      <c r="A57" s="57" t="s">
        <v>993</v>
      </c>
      <c r="B57" s="95"/>
      <c r="C57" s="120"/>
      <c r="D57" s="84"/>
      <c r="E57" s="84"/>
      <c r="F57" s="84"/>
      <c r="G57" s="84"/>
      <c r="H57" s="84"/>
      <c r="I57" s="84"/>
      <c r="J57" s="84"/>
      <c r="K57" s="84"/>
      <c r="L57" s="453"/>
      <c r="M57" s="453"/>
      <c r="N57" s="84"/>
      <c r="O57" s="84"/>
      <c r="P57" s="84"/>
      <c r="Q57" s="84"/>
      <c r="R57" s="84"/>
      <c r="S57" s="84"/>
      <c r="T57" s="84"/>
      <c r="U57" s="84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</row>
    <row r="58" spans="1:41">
      <c r="A58" s="57" t="s">
        <v>994</v>
      </c>
      <c r="B58" s="95"/>
      <c r="C58" s="120"/>
      <c r="D58" s="84"/>
      <c r="E58" s="84"/>
      <c r="F58" s="84"/>
      <c r="G58" s="84"/>
      <c r="H58" s="84"/>
      <c r="I58" s="84"/>
      <c r="J58" s="84"/>
      <c r="K58" s="84"/>
      <c r="L58" s="453"/>
      <c r="M58" s="453"/>
      <c r="N58" s="84"/>
      <c r="O58" s="84"/>
      <c r="P58" s="84"/>
      <c r="Q58" s="84"/>
      <c r="R58" s="84"/>
      <c r="S58" s="84"/>
      <c r="T58" s="84"/>
      <c r="U58" s="84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</row>
    <row r="59" spans="1:41">
      <c r="A59" s="57" t="s">
        <v>995</v>
      </c>
      <c r="B59" s="95"/>
      <c r="C59" s="120"/>
      <c r="D59" s="84"/>
      <c r="E59" s="84"/>
      <c r="F59" s="84"/>
      <c r="G59" s="84"/>
      <c r="H59" s="84"/>
      <c r="I59" s="84"/>
      <c r="J59" s="84"/>
      <c r="K59" s="84"/>
      <c r="L59" s="453"/>
      <c r="M59" s="453"/>
      <c r="N59" s="84"/>
      <c r="O59" s="84"/>
      <c r="P59" s="84"/>
      <c r="Q59" s="84"/>
      <c r="R59" s="84"/>
      <c r="S59" s="84"/>
      <c r="T59" s="84"/>
      <c r="U59" s="84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</row>
    <row r="60" spans="1:41">
      <c r="A60" s="57" t="s">
        <v>996</v>
      </c>
      <c r="B60" s="95"/>
      <c r="C60" s="120"/>
      <c r="D60" s="84"/>
      <c r="E60" s="84"/>
      <c r="F60" s="84"/>
      <c r="G60" s="84"/>
      <c r="H60" s="84"/>
      <c r="I60" s="84"/>
      <c r="J60" s="84"/>
      <c r="K60" s="84"/>
      <c r="L60" s="453"/>
      <c r="M60" s="453"/>
      <c r="N60" s="84"/>
      <c r="O60" s="84"/>
      <c r="P60" s="84"/>
      <c r="Q60" s="84"/>
      <c r="R60" s="84"/>
      <c r="S60" s="84"/>
      <c r="T60" s="84"/>
      <c r="U60" s="84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</row>
    <row r="61" spans="1:41">
      <c r="A61" s="57" t="s">
        <v>997</v>
      </c>
      <c r="B61" s="95"/>
      <c r="C61" s="120"/>
      <c r="D61" s="84"/>
      <c r="E61" s="84"/>
      <c r="F61" s="84"/>
      <c r="G61" s="84"/>
      <c r="H61" s="84"/>
      <c r="I61" s="84"/>
      <c r="J61" s="84"/>
      <c r="K61" s="84"/>
      <c r="L61" s="453"/>
      <c r="M61" s="453"/>
      <c r="N61" s="84"/>
      <c r="O61" s="84"/>
      <c r="P61" s="84"/>
      <c r="Q61" s="84"/>
      <c r="R61" s="84"/>
      <c r="S61" s="84"/>
      <c r="T61" s="84"/>
      <c r="U61" s="84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</row>
    <row r="62" spans="1:41">
      <c r="A62" s="57" t="s">
        <v>998</v>
      </c>
      <c r="B62" s="95"/>
      <c r="C62" s="120"/>
      <c r="D62" s="84"/>
      <c r="E62" s="84"/>
      <c r="F62" s="84"/>
      <c r="G62" s="84"/>
      <c r="H62" s="84"/>
      <c r="I62" s="84"/>
      <c r="J62" s="84"/>
      <c r="K62" s="84"/>
      <c r="L62" s="453"/>
      <c r="M62" s="453"/>
      <c r="N62" s="84"/>
      <c r="O62" s="84"/>
      <c r="P62" s="84"/>
      <c r="Q62" s="84"/>
      <c r="R62" s="84"/>
      <c r="S62" s="84"/>
      <c r="T62" s="84"/>
      <c r="U62" s="84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</row>
    <row r="63" spans="1:41">
      <c r="A63" s="57" t="s">
        <v>999</v>
      </c>
      <c r="B63" s="95"/>
      <c r="C63" s="120"/>
      <c r="D63" s="84"/>
      <c r="E63" s="84"/>
      <c r="F63" s="84"/>
      <c r="G63" s="84"/>
      <c r="H63" s="84"/>
      <c r="I63" s="84"/>
      <c r="J63" s="84"/>
      <c r="K63" s="84"/>
      <c r="L63" s="453"/>
      <c r="M63" s="453"/>
      <c r="N63" s="454"/>
      <c r="O63" s="454"/>
      <c r="P63" s="454"/>
      <c r="Q63" s="454"/>
      <c r="R63" s="454"/>
      <c r="S63" s="454"/>
      <c r="T63" s="454"/>
      <c r="U63" s="454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</row>
    <row r="64" spans="1:41">
      <c r="A64" s="57" t="s">
        <v>1000</v>
      </c>
      <c r="B64" s="95"/>
      <c r="C64" s="120"/>
      <c r="D64" s="84"/>
      <c r="E64" s="84"/>
      <c r="F64" s="84"/>
      <c r="G64" s="84"/>
      <c r="H64" s="84"/>
      <c r="I64" s="84"/>
      <c r="J64" s="84"/>
      <c r="K64" s="84"/>
      <c r="L64" s="453"/>
      <c r="M64" s="453"/>
      <c r="N64" s="454"/>
      <c r="O64" s="454"/>
      <c r="P64" s="454"/>
      <c r="Q64" s="454"/>
      <c r="R64" s="454"/>
      <c r="S64" s="454"/>
      <c r="T64" s="454"/>
      <c r="U64" s="454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</row>
    <row r="65" spans="1:41">
      <c r="A65" s="57" t="s">
        <v>1001</v>
      </c>
      <c r="B65" s="95"/>
      <c r="C65" s="120"/>
      <c r="D65" s="84"/>
      <c r="E65" s="84"/>
      <c r="F65" s="84"/>
      <c r="G65" s="84"/>
      <c r="H65" s="84"/>
      <c r="I65" s="84"/>
      <c r="J65" s="84"/>
      <c r="K65" s="84"/>
      <c r="L65" s="453"/>
      <c r="M65" s="453"/>
      <c r="N65" s="454"/>
      <c r="O65" s="454"/>
      <c r="P65" s="454"/>
      <c r="Q65" s="454"/>
      <c r="R65" s="454"/>
      <c r="S65" s="454"/>
      <c r="T65" s="454"/>
      <c r="U65" s="454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</row>
    <row r="66" spans="1:41">
      <c r="A66" s="57" t="s">
        <v>1002</v>
      </c>
      <c r="B66" s="95"/>
      <c r="C66" s="120"/>
      <c r="D66" s="84"/>
      <c r="E66" s="84"/>
      <c r="F66" s="84"/>
      <c r="G66" s="84"/>
      <c r="H66" s="84"/>
      <c r="I66" s="84"/>
      <c r="J66" s="84"/>
      <c r="K66" s="84"/>
      <c r="L66" s="453"/>
      <c r="M66" s="453"/>
      <c r="N66" s="454"/>
      <c r="O66" s="454"/>
      <c r="P66" s="454"/>
      <c r="Q66" s="454"/>
      <c r="R66" s="454"/>
      <c r="S66" s="454"/>
      <c r="T66" s="454"/>
      <c r="U66" s="454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</row>
    <row r="67" spans="1:41">
      <c r="A67" s="57" t="s">
        <v>1003</v>
      </c>
      <c r="B67" s="95"/>
      <c r="C67" s="120"/>
      <c r="D67" s="84"/>
      <c r="E67" s="84"/>
      <c r="F67" s="84"/>
      <c r="G67" s="84"/>
      <c r="H67" s="84"/>
      <c r="I67" s="84"/>
      <c r="J67" s="84"/>
      <c r="K67" s="84"/>
      <c r="L67" s="453"/>
      <c r="M67" s="453"/>
      <c r="N67" s="454"/>
      <c r="O67" s="454"/>
      <c r="P67" s="454"/>
      <c r="Q67" s="454"/>
      <c r="R67" s="454"/>
      <c r="S67" s="454"/>
      <c r="T67" s="454"/>
      <c r="U67" s="454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</row>
    <row r="68" spans="1:41">
      <c r="A68" s="57" t="s">
        <v>1004</v>
      </c>
      <c r="B68" s="95"/>
      <c r="C68" s="120"/>
      <c r="D68" s="84"/>
      <c r="E68" s="84"/>
      <c r="F68" s="84"/>
      <c r="G68" s="84"/>
      <c r="H68" s="84"/>
      <c r="I68" s="84"/>
      <c r="J68" s="84"/>
      <c r="K68" s="84"/>
      <c r="L68" s="453"/>
      <c r="M68" s="453"/>
      <c r="N68" s="454"/>
      <c r="O68" s="454"/>
      <c r="P68" s="454"/>
      <c r="Q68" s="454"/>
      <c r="R68" s="454"/>
      <c r="S68" s="454"/>
      <c r="T68" s="454"/>
      <c r="U68" s="454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</row>
    <row r="69" spans="1:41">
      <c r="A69" s="57" t="s">
        <v>1005</v>
      </c>
      <c r="B69" s="95"/>
      <c r="C69" s="120"/>
      <c r="D69" s="84"/>
      <c r="E69" s="84"/>
      <c r="F69" s="84"/>
      <c r="G69" s="84"/>
      <c r="H69" s="84"/>
      <c r="I69" s="84"/>
      <c r="J69" s="84"/>
      <c r="K69" s="84"/>
      <c r="L69" s="453"/>
      <c r="M69" s="453"/>
      <c r="N69" s="454"/>
      <c r="O69" s="454"/>
      <c r="P69" s="454"/>
      <c r="Q69" s="454"/>
      <c r="R69" s="454"/>
      <c r="S69" s="454"/>
      <c r="T69" s="454"/>
      <c r="U69" s="454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</row>
    <row r="70" spans="1:41">
      <c r="A70" s="57" t="s">
        <v>1006</v>
      </c>
      <c r="B70" s="95"/>
      <c r="C70" s="120"/>
      <c r="D70" s="84"/>
      <c r="E70" s="84"/>
      <c r="F70" s="84"/>
      <c r="G70" s="84"/>
      <c r="H70" s="84"/>
      <c r="I70" s="84"/>
      <c r="J70" s="84"/>
      <c r="K70" s="84"/>
      <c r="L70" s="453"/>
      <c r="M70" s="453"/>
      <c r="N70" s="454"/>
      <c r="O70" s="454"/>
      <c r="P70" s="454"/>
      <c r="Q70" s="454"/>
      <c r="R70" s="454"/>
      <c r="S70" s="454"/>
      <c r="T70" s="454"/>
      <c r="U70" s="454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</row>
    <row r="71" spans="1:41">
      <c r="A71" s="57" t="s">
        <v>1007</v>
      </c>
      <c r="B71" s="95"/>
      <c r="C71" s="120"/>
      <c r="D71" s="84"/>
      <c r="E71" s="84"/>
      <c r="F71" s="84"/>
      <c r="G71" s="84"/>
      <c r="H71" s="84"/>
      <c r="I71" s="84"/>
      <c r="J71" s="84"/>
      <c r="K71" s="84"/>
      <c r="L71" s="453"/>
      <c r="M71" s="453"/>
      <c r="N71" s="454"/>
      <c r="O71" s="454"/>
      <c r="P71" s="454"/>
      <c r="Q71" s="454"/>
      <c r="R71" s="454"/>
      <c r="S71" s="454"/>
      <c r="T71" s="454"/>
      <c r="U71" s="454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</row>
    <row r="72" spans="1:41">
      <c r="A72" s="57" t="s">
        <v>1008</v>
      </c>
      <c r="B72" s="95"/>
      <c r="C72" s="120"/>
      <c r="D72" s="84"/>
      <c r="E72" s="84"/>
      <c r="F72" s="84"/>
      <c r="G72" s="84"/>
      <c r="H72" s="84"/>
      <c r="I72" s="84"/>
      <c r="J72" s="84"/>
      <c r="K72" s="84"/>
      <c r="L72" s="453"/>
      <c r="M72" s="453"/>
      <c r="N72" s="454"/>
      <c r="O72" s="454"/>
      <c r="P72" s="454"/>
      <c r="Q72" s="454"/>
      <c r="R72" s="454"/>
      <c r="S72" s="454"/>
      <c r="T72" s="454"/>
      <c r="U72" s="454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</row>
    <row r="73" spans="1:41">
      <c r="A73" s="57" t="s">
        <v>1009</v>
      </c>
      <c r="B73" s="95"/>
      <c r="C73" s="120"/>
      <c r="D73" s="84"/>
      <c r="E73" s="84"/>
      <c r="F73" s="84"/>
      <c r="G73" s="84"/>
      <c r="H73" s="84"/>
      <c r="I73" s="84"/>
      <c r="J73" s="84"/>
      <c r="K73" s="84"/>
      <c r="M73" s="453"/>
      <c r="N73" s="454"/>
      <c r="O73" s="454"/>
      <c r="P73" s="454"/>
      <c r="Q73" s="454"/>
      <c r="R73" s="454"/>
      <c r="S73" s="454"/>
      <c r="T73" s="454"/>
      <c r="U73" s="454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</row>
    <row r="74" spans="1:41">
      <c r="A74" s="57" t="s">
        <v>1010</v>
      </c>
      <c r="B74" s="95"/>
      <c r="C74" s="120"/>
      <c r="D74" s="84"/>
      <c r="E74" s="84"/>
      <c r="F74" s="84"/>
      <c r="G74" s="84"/>
      <c r="H74" s="84"/>
      <c r="I74" s="84"/>
      <c r="J74" s="84"/>
      <c r="K74" s="84"/>
      <c r="M74" s="453"/>
      <c r="N74" s="454"/>
      <c r="O74" s="454"/>
      <c r="P74" s="454"/>
      <c r="Q74" s="454"/>
      <c r="R74" s="454"/>
      <c r="S74" s="454"/>
      <c r="T74" s="454"/>
      <c r="U74" s="454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</row>
    <row r="75" spans="1:41">
      <c r="A75" s="57" t="s">
        <v>1011</v>
      </c>
      <c r="B75" s="95"/>
      <c r="C75" s="120"/>
      <c r="D75" s="84"/>
      <c r="E75" s="84"/>
      <c r="F75" s="84"/>
      <c r="G75" s="84"/>
      <c r="H75" s="84"/>
      <c r="I75" s="84"/>
      <c r="J75" s="84"/>
      <c r="K75" s="84"/>
      <c r="L75" s="453"/>
      <c r="M75" s="453"/>
      <c r="N75" s="454"/>
      <c r="O75" s="454"/>
      <c r="P75" s="454"/>
      <c r="Q75" s="454"/>
      <c r="R75" s="454"/>
      <c r="S75" s="454"/>
      <c r="T75" s="454"/>
      <c r="U75" s="454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</row>
    <row r="76" spans="1:41" customFormat="1"/>
    <row r="77" spans="1:41">
      <c r="C77" s="57"/>
    </row>
    <row r="78" spans="1:41" s="76" customFormat="1">
      <c r="A78" s="57"/>
      <c r="B78" s="81" t="s">
        <v>595</v>
      </c>
      <c r="C78" s="85"/>
      <c r="D78" s="86"/>
      <c r="E78" s="86"/>
      <c r="F78" s="86"/>
      <c r="G78" s="86"/>
      <c r="H78" s="86"/>
      <c r="I78" s="86"/>
      <c r="J78" s="86"/>
      <c r="K78" s="86"/>
      <c r="L78" s="87"/>
      <c r="M78" s="87"/>
      <c r="N78" s="88"/>
      <c r="O78" s="88"/>
      <c r="P78" s="88"/>
      <c r="Q78" s="88"/>
      <c r="R78" s="88"/>
      <c r="S78" s="88"/>
      <c r="T78" s="88"/>
      <c r="U78" s="88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</row>
    <row r="79" spans="1:41">
      <c r="A79" s="57" t="s">
        <v>511</v>
      </c>
      <c r="B79" s="178" t="s">
        <v>53</v>
      </c>
      <c r="C79" s="28" t="s">
        <v>630</v>
      </c>
      <c r="D79" s="83"/>
      <c r="E79" s="83"/>
      <c r="F79" s="83"/>
      <c r="G79" s="83"/>
      <c r="H79" s="83"/>
      <c r="I79" s="83"/>
      <c r="J79" s="83"/>
      <c r="K79" s="83"/>
      <c r="L79" s="80"/>
      <c r="M79" s="80"/>
      <c r="N79" s="84"/>
      <c r="O79" s="84"/>
      <c r="P79" s="84"/>
      <c r="Q79" s="84"/>
      <c r="R79" s="84"/>
      <c r="S79" s="84"/>
      <c r="T79" s="84"/>
      <c r="U79" s="84"/>
      <c r="W79" s="76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</row>
    <row r="80" spans="1:41" customFormat="1"/>
    <row r="81" spans="1:41" s="76" customFormat="1">
      <c r="A81" s="1"/>
      <c r="B81" s="1"/>
      <c r="C81" s="92"/>
      <c r="D81" s="88"/>
      <c r="E81" s="88"/>
      <c r="F81" s="88"/>
      <c r="G81" s="88"/>
      <c r="H81" s="88"/>
      <c r="I81" s="88"/>
      <c r="J81" s="88"/>
      <c r="K81" s="88"/>
      <c r="L81" s="87"/>
      <c r="M81" s="87"/>
      <c r="N81" s="93"/>
      <c r="O81" s="93"/>
      <c r="P81" s="93"/>
      <c r="Q81" s="93"/>
      <c r="R81" s="93"/>
      <c r="S81" s="93"/>
      <c r="T81" s="93"/>
      <c r="U81" s="93"/>
      <c r="W81" s="57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</row>
    <row r="82" spans="1:41" ht="15.75">
      <c r="B82" s="179" t="s">
        <v>596</v>
      </c>
      <c r="C82" s="28"/>
      <c r="D82" s="51"/>
      <c r="E82" s="51"/>
      <c r="F82" s="51"/>
      <c r="G82" s="51"/>
      <c r="H82" s="51"/>
      <c r="I82" s="51"/>
      <c r="J82" s="51"/>
      <c r="K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</row>
    <row r="83" spans="1:41" ht="15.75" thickBot="1">
      <c r="B83" s="180" t="s">
        <v>597</v>
      </c>
      <c r="C83" s="28"/>
      <c r="D83" s="51"/>
      <c r="E83" s="51"/>
      <c r="F83" s="51"/>
      <c r="G83" s="51"/>
      <c r="H83" s="51"/>
      <c r="I83" s="51"/>
      <c r="J83" s="51"/>
      <c r="K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</row>
    <row r="84" spans="1:41">
      <c r="A84" s="57" t="s">
        <v>54</v>
      </c>
      <c r="B84" s="181" t="s">
        <v>55</v>
      </c>
      <c r="C84" s="28" t="s">
        <v>630</v>
      </c>
      <c r="D84" s="480">
        <f>(83237)*1000</f>
        <v>83237000</v>
      </c>
      <c r="E84" s="481">
        <f>(81473)*1000</f>
        <v>81473000</v>
      </c>
      <c r="F84" s="481">
        <f>(85413.886309047)*1000</f>
        <v>85413886.309046999</v>
      </c>
      <c r="G84" s="481">
        <f>(89047.92249313)*1000</f>
        <v>89047922.493129998</v>
      </c>
      <c r="H84" s="481">
        <f>(96130.0665597934)*1000</f>
        <v>96130066.559793398</v>
      </c>
      <c r="I84" s="481">
        <f>(121992.755514909)*1000</f>
        <v>121992755.514909</v>
      </c>
      <c r="J84" s="481">
        <f>(126519.882999029)*1000</f>
        <v>126519882.999029</v>
      </c>
      <c r="K84" s="482">
        <f>(116175.491064076)*1000</f>
        <v>116175491.06407601</v>
      </c>
      <c r="N84" s="486"/>
      <c r="O84" s="487"/>
      <c r="P84" s="487"/>
      <c r="Q84" s="487"/>
      <c r="R84" s="487"/>
      <c r="S84" s="487"/>
      <c r="T84" s="487"/>
      <c r="U84" s="488"/>
      <c r="W84" s="57" t="s">
        <v>1022</v>
      </c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</row>
    <row r="85" spans="1:41">
      <c r="A85" s="57" t="s">
        <v>56</v>
      </c>
      <c r="B85" s="181" t="s">
        <v>57</v>
      </c>
      <c r="C85" s="28" t="s">
        <v>630</v>
      </c>
      <c r="D85" s="483">
        <f t="shared" ref="D85:K89" si="15">(0)*1000</f>
        <v>0</v>
      </c>
      <c r="E85" s="484">
        <f t="shared" si="15"/>
        <v>0</v>
      </c>
      <c r="F85" s="484">
        <f t="shared" si="15"/>
        <v>0</v>
      </c>
      <c r="G85" s="484">
        <f t="shared" si="15"/>
        <v>0</v>
      </c>
      <c r="H85" s="484">
        <f t="shared" si="15"/>
        <v>0</v>
      </c>
      <c r="I85" s="484">
        <f t="shared" si="15"/>
        <v>0</v>
      </c>
      <c r="J85" s="484">
        <f t="shared" si="15"/>
        <v>0</v>
      </c>
      <c r="K85" s="485">
        <f t="shared" si="15"/>
        <v>0</v>
      </c>
      <c r="N85" s="489">
        <v>1600166</v>
      </c>
      <c r="O85" s="490">
        <v>1179000</v>
      </c>
      <c r="P85" s="490">
        <v>962966</v>
      </c>
      <c r="Q85" s="490">
        <v>1030734</v>
      </c>
      <c r="R85" s="490">
        <v>886341</v>
      </c>
      <c r="S85" s="490">
        <v>419720</v>
      </c>
      <c r="T85" s="490">
        <v>761238</v>
      </c>
      <c r="U85" s="491">
        <v>590016</v>
      </c>
      <c r="W85" s="57" t="s">
        <v>1022</v>
      </c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</row>
    <row r="86" spans="1:41">
      <c r="A86" s="57" t="s">
        <v>58</v>
      </c>
      <c r="B86" s="181" t="s">
        <v>59</v>
      </c>
      <c r="C86" s="28" t="s">
        <v>630</v>
      </c>
      <c r="D86" s="483">
        <f t="shared" si="15"/>
        <v>0</v>
      </c>
      <c r="E86" s="484">
        <f t="shared" si="15"/>
        <v>0</v>
      </c>
      <c r="F86" s="484">
        <f t="shared" si="15"/>
        <v>0</v>
      </c>
      <c r="G86" s="484">
        <f t="shared" si="15"/>
        <v>0</v>
      </c>
      <c r="H86" s="484">
        <f t="shared" si="15"/>
        <v>0</v>
      </c>
      <c r="I86" s="484">
        <f t="shared" si="15"/>
        <v>0</v>
      </c>
      <c r="J86" s="484">
        <f t="shared" si="15"/>
        <v>0</v>
      </c>
      <c r="K86" s="485">
        <f t="shared" si="15"/>
        <v>0</v>
      </c>
      <c r="N86" s="489">
        <v>-1594432450</v>
      </c>
      <c r="O86" s="490">
        <v>-1171219000</v>
      </c>
      <c r="P86" s="490">
        <v>-955152045</v>
      </c>
      <c r="Q86" s="490">
        <v>-1021187181</v>
      </c>
      <c r="R86" s="490">
        <v>-876217481</v>
      </c>
      <c r="S86" s="490">
        <v>-411626784</v>
      </c>
      <c r="T86" s="490">
        <v>-751137528</v>
      </c>
      <c r="U86" s="491">
        <v>-579908154</v>
      </c>
      <c r="W86" s="57" t="s">
        <v>1022</v>
      </c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</row>
    <row r="87" spans="1:41">
      <c r="A87" s="57" t="s">
        <v>60</v>
      </c>
      <c r="B87" s="181" t="s">
        <v>61</v>
      </c>
      <c r="C87" s="28" t="s">
        <v>630</v>
      </c>
      <c r="D87" s="483">
        <f t="shared" si="15"/>
        <v>0</v>
      </c>
      <c r="E87" s="484">
        <f t="shared" si="15"/>
        <v>0</v>
      </c>
      <c r="F87" s="484">
        <f t="shared" si="15"/>
        <v>0</v>
      </c>
      <c r="G87" s="484">
        <f t="shared" si="15"/>
        <v>0</v>
      </c>
      <c r="H87" s="484">
        <f t="shared" si="15"/>
        <v>0</v>
      </c>
      <c r="I87" s="484">
        <f t="shared" si="15"/>
        <v>0</v>
      </c>
      <c r="J87" s="484">
        <f t="shared" si="15"/>
        <v>0</v>
      </c>
      <c r="K87" s="485">
        <f t="shared" si="15"/>
        <v>0</v>
      </c>
      <c r="N87" s="489">
        <v>2998000</v>
      </c>
      <c r="O87" s="490">
        <v>2673000</v>
      </c>
      <c r="P87" s="490">
        <v>3146581</v>
      </c>
      <c r="Q87" s="490">
        <v>1250528</v>
      </c>
      <c r="R87" s="490">
        <v>1792256</v>
      </c>
      <c r="S87" s="490">
        <v>2050151</v>
      </c>
      <c r="T87" s="490">
        <v>2029474</v>
      </c>
      <c r="U87" s="491">
        <v>1812770</v>
      </c>
      <c r="W87" s="57" t="s">
        <v>1022</v>
      </c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</row>
    <row r="88" spans="1:41">
      <c r="A88" s="57" t="s">
        <v>62</v>
      </c>
      <c r="B88" s="181" t="s">
        <v>63</v>
      </c>
      <c r="C88" s="28" t="s">
        <v>630</v>
      </c>
      <c r="D88" s="483">
        <f t="shared" si="15"/>
        <v>0</v>
      </c>
      <c r="E88" s="484">
        <f t="shared" si="15"/>
        <v>0</v>
      </c>
      <c r="F88" s="484">
        <f t="shared" si="15"/>
        <v>0</v>
      </c>
      <c r="G88" s="484">
        <f t="shared" si="15"/>
        <v>0</v>
      </c>
      <c r="H88" s="484">
        <f t="shared" si="15"/>
        <v>0</v>
      </c>
      <c r="I88" s="484">
        <f t="shared" si="15"/>
        <v>0</v>
      </c>
      <c r="J88" s="484">
        <f t="shared" si="15"/>
        <v>0</v>
      </c>
      <c r="K88" s="485">
        <f t="shared" si="15"/>
        <v>0</v>
      </c>
      <c r="N88" s="489" t="s">
        <v>1020</v>
      </c>
      <c r="O88" s="490" t="s">
        <v>1020</v>
      </c>
      <c r="P88" s="490" t="s">
        <v>1021</v>
      </c>
      <c r="Q88" s="490" t="s">
        <v>1020</v>
      </c>
      <c r="R88" s="490" t="s">
        <v>1021</v>
      </c>
      <c r="S88" s="490" t="s">
        <v>1021</v>
      </c>
      <c r="T88" s="490" t="s">
        <v>1021</v>
      </c>
      <c r="U88" s="491" t="s">
        <v>1021</v>
      </c>
      <c r="W88" s="57" t="s">
        <v>1022</v>
      </c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</row>
    <row r="89" spans="1:41" ht="15.75" thickBot="1">
      <c r="A89" s="57" t="s">
        <v>64</v>
      </c>
      <c r="B89" s="182" t="s">
        <v>65</v>
      </c>
      <c r="C89" s="28" t="s">
        <v>630</v>
      </c>
      <c r="D89" s="495">
        <f t="shared" si="15"/>
        <v>0</v>
      </c>
      <c r="E89" s="496">
        <f t="shared" si="15"/>
        <v>0</v>
      </c>
      <c r="F89" s="496">
        <f t="shared" si="15"/>
        <v>0</v>
      </c>
      <c r="G89" s="496">
        <f t="shared" si="15"/>
        <v>0</v>
      </c>
      <c r="H89" s="496">
        <f t="shared" si="15"/>
        <v>0</v>
      </c>
      <c r="I89" s="496">
        <f t="shared" si="15"/>
        <v>0</v>
      </c>
      <c r="J89" s="496">
        <f t="shared" si="15"/>
        <v>0</v>
      </c>
      <c r="K89" s="497">
        <f t="shared" si="15"/>
        <v>0</v>
      </c>
      <c r="N89" s="492" t="s">
        <v>1020</v>
      </c>
      <c r="O89" s="493" t="s">
        <v>1020</v>
      </c>
      <c r="P89" s="493" t="s">
        <v>1021</v>
      </c>
      <c r="Q89" s="493" t="s">
        <v>1020</v>
      </c>
      <c r="R89" s="493" t="s">
        <v>1021</v>
      </c>
      <c r="S89" s="493" t="s">
        <v>1021</v>
      </c>
      <c r="T89" s="493" t="s">
        <v>1021</v>
      </c>
      <c r="U89" s="494" t="s">
        <v>1021</v>
      </c>
      <c r="W89" s="57" t="s">
        <v>1022</v>
      </c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</row>
    <row r="90" spans="1:41" s="76" customFormat="1">
      <c r="A90" s="57"/>
      <c r="B90" s="182"/>
      <c r="C90" s="97"/>
      <c r="D90" s="98"/>
      <c r="E90" s="98"/>
      <c r="F90" s="98"/>
      <c r="G90" s="98"/>
      <c r="H90" s="98"/>
      <c r="I90" s="98"/>
      <c r="J90" s="98"/>
      <c r="K90" s="98"/>
      <c r="N90" s="92"/>
      <c r="O90" s="92"/>
      <c r="P90" s="92"/>
      <c r="Q90" s="92"/>
      <c r="R90" s="92"/>
      <c r="S90" s="92"/>
      <c r="T90" s="92"/>
      <c r="U90" s="92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</row>
    <row r="91" spans="1:41">
      <c r="B91" s="180" t="s">
        <v>598</v>
      </c>
      <c r="C91" s="28"/>
      <c r="D91" s="51"/>
      <c r="E91" s="51"/>
      <c r="F91" s="51"/>
      <c r="G91" s="51"/>
      <c r="H91" s="51"/>
      <c r="I91" s="51"/>
      <c r="J91" s="51"/>
      <c r="K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</row>
    <row r="92" spans="1:41">
      <c r="A92" s="57" t="s">
        <v>66</v>
      </c>
      <c r="B92" s="181" t="s">
        <v>55</v>
      </c>
      <c r="C92" s="28" t="s">
        <v>630</v>
      </c>
      <c r="D92" s="84"/>
      <c r="E92" s="84"/>
      <c r="F92" s="84"/>
      <c r="G92" s="84"/>
      <c r="H92" s="84"/>
      <c r="I92" s="84"/>
      <c r="J92" s="84"/>
      <c r="K92" s="84"/>
      <c r="N92" s="99"/>
      <c r="O92" s="99"/>
      <c r="P92" s="99"/>
      <c r="Q92" s="99"/>
      <c r="R92" s="99"/>
      <c r="S92" s="99"/>
      <c r="T92" s="99"/>
      <c r="U92" s="99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</row>
    <row r="93" spans="1:41">
      <c r="A93" s="57" t="s">
        <v>67</v>
      </c>
      <c r="B93" s="181" t="s">
        <v>57</v>
      </c>
      <c r="C93" s="28" t="s">
        <v>630</v>
      </c>
      <c r="D93" s="84"/>
      <c r="E93" s="84"/>
      <c r="F93" s="84"/>
      <c r="G93" s="84"/>
      <c r="H93" s="84"/>
      <c r="I93" s="84"/>
      <c r="J93" s="84"/>
      <c r="K93" s="84"/>
      <c r="N93" s="99"/>
      <c r="O93" s="99"/>
      <c r="P93" s="99"/>
      <c r="Q93" s="99"/>
      <c r="R93" s="99"/>
      <c r="S93" s="99"/>
      <c r="T93" s="99"/>
      <c r="U93" s="99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</row>
    <row r="94" spans="1:41">
      <c r="A94" s="57" t="s">
        <v>68</v>
      </c>
      <c r="B94" s="181" t="s">
        <v>59</v>
      </c>
      <c r="C94" s="28" t="s">
        <v>630</v>
      </c>
      <c r="D94" s="84"/>
      <c r="E94" s="84"/>
      <c r="F94" s="84"/>
      <c r="G94" s="84"/>
      <c r="H94" s="84"/>
      <c r="I94" s="84"/>
      <c r="J94" s="84"/>
      <c r="K94" s="84"/>
      <c r="N94" s="99"/>
      <c r="O94" s="99"/>
      <c r="P94" s="99"/>
      <c r="Q94" s="99"/>
      <c r="R94" s="99"/>
      <c r="S94" s="99"/>
      <c r="T94" s="99"/>
      <c r="U94" s="99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</row>
    <row r="95" spans="1:41">
      <c r="A95" s="57" t="s">
        <v>69</v>
      </c>
      <c r="B95" s="181" t="s">
        <v>61</v>
      </c>
      <c r="C95" s="28" t="s">
        <v>630</v>
      </c>
      <c r="D95" s="84"/>
      <c r="E95" s="84"/>
      <c r="F95" s="84"/>
      <c r="G95" s="84"/>
      <c r="H95" s="84"/>
      <c r="I95" s="84"/>
      <c r="J95" s="84"/>
      <c r="K95" s="84"/>
      <c r="N95" s="99"/>
      <c r="O95" s="99"/>
      <c r="P95" s="99"/>
      <c r="Q95" s="99"/>
      <c r="R95" s="99"/>
      <c r="S95" s="99"/>
      <c r="T95" s="99"/>
      <c r="U95" s="99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</row>
    <row r="96" spans="1:41">
      <c r="A96" s="57" t="s">
        <v>70</v>
      </c>
      <c r="B96" s="181" t="s">
        <v>63</v>
      </c>
      <c r="C96" s="28" t="s">
        <v>630</v>
      </c>
      <c r="D96" s="84"/>
      <c r="E96" s="84"/>
      <c r="F96" s="84"/>
      <c r="G96" s="84"/>
      <c r="H96" s="84"/>
      <c r="I96" s="84"/>
      <c r="J96" s="84"/>
      <c r="K96" s="84"/>
      <c r="N96" s="99"/>
      <c r="O96" s="99"/>
      <c r="P96" s="99"/>
      <c r="Q96" s="99"/>
      <c r="R96" s="99"/>
      <c r="S96" s="99"/>
      <c r="T96" s="99"/>
      <c r="U96" s="99"/>
      <c r="W96" s="100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</row>
    <row r="97" spans="1:41" s="100" customFormat="1">
      <c r="A97" s="57" t="s">
        <v>71</v>
      </c>
      <c r="B97" s="182" t="s">
        <v>65</v>
      </c>
      <c r="C97" s="28" t="s">
        <v>630</v>
      </c>
      <c r="D97" s="84"/>
      <c r="E97" s="84"/>
      <c r="F97" s="84"/>
      <c r="G97" s="84"/>
      <c r="H97" s="84"/>
      <c r="I97" s="84"/>
      <c r="J97" s="84"/>
      <c r="K97" s="84"/>
      <c r="L97" s="57"/>
      <c r="M97" s="57"/>
      <c r="N97" s="99"/>
      <c r="O97" s="99"/>
      <c r="P97" s="99"/>
      <c r="Q97" s="99"/>
      <c r="R97" s="99"/>
      <c r="S97" s="99"/>
      <c r="T97" s="99"/>
      <c r="U97" s="99"/>
      <c r="V97" s="57"/>
      <c r="W97" s="57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</row>
    <row r="98" spans="1:41">
      <c r="B98" s="182"/>
      <c r="C98" s="28"/>
      <c r="N98" s="96"/>
      <c r="O98" s="96"/>
      <c r="P98" s="96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</row>
    <row r="99" spans="1:41" s="101" customFormat="1">
      <c r="A99" s="57"/>
      <c r="B99" s="182"/>
      <c r="C99" s="102"/>
      <c r="D99" s="102"/>
      <c r="E99" s="102"/>
      <c r="F99" s="102"/>
      <c r="G99" s="102"/>
      <c r="H99" s="102"/>
      <c r="I99" s="102"/>
      <c r="J99" s="102"/>
      <c r="K99" s="102"/>
      <c r="L99" s="103"/>
      <c r="M99" s="103"/>
      <c r="N99" s="104"/>
      <c r="O99" s="104"/>
      <c r="P99" s="104"/>
      <c r="Q99" s="104"/>
      <c r="R99" s="104"/>
      <c r="S99" s="104"/>
      <c r="T99" s="104"/>
      <c r="U99" s="104"/>
      <c r="W99" s="57"/>
    </row>
    <row r="100" spans="1:41" ht="15.75">
      <c r="B100" s="179" t="s">
        <v>599</v>
      </c>
      <c r="D100" s="1" t="s">
        <v>72</v>
      </c>
    </row>
    <row r="102" spans="1:41">
      <c r="A102" s="57" t="s">
        <v>73</v>
      </c>
      <c r="B102" s="95" t="s">
        <v>74</v>
      </c>
      <c r="C102" s="28" t="s">
        <v>630</v>
      </c>
      <c r="D102" s="84">
        <f>(57.3463056605235)*1000</f>
        <v>57346.305660523496</v>
      </c>
      <c r="E102" s="84">
        <f>(57.3973482111782)*1000</f>
        <v>57397.3482111782</v>
      </c>
      <c r="F102" s="84">
        <f>(56.9672674602916)*1000</f>
        <v>56967.267460291601</v>
      </c>
      <c r="G102" s="84">
        <f>(60.5917611729831)*1000</f>
        <v>60591.761172983097</v>
      </c>
      <c r="H102" s="84">
        <f>(61.3559815841738)*1000</f>
        <v>61355.981584173795</v>
      </c>
      <c r="I102" s="84">
        <f>(66.3425552134094)*1000</f>
        <v>66342.555213409403</v>
      </c>
      <c r="J102" s="84">
        <f>(72.0692458271377)*1000</f>
        <v>72069.245827137711</v>
      </c>
      <c r="K102" s="84">
        <f>(73.5135135135135)*1000</f>
        <v>73513.513513513506</v>
      </c>
    </row>
    <row r="106" spans="1:41" s="105" customFormat="1">
      <c r="C106" s="92"/>
    </row>
    <row r="107" spans="1:41" s="105" customFormat="1">
      <c r="C107" s="92"/>
    </row>
    <row r="108" spans="1:41" s="105" customFormat="1"/>
    <row r="109" spans="1:41" s="105" customFormat="1" ht="15" customHeight="1"/>
    <row r="110" spans="1:41" s="105" customFormat="1" ht="15" customHeight="1">
      <c r="D110" s="106"/>
      <c r="E110" s="106"/>
      <c r="F110" s="106"/>
      <c r="G110" s="106"/>
      <c r="H110" s="106"/>
      <c r="I110" s="106"/>
      <c r="J110" s="106"/>
      <c r="K110" s="106"/>
    </row>
    <row r="111" spans="1:41" s="105" customFormat="1"/>
    <row r="112" spans="1:41" s="105" customFormat="1">
      <c r="D112" s="107"/>
      <c r="E112" s="107"/>
      <c r="F112" s="107"/>
      <c r="G112" s="107"/>
      <c r="H112" s="107"/>
      <c r="I112" s="107"/>
      <c r="J112" s="107"/>
      <c r="K112" s="107"/>
    </row>
    <row r="113" spans="2:11" s="105" customFormat="1">
      <c r="D113" s="107"/>
      <c r="E113" s="107"/>
      <c r="F113" s="107"/>
      <c r="G113" s="107"/>
      <c r="H113" s="107"/>
      <c r="I113" s="107"/>
      <c r="J113" s="107"/>
      <c r="K113" s="107"/>
    </row>
    <row r="114" spans="2:11" s="105" customFormat="1">
      <c r="D114" s="107"/>
      <c r="E114" s="107"/>
      <c r="F114" s="107"/>
      <c r="G114" s="107"/>
      <c r="H114" s="107"/>
      <c r="I114" s="107"/>
      <c r="J114" s="107"/>
      <c r="K114" s="107"/>
    </row>
    <row r="115" spans="2:11" s="105" customFormat="1">
      <c r="B115" s="91"/>
      <c r="C115" s="92"/>
      <c r="D115" s="107"/>
      <c r="E115" s="107"/>
      <c r="F115" s="107"/>
      <c r="G115" s="107"/>
      <c r="H115" s="107"/>
      <c r="I115" s="107"/>
      <c r="J115" s="107"/>
      <c r="K115" s="107"/>
    </row>
    <row r="116" spans="2:11" s="105" customFormat="1">
      <c r="B116" s="91"/>
      <c r="C116" s="92"/>
      <c r="D116" s="107"/>
      <c r="E116" s="107"/>
      <c r="F116" s="107"/>
      <c r="G116" s="107"/>
      <c r="H116" s="107"/>
      <c r="I116" s="107"/>
      <c r="J116" s="107"/>
      <c r="K116" s="107"/>
    </row>
    <row r="117" spans="2:11" s="105" customFormat="1">
      <c r="B117" s="91"/>
      <c r="C117" s="92"/>
      <c r="D117" s="86"/>
      <c r="E117" s="86"/>
      <c r="F117" s="86"/>
      <c r="G117" s="86"/>
      <c r="H117" s="86"/>
      <c r="I117" s="86"/>
      <c r="J117" s="86"/>
      <c r="K117" s="86"/>
    </row>
    <row r="118" spans="2:11" s="105" customFormat="1">
      <c r="C118" s="92"/>
      <c r="D118" s="108"/>
      <c r="E118" s="108"/>
      <c r="F118" s="108"/>
      <c r="G118" s="108"/>
      <c r="H118" s="108"/>
      <c r="I118" s="108"/>
      <c r="J118" s="108"/>
    </row>
    <row r="119" spans="2:11" s="105" customFormat="1">
      <c r="B119" s="109"/>
      <c r="C119" s="92"/>
      <c r="D119" s="108"/>
      <c r="E119" s="108"/>
      <c r="F119" s="108"/>
      <c r="G119" s="108"/>
      <c r="H119" s="108"/>
      <c r="I119" s="108"/>
      <c r="J119" s="108"/>
    </row>
    <row r="120" spans="2:11" s="105" customFormat="1">
      <c r="B120" s="91"/>
      <c r="C120" s="92"/>
      <c r="D120" s="107"/>
      <c r="E120" s="107"/>
      <c r="F120" s="107"/>
      <c r="G120" s="107"/>
      <c r="H120" s="107"/>
      <c r="I120" s="107"/>
      <c r="J120" s="107"/>
      <c r="K120" s="107"/>
    </row>
    <row r="121" spans="2:11" s="105" customFormat="1">
      <c r="B121" s="91"/>
      <c r="C121" s="92"/>
      <c r="D121" s="107"/>
      <c r="E121" s="107"/>
      <c r="F121" s="107"/>
      <c r="G121" s="107"/>
      <c r="H121" s="107"/>
      <c r="I121" s="107"/>
      <c r="J121" s="107"/>
      <c r="K121" s="107"/>
    </row>
    <row r="122" spans="2:11" s="105" customFormat="1">
      <c r="B122" s="91"/>
      <c r="C122" s="92"/>
      <c r="D122" s="107"/>
      <c r="E122" s="107"/>
      <c r="F122" s="107"/>
      <c r="G122" s="107"/>
      <c r="H122" s="107"/>
      <c r="I122" s="107"/>
      <c r="J122" s="107"/>
      <c r="K122" s="107"/>
    </row>
    <row r="123" spans="2:11" s="105" customFormat="1">
      <c r="B123" s="91"/>
      <c r="C123" s="92"/>
      <c r="D123" s="107"/>
      <c r="E123" s="107"/>
      <c r="F123" s="107"/>
      <c r="G123" s="107"/>
      <c r="H123" s="107"/>
      <c r="I123" s="107"/>
      <c r="J123" s="107"/>
      <c r="K123" s="107"/>
    </row>
    <row r="124" spans="2:11" s="105" customFormat="1">
      <c r="B124" s="91"/>
      <c r="C124" s="92"/>
      <c r="D124" s="107"/>
      <c r="E124" s="107"/>
      <c r="F124" s="107"/>
      <c r="G124" s="107"/>
      <c r="H124" s="107"/>
      <c r="I124" s="107"/>
      <c r="J124" s="107"/>
      <c r="K124" s="107"/>
    </row>
    <row r="125" spans="2:11" s="105" customFormat="1">
      <c r="B125" s="91"/>
      <c r="C125" s="92"/>
      <c r="D125" s="86"/>
      <c r="E125" s="86"/>
      <c r="F125" s="86"/>
      <c r="G125" s="86"/>
      <c r="H125" s="86"/>
      <c r="I125" s="86"/>
      <c r="J125" s="86"/>
      <c r="K125" s="86"/>
    </row>
    <row r="126" spans="2:11" s="105" customFormat="1">
      <c r="C126" s="92"/>
      <c r="D126" s="108"/>
      <c r="E126" s="108"/>
      <c r="F126" s="108"/>
      <c r="G126" s="108"/>
      <c r="H126" s="108"/>
      <c r="I126" s="108"/>
      <c r="J126" s="108"/>
    </row>
    <row r="127" spans="2:11" s="105" customFormat="1">
      <c r="B127" s="109"/>
      <c r="C127" s="92"/>
      <c r="D127" s="108"/>
      <c r="E127" s="108"/>
      <c r="F127" s="108"/>
      <c r="G127" s="108"/>
      <c r="H127" s="108"/>
      <c r="I127" s="108"/>
      <c r="J127" s="108"/>
    </row>
    <row r="128" spans="2:11" s="105" customFormat="1">
      <c r="B128" s="91"/>
      <c r="C128" s="92"/>
      <c r="D128" s="107"/>
      <c r="E128" s="107"/>
      <c r="F128" s="107"/>
      <c r="G128" s="107"/>
      <c r="H128" s="107"/>
      <c r="I128" s="107"/>
      <c r="J128" s="107"/>
      <c r="K128" s="107"/>
    </row>
    <row r="129" spans="2:11" s="105" customFormat="1">
      <c r="B129" s="91"/>
      <c r="C129" s="92"/>
      <c r="D129" s="107"/>
      <c r="E129" s="107"/>
      <c r="F129" s="107"/>
      <c r="G129" s="107"/>
      <c r="H129" s="107"/>
      <c r="I129" s="107"/>
      <c r="J129" s="107"/>
      <c r="K129" s="107"/>
    </row>
    <row r="130" spans="2:11" s="105" customFormat="1">
      <c r="B130" s="91"/>
      <c r="C130" s="92"/>
      <c r="D130" s="107"/>
      <c r="E130" s="107"/>
      <c r="F130" s="107"/>
      <c r="G130" s="107"/>
      <c r="H130" s="107"/>
      <c r="I130" s="107"/>
      <c r="J130" s="107"/>
      <c r="K130" s="107"/>
    </row>
    <row r="131" spans="2:11" s="105" customFormat="1">
      <c r="B131" s="91"/>
      <c r="C131" s="92"/>
      <c r="D131" s="107"/>
      <c r="E131" s="107"/>
      <c r="F131" s="107"/>
      <c r="G131" s="107"/>
      <c r="H131" s="107"/>
      <c r="I131" s="107"/>
      <c r="J131" s="107"/>
      <c r="K131" s="107"/>
    </row>
    <row r="132" spans="2:11" s="105" customFormat="1">
      <c r="B132" s="91"/>
      <c r="C132" s="92"/>
      <c r="D132" s="107"/>
      <c r="E132" s="107"/>
      <c r="F132" s="107"/>
      <c r="G132" s="107"/>
      <c r="H132" s="107"/>
      <c r="I132" s="107"/>
      <c r="J132" s="107"/>
      <c r="K132" s="107"/>
    </row>
    <row r="133" spans="2:11" s="105" customFormat="1">
      <c r="B133" s="91"/>
      <c r="C133" s="92"/>
      <c r="D133" s="86"/>
      <c r="E133" s="86"/>
      <c r="F133" s="86"/>
      <c r="G133" s="86"/>
      <c r="H133" s="86"/>
      <c r="I133" s="86"/>
      <c r="J133" s="86"/>
      <c r="K133" s="86"/>
    </row>
    <row r="134" spans="2:11" s="105" customFormat="1">
      <c r="C134" s="92"/>
      <c r="D134" s="108"/>
      <c r="E134" s="108"/>
      <c r="F134" s="108"/>
      <c r="G134" s="108"/>
      <c r="H134" s="108"/>
      <c r="I134" s="108"/>
      <c r="J134" s="108"/>
    </row>
    <row r="135" spans="2:11" s="105" customFormat="1">
      <c r="B135" s="109"/>
      <c r="C135" s="92"/>
      <c r="D135" s="107"/>
      <c r="E135" s="107"/>
      <c r="F135" s="107"/>
      <c r="G135" s="107"/>
      <c r="H135" s="107"/>
      <c r="I135" s="107"/>
      <c r="J135" s="107"/>
      <c r="K135" s="107"/>
    </row>
    <row r="136" spans="2:11" s="105" customFormat="1">
      <c r="B136" s="91"/>
      <c r="C136" s="92"/>
      <c r="D136" s="107"/>
      <c r="E136" s="107"/>
      <c r="F136" s="107"/>
      <c r="G136" s="107"/>
      <c r="H136" s="107"/>
      <c r="I136" s="107"/>
      <c r="J136" s="107"/>
      <c r="K136" s="107"/>
    </row>
    <row r="137" spans="2:11" s="105" customFormat="1">
      <c r="B137" s="91"/>
      <c r="C137" s="92"/>
      <c r="D137" s="107"/>
      <c r="E137" s="107"/>
      <c r="F137" s="107"/>
      <c r="G137" s="107"/>
      <c r="H137" s="107"/>
      <c r="I137" s="107"/>
      <c r="J137" s="107"/>
      <c r="K137" s="107"/>
    </row>
    <row r="138" spans="2:11" s="105" customFormat="1">
      <c r="B138" s="91"/>
      <c r="C138" s="92"/>
      <c r="D138" s="107"/>
      <c r="E138" s="107"/>
      <c r="F138" s="107"/>
      <c r="G138" s="107"/>
      <c r="H138" s="107"/>
      <c r="I138" s="107"/>
      <c r="J138" s="107"/>
      <c r="K138" s="107"/>
    </row>
    <row r="139" spans="2:11" s="105" customFormat="1">
      <c r="B139" s="91"/>
      <c r="C139" s="92"/>
      <c r="D139" s="107"/>
      <c r="E139" s="107"/>
      <c r="F139" s="107"/>
      <c r="G139" s="107"/>
      <c r="H139" s="107"/>
      <c r="I139" s="107"/>
      <c r="J139" s="107"/>
      <c r="K139" s="107"/>
    </row>
    <row r="140" spans="2:11" s="105" customFormat="1">
      <c r="B140" s="91"/>
      <c r="C140" s="92"/>
      <c r="D140" s="107"/>
      <c r="E140" s="107"/>
      <c r="F140" s="107"/>
      <c r="G140" s="107"/>
      <c r="H140" s="107"/>
      <c r="I140" s="107"/>
      <c r="J140" s="107"/>
      <c r="K140" s="107"/>
    </row>
    <row r="141" spans="2:11" s="105" customFormat="1">
      <c r="B141" s="91"/>
      <c r="C141" s="92"/>
      <c r="D141" s="86"/>
      <c r="E141" s="86"/>
      <c r="F141" s="86"/>
      <c r="G141" s="86"/>
      <c r="H141" s="86"/>
      <c r="I141" s="86"/>
      <c r="J141" s="86"/>
      <c r="K141" s="86"/>
    </row>
    <row r="142" spans="2:11" s="105" customFormat="1">
      <c r="C142" s="92"/>
      <c r="D142" s="108"/>
      <c r="E142" s="108"/>
      <c r="F142" s="108"/>
      <c r="G142" s="108"/>
      <c r="H142" s="108"/>
      <c r="I142" s="108"/>
      <c r="J142" s="108"/>
    </row>
    <row r="143" spans="2:11" s="105" customFormat="1">
      <c r="B143" s="109"/>
      <c r="C143" s="92"/>
      <c r="D143" s="108"/>
      <c r="E143" s="108"/>
      <c r="F143" s="108"/>
      <c r="G143" s="108"/>
      <c r="H143" s="108"/>
      <c r="I143" s="108"/>
      <c r="J143" s="108"/>
    </row>
    <row r="144" spans="2:11" s="105" customFormat="1">
      <c r="B144" s="91"/>
      <c r="C144" s="92"/>
      <c r="D144" s="107"/>
      <c r="E144" s="107"/>
      <c r="F144" s="107"/>
      <c r="G144" s="107"/>
      <c r="H144" s="107"/>
      <c r="I144" s="107"/>
      <c r="J144" s="107"/>
      <c r="K144" s="107"/>
    </row>
    <row r="145" spans="2:11" s="105" customFormat="1">
      <c r="B145" s="91"/>
      <c r="C145" s="92"/>
      <c r="D145" s="107"/>
      <c r="E145" s="107"/>
      <c r="F145" s="107"/>
      <c r="G145" s="107"/>
      <c r="H145" s="107"/>
      <c r="I145" s="107"/>
      <c r="J145" s="107"/>
      <c r="K145" s="107"/>
    </row>
    <row r="146" spans="2:11" s="105" customFormat="1">
      <c r="B146" s="91"/>
      <c r="C146" s="92"/>
      <c r="D146" s="107"/>
      <c r="E146" s="107"/>
      <c r="F146" s="107"/>
      <c r="G146" s="107"/>
      <c r="H146" s="107"/>
      <c r="I146" s="107"/>
      <c r="J146" s="107"/>
      <c r="K146" s="107"/>
    </row>
    <row r="147" spans="2:11" s="105" customFormat="1">
      <c r="B147" s="91"/>
      <c r="C147" s="92"/>
      <c r="D147" s="107"/>
      <c r="E147" s="107"/>
      <c r="F147" s="107"/>
      <c r="G147" s="107"/>
      <c r="H147" s="107"/>
      <c r="I147" s="107"/>
      <c r="J147" s="107"/>
      <c r="K147" s="107"/>
    </row>
    <row r="148" spans="2:11" s="105" customFormat="1">
      <c r="B148" s="91"/>
      <c r="C148" s="92"/>
      <c r="D148" s="107"/>
      <c r="E148" s="107"/>
      <c r="F148" s="107"/>
      <c r="G148" s="107"/>
      <c r="H148" s="107"/>
      <c r="I148" s="107"/>
      <c r="J148" s="107"/>
      <c r="K148" s="107"/>
    </row>
    <row r="149" spans="2:11" s="105" customFormat="1">
      <c r="B149" s="91"/>
      <c r="C149" s="92"/>
      <c r="D149" s="86"/>
      <c r="E149" s="86"/>
      <c r="F149" s="86"/>
      <c r="G149" s="86"/>
      <c r="H149" s="86"/>
      <c r="I149" s="86"/>
      <c r="J149" s="86"/>
      <c r="K149" s="86"/>
    </row>
    <row r="150" spans="2:11" s="105" customFormat="1">
      <c r="C150" s="92"/>
      <c r="D150" s="108"/>
      <c r="E150" s="108"/>
      <c r="F150" s="108"/>
      <c r="G150" s="108"/>
      <c r="H150" s="108"/>
      <c r="I150" s="108"/>
      <c r="J150" s="108"/>
    </row>
    <row r="151" spans="2:11" s="105" customFormat="1">
      <c r="B151" s="109"/>
      <c r="C151" s="92"/>
      <c r="D151" s="108"/>
      <c r="E151" s="108"/>
      <c r="F151" s="108"/>
    </row>
    <row r="152" spans="2:11" s="105" customFormat="1">
      <c r="B152" s="91"/>
      <c r="C152" s="92"/>
      <c r="D152" s="107"/>
      <c r="E152" s="107"/>
      <c r="F152" s="107"/>
      <c r="G152" s="107"/>
      <c r="H152" s="107"/>
      <c r="I152" s="107"/>
      <c r="J152" s="107"/>
      <c r="K152" s="107"/>
    </row>
    <row r="153" spans="2:11" s="105" customFormat="1">
      <c r="B153" s="91"/>
      <c r="C153" s="92"/>
      <c r="D153" s="107"/>
      <c r="E153" s="107"/>
      <c r="F153" s="107"/>
      <c r="G153" s="107"/>
      <c r="H153" s="107"/>
      <c r="I153" s="107"/>
      <c r="J153" s="107"/>
      <c r="K153" s="107"/>
    </row>
    <row r="154" spans="2:11" s="105" customFormat="1">
      <c r="B154" s="91"/>
      <c r="C154" s="92"/>
      <c r="D154" s="107"/>
      <c r="E154" s="107"/>
      <c r="F154" s="107"/>
      <c r="G154" s="107"/>
      <c r="H154" s="107"/>
      <c r="I154" s="107"/>
      <c r="J154" s="107"/>
      <c r="K154" s="107"/>
    </row>
    <row r="155" spans="2:11" s="105" customFormat="1">
      <c r="B155" s="91"/>
      <c r="C155" s="92"/>
      <c r="D155" s="107"/>
      <c r="E155" s="107"/>
      <c r="F155" s="107"/>
      <c r="G155" s="107"/>
      <c r="H155" s="107"/>
      <c r="I155" s="107"/>
      <c r="J155" s="107"/>
      <c r="K155" s="107"/>
    </row>
    <row r="156" spans="2:11" s="105" customFormat="1">
      <c r="B156" s="91"/>
      <c r="C156" s="92"/>
      <c r="D156" s="107"/>
      <c r="E156" s="107"/>
      <c r="F156" s="107"/>
      <c r="G156" s="107"/>
      <c r="H156" s="107"/>
      <c r="I156" s="107"/>
      <c r="J156" s="107"/>
      <c r="K156" s="107"/>
    </row>
    <row r="157" spans="2:11" s="105" customFormat="1">
      <c r="B157" s="91"/>
      <c r="C157" s="92"/>
      <c r="D157" s="86"/>
      <c r="E157" s="86"/>
      <c r="F157" s="86"/>
      <c r="G157" s="86"/>
      <c r="H157" s="86"/>
      <c r="I157" s="86"/>
      <c r="J157" s="86"/>
      <c r="K157" s="86"/>
    </row>
    <row r="158" spans="2:11" s="105" customFormat="1">
      <c r="C158" s="92"/>
    </row>
    <row r="159" spans="2:11" s="105" customFormat="1">
      <c r="C159" s="92"/>
    </row>
    <row r="160" spans="2:11" s="105" customFormat="1">
      <c r="C160" s="92"/>
    </row>
    <row r="161" spans="3:3" s="105" customFormat="1">
      <c r="C161" s="92"/>
    </row>
    <row r="162" spans="3:3" s="105" customFormat="1">
      <c r="C162" s="92"/>
    </row>
    <row r="163" spans="3:3" s="105" customFormat="1">
      <c r="C163" s="92"/>
    </row>
    <row r="164" spans="3:3" s="105" customFormat="1">
      <c r="C164" s="92"/>
    </row>
  </sheetData>
  <pageMargins left="0.25" right="0.25" top="0.75" bottom="0.75" header="0.3" footer="0.3"/>
  <pageSetup paperSize="8" scale="60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2"/>
  <sheetViews>
    <sheetView topLeftCell="F50" zoomScale="55" zoomScaleNormal="55" workbookViewId="0">
      <selection activeCell="V14" sqref="V14"/>
    </sheetView>
  </sheetViews>
  <sheetFormatPr defaultRowHeight="15"/>
  <cols>
    <col min="1" max="1" width="21.7109375" bestFit="1" customWidth="1"/>
    <col min="2" max="2" width="72" bestFit="1" customWidth="1"/>
    <col min="3" max="3" width="6.7109375" bestFit="1" customWidth="1"/>
    <col min="4" max="4" width="21" bestFit="1" customWidth="1"/>
    <col min="5" max="6" width="17.85546875" bestFit="1" customWidth="1"/>
    <col min="7" max="9" width="18.28515625" bestFit="1" customWidth="1"/>
    <col min="10" max="11" width="17.85546875" bestFit="1" customWidth="1"/>
    <col min="12" max="12" width="29.140625" bestFit="1" customWidth="1"/>
    <col min="14" max="14" width="20.7109375" customWidth="1"/>
    <col min="15" max="15" width="17.85546875" bestFit="1" customWidth="1"/>
    <col min="16" max="17" width="18.28515625" bestFit="1" customWidth="1"/>
    <col min="18" max="19" width="17.85546875" bestFit="1" customWidth="1"/>
    <col min="20" max="21" width="18.28515625" bestFit="1" customWidth="1"/>
    <col min="22" max="22" width="34.85546875" bestFit="1" customWidth="1"/>
    <col min="24" max="24" width="33.42578125" bestFit="1" customWidth="1"/>
    <col min="25" max="31" width="13.85546875" customWidth="1"/>
  </cols>
  <sheetData>
    <row r="1" spans="1:33" ht="15.75">
      <c r="A1" s="57"/>
      <c r="B1" s="4" t="s">
        <v>617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110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3">
      <c r="A3" s="57"/>
      <c r="B3" s="1" t="s">
        <v>15</v>
      </c>
      <c r="C3" s="57"/>
      <c r="D3" s="1" t="s">
        <v>75</v>
      </c>
      <c r="E3" s="57"/>
      <c r="F3" s="57"/>
      <c r="G3" s="57"/>
      <c r="H3" s="57"/>
      <c r="I3" s="57"/>
      <c r="J3" s="57"/>
      <c r="K3" s="57"/>
      <c r="L3" s="57"/>
      <c r="M3" s="57"/>
      <c r="N3" s="1" t="s">
        <v>0</v>
      </c>
      <c r="O3" s="57"/>
      <c r="P3" s="57"/>
      <c r="Q3" s="57"/>
      <c r="R3" s="57"/>
      <c r="S3" s="57"/>
      <c r="T3" s="57"/>
      <c r="U3" s="57"/>
      <c r="V3" s="57"/>
      <c r="W3" s="57"/>
      <c r="X3" s="1" t="s">
        <v>16</v>
      </c>
      <c r="Y3" s="57"/>
      <c r="Z3" s="57"/>
      <c r="AA3" s="57"/>
      <c r="AB3" s="57"/>
      <c r="AC3" s="57"/>
      <c r="AD3" s="57"/>
      <c r="AE3" s="57"/>
    </row>
    <row r="4" spans="1:33" ht="30">
      <c r="A4" s="57"/>
      <c r="B4" s="1" t="s">
        <v>31</v>
      </c>
      <c r="C4" s="57"/>
      <c r="D4" s="78">
        <v>2006</v>
      </c>
      <c r="E4" s="78">
        <v>2007</v>
      </c>
      <c r="F4" s="78">
        <v>2008</v>
      </c>
      <c r="G4" s="78">
        <v>2009</v>
      </c>
      <c r="H4" s="78">
        <v>2010</v>
      </c>
      <c r="I4" s="78">
        <v>2011</v>
      </c>
      <c r="J4" s="78">
        <v>2012</v>
      </c>
      <c r="K4" s="78">
        <v>2013</v>
      </c>
      <c r="L4" s="50" t="s">
        <v>34</v>
      </c>
      <c r="M4" s="57"/>
      <c r="N4" s="78">
        <v>2006</v>
      </c>
      <c r="O4" s="78">
        <v>2007</v>
      </c>
      <c r="P4" s="78">
        <v>2008</v>
      </c>
      <c r="Q4" s="78">
        <v>2009</v>
      </c>
      <c r="R4" s="78">
        <v>2010</v>
      </c>
      <c r="S4" s="78">
        <v>2011</v>
      </c>
      <c r="T4" s="78">
        <v>2012</v>
      </c>
      <c r="U4" s="78">
        <v>2013</v>
      </c>
      <c r="V4" s="50" t="s">
        <v>34</v>
      </c>
      <c r="W4" s="57"/>
      <c r="X4" s="78">
        <v>2006</v>
      </c>
      <c r="Y4" s="78">
        <v>2007</v>
      </c>
      <c r="Z4" s="78">
        <v>2008</v>
      </c>
      <c r="AA4" s="78">
        <v>2009</v>
      </c>
      <c r="AB4" s="78">
        <v>2010</v>
      </c>
      <c r="AC4" s="78">
        <v>2011</v>
      </c>
      <c r="AD4" s="78">
        <v>2012</v>
      </c>
      <c r="AE4" s="78">
        <v>2013</v>
      </c>
    </row>
    <row r="5" spans="1:33">
      <c r="A5" s="1" t="s">
        <v>14</v>
      </c>
      <c r="B5" s="1" t="s">
        <v>1</v>
      </c>
      <c r="C5" s="1" t="s">
        <v>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3" ht="15.75">
      <c r="A6" s="57"/>
      <c r="B6" s="79" t="s">
        <v>585</v>
      </c>
      <c r="C6" s="82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</row>
    <row r="7" spans="1:33" ht="15.75" thickBot="1">
      <c r="A7" s="112"/>
      <c r="B7" s="113" t="s">
        <v>76</v>
      </c>
      <c r="C7" s="28"/>
      <c r="D7" s="114"/>
      <c r="E7" s="114"/>
      <c r="F7" s="114"/>
      <c r="G7" s="114"/>
      <c r="H7" s="114"/>
      <c r="I7" s="114"/>
      <c r="J7" s="114"/>
      <c r="K7" s="114"/>
      <c r="L7" s="114"/>
      <c r="M7" s="80"/>
      <c r="N7" s="114"/>
      <c r="O7" s="114"/>
      <c r="P7" s="114"/>
      <c r="Q7" s="114"/>
      <c r="R7" s="114"/>
      <c r="S7" s="114"/>
      <c r="T7" s="114"/>
      <c r="U7" s="114"/>
      <c r="V7" s="114"/>
      <c r="W7" s="80"/>
      <c r="X7" s="114"/>
      <c r="Y7" s="114"/>
      <c r="Z7" s="114"/>
      <c r="AA7" s="114"/>
      <c r="AB7" s="114"/>
      <c r="AC7" s="114"/>
      <c r="AD7" s="114"/>
      <c r="AE7" s="114"/>
    </row>
    <row r="8" spans="1:33">
      <c r="A8" s="112" t="s">
        <v>422</v>
      </c>
      <c r="B8" s="5" t="s">
        <v>77</v>
      </c>
      <c r="C8" s="28" t="s">
        <v>630</v>
      </c>
      <c r="D8" s="134">
        <f>(1052819.05972037)*1000</f>
        <v>1052819059.7203699</v>
      </c>
      <c r="E8" s="134">
        <f>(1096071.78541035)*1000</f>
        <v>1096071785.4103498</v>
      </c>
      <c r="F8" s="134">
        <f>(1137404.43261821)*1000</f>
        <v>1137404432.6182101</v>
      </c>
      <c r="G8" s="134">
        <f>(1153687.62256414)*1000</f>
        <v>1153687622.5641401</v>
      </c>
      <c r="H8" s="134">
        <f>(1243024.69964792)*1000</f>
        <v>1243024699.6479199</v>
      </c>
      <c r="I8" s="134">
        <f>(1299933.83805326)*1000</f>
        <v>1299933838.0532601</v>
      </c>
      <c r="J8" s="134">
        <f>(1446378.82192428)*1000</f>
        <v>1446378821.9242799</v>
      </c>
      <c r="K8" s="134">
        <f>(1606124.51709925)*1000</f>
        <v>1606124517.0992501</v>
      </c>
      <c r="L8" s="51"/>
      <c r="M8" s="51"/>
      <c r="N8" s="134">
        <f>(1197502.09654493)*1000</f>
        <v>1197502096.54493</v>
      </c>
      <c r="O8" s="134">
        <f>(1224314.11519798)*1000</f>
        <v>1224314115.1979802</v>
      </c>
      <c r="P8" s="134">
        <f>(1248367.97781233)*1000</f>
        <v>1248367977.81233</v>
      </c>
      <c r="Q8" s="134">
        <f>(1244664.45667557)*1000</f>
        <v>1244664456.67557</v>
      </c>
      <c r="R8" s="134">
        <f>(1325617.85906503)*1000</f>
        <v>1325617859.0650301</v>
      </c>
      <c r="S8" s="134">
        <f>(1380227.51835382)*1000</f>
        <v>1380227518.3538201</v>
      </c>
      <c r="T8" s="134">
        <f>(1521167.11250626)*1000</f>
        <v>1521167112.5062599</v>
      </c>
      <c r="U8" s="134">
        <f>(1676279.98637089)*1000</f>
        <v>1676279986.3708899</v>
      </c>
      <c r="V8" s="51"/>
      <c r="W8" s="51"/>
      <c r="X8" s="500">
        <f>(1955.55396543175)*1000</f>
        <v>1955553.9654317498</v>
      </c>
      <c r="Y8" s="501">
        <f>(3892.29502729266)*1000</f>
        <v>3892295.02729266</v>
      </c>
      <c r="Z8" s="501">
        <f>(5756.83712376193)*1000</f>
        <v>5756837.1237619305</v>
      </c>
      <c r="AA8" s="501">
        <f>(7702.33726815424)*1000</f>
        <v>7702337.2681542393</v>
      </c>
      <c r="AB8" s="501">
        <f>(9368.3688429467)*1000</f>
        <v>9368368.8429467008</v>
      </c>
      <c r="AC8" s="501">
        <f>(16405.1265388544)*1000</f>
        <v>16405126.538854402</v>
      </c>
      <c r="AD8" s="501">
        <f>(17309.7840317896)*1000</f>
        <v>17309784.031789601</v>
      </c>
      <c r="AE8" s="502">
        <f>(18472.9987520099)*1000</f>
        <v>18472998.752009898</v>
      </c>
      <c r="AG8" t="s">
        <v>1023</v>
      </c>
    </row>
    <row r="9" spans="1:33">
      <c r="A9" s="112" t="s">
        <v>423</v>
      </c>
      <c r="B9" s="5" t="s">
        <v>78</v>
      </c>
      <c r="C9" s="28" t="s">
        <v>630</v>
      </c>
      <c r="D9" s="134">
        <f>(33271.1737166162)*1000</f>
        <v>33271173.716616198</v>
      </c>
      <c r="E9" s="134">
        <f>(45182.1424783219)*1000</f>
        <v>45182142.478321895</v>
      </c>
      <c r="F9" s="134">
        <f>(22236.5710757931)*1000</f>
        <v>22236571.075793102</v>
      </c>
      <c r="G9" s="134">
        <f>(60509.2751400295)*1000</f>
        <v>60509275.140029505</v>
      </c>
      <c r="H9" s="134">
        <f>(16537.6440616019)*1000</f>
        <v>16537644.0616019</v>
      </c>
      <c r="I9" s="134">
        <f>(36278.4509113972)*1000</f>
        <v>36278450.911397204</v>
      </c>
      <c r="J9" s="134">
        <f>(50962.7245917078)*1000</f>
        <v>50962724.591707803</v>
      </c>
      <c r="K9" s="134">
        <f>(32216.3065497165)*1000</f>
        <v>32216306.549716502</v>
      </c>
      <c r="L9" s="51"/>
      <c r="M9" s="51"/>
      <c r="N9" s="134">
        <f>(37784.5851050364)*1000</f>
        <v>37784585.1050364</v>
      </c>
      <c r="O9" s="134">
        <f>(50416.7960883397)*1000</f>
        <v>50416796.088339701</v>
      </c>
      <c r="P9" s="134">
        <f>(24394.7053293869)*1000</f>
        <v>24394705.329386901</v>
      </c>
      <c r="Q9" s="134">
        <f>(65295.6188089268)*1000</f>
        <v>65295618.808926806</v>
      </c>
      <c r="R9" s="134">
        <f>(17647.8647188963)*1000</f>
        <v>17647864.7188963</v>
      </c>
      <c r="S9" s="134">
        <f>(38476.0933348933)*1000</f>
        <v>38476093.334893301</v>
      </c>
      <c r="T9" s="134">
        <f>(53543.677935881)*1000</f>
        <v>53543677.935881004</v>
      </c>
      <c r="U9" s="134">
        <f>(33592.6509268723)*1000</f>
        <v>33592650.926872306</v>
      </c>
      <c r="V9" s="51"/>
      <c r="W9" s="51"/>
      <c r="X9" s="503">
        <f t="shared" ref="X9:AB10" si="0">(0)*1000</f>
        <v>0</v>
      </c>
      <c r="Y9" s="504">
        <f t="shared" si="0"/>
        <v>0</v>
      </c>
      <c r="Z9" s="504">
        <f t="shared" si="0"/>
        <v>0</v>
      </c>
      <c r="AA9" s="504">
        <f t="shared" si="0"/>
        <v>0</v>
      </c>
      <c r="AB9" s="504">
        <f t="shared" si="0"/>
        <v>0</v>
      </c>
      <c r="AC9" s="504">
        <f>(515.746911525695)*1000</f>
        <v>515746.91152569506</v>
      </c>
      <c r="AD9" s="504">
        <f>(609.283962532629)*1000</f>
        <v>609283.96253262891</v>
      </c>
      <c r="AE9" s="505">
        <f>(370.196359151635)*1000</f>
        <v>370196.35915163503</v>
      </c>
      <c r="AG9" s="57" t="s">
        <v>1023</v>
      </c>
    </row>
    <row r="10" spans="1:33">
      <c r="A10" s="112" t="s">
        <v>424</v>
      </c>
      <c r="B10" s="5" t="s">
        <v>79</v>
      </c>
      <c r="C10" s="28" t="s">
        <v>630</v>
      </c>
      <c r="D10" s="134">
        <f>(-70486.6268081118)*1000</f>
        <v>-70486626.808111802</v>
      </c>
      <c r="E10" s="134">
        <f>(-74606.3383063089)*1000</f>
        <v>-74606338.306308895</v>
      </c>
      <c r="F10" s="134">
        <f>(-79444.0211565537)*1000</f>
        <v>-79444021.156553701</v>
      </c>
      <c r="G10" s="134">
        <f>(-76668.7998734297)*1000</f>
        <v>-76668799.873429701</v>
      </c>
      <c r="H10" s="134">
        <f>(-76669.5482742345)*1000</f>
        <v>-76669548.274234504</v>
      </c>
      <c r="I10" s="134">
        <f>(-65682.3467438204)*1000</f>
        <v>-65682346.743820392</v>
      </c>
      <c r="J10" s="134">
        <f>(-83380.1741899814)*1000</f>
        <v>-83380174.189981386</v>
      </c>
      <c r="K10" s="134">
        <f>(-94034.5331954867)*1000</f>
        <v>-94034533.195486695</v>
      </c>
      <c r="L10" s="51"/>
      <c r="M10" s="51"/>
      <c r="N10" s="134">
        <f>(-93154.4672491)*1000</f>
        <v>-93154467.2491</v>
      </c>
      <c r="O10" s="134">
        <f>(-98237.5205030322)*1000</f>
        <v>-98237520.503032193</v>
      </c>
      <c r="P10" s="134">
        <f>(-103589.017809629)*1000</f>
        <v>-103589017.80962901</v>
      </c>
      <c r="Q10" s="134">
        <f>(-92254.9515881957)*1000</f>
        <v>-92254951.588195711</v>
      </c>
      <c r="R10" s="134">
        <f>(-82571.335642108)*1000</f>
        <v>-82571335.642107993</v>
      </c>
      <c r="S10" s="134">
        <f>(-76701.2372182481)*1000</f>
        <v>-76701237.218248099</v>
      </c>
      <c r="T10" s="134">
        <f>(-94883.3293208923)*1000</f>
        <v>-94883329.320892304</v>
      </c>
      <c r="U10" s="134">
        <f>(-105881.031984049)*1000</f>
        <v>-105881031.98404899</v>
      </c>
      <c r="V10" s="51"/>
      <c r="W10" s="51"/>
      <c r="X10" s="503">
        <f t="shared" si="0"/>
        <v>0</v>
      </c>
      <c r="Y10" s="504">
        <f t="shared" si="0"/>
        <v>0</v>
      </c>
      <c r="Z10" s="504">
        <f t="shared" si="0"/>
        <v>0</v>
      </c>
      <c r="AA10" s="504">
        <f t="shared" si="0"/>
        <v>0</v>
      </c>
      <c r="AB10" s="504">
        <f t="shared" si="0"/>
        <v>0</v>
      </c>
      <c r="AC10" s="504">
        <f>(0)*1000</f>
        <v>0</v>
      </c>
      <c r="AD10" s="504">
        <f>(0)*1000</f>
        <v>0</v>
      </c>
      <c r="AE10" s="505">
        <f>(0)*1000</f>
        <v>0</v>
      </c>
      <c r="AG10" s="57" t="s">
        <v>1023</v>
      </c>
    </row>
    <row r="11" spans="1:33">
      <c r="A11" s="112" t="s">
        <v>639</v>
      </c>
      <c r="B11" s="5"/>
      <c r="C11" s="28" t="s">
        <v>630</v>
      </c>
      <c r="D11" s="134"/>
      <c r="E11" s="134"/>
      <c r="F11" s="134"/>
      <c r="G11" s="134"/>
      <c r="H11" s="134"/>
      <c r="I11" s="134"/>
      <c r="J11" s="134"/>
      <c r="K11" s="134"/>
      <c r="L11" s="51"/>
      <c r="M11" s="51"/>
      <c r="N11" s="134"/>
      <c r="O11" s="134"/>
      <c r="P11" s="134"/>
      <c r="Q11" s="134"/>
      <c r="R11" s="134"/>
      <c r="S11" s="134"/>
      <c r="T11" s="134"/>
      <c r="U11" s="134"/>
      <c r="V11" s="51"/>
      <c r="W11" s="51"/>
      <c r="X11" s="503"/>
      <c r="Y11" s="504"/>
      <c r="Z11" s="504"/>
      <c r="AA11" s="504"/>
      <c r="AB11" s="504"/>
      <c r="AC11" s="504"/>
      <c r="AD11" s="504"/>
      <c r="AE11" s="505"/>
      <c r="AG11" s="57" t="s">
        <v>1023</v>
      </c>
    </row>
    <row r="12" spans="1:33">
      <c r="A12" s="112" t="s">
        <v>425</v>
      </c>
      <c r="B12" s="5" t="s">
        <v>80</v>
      </c>
      <c r="C12" s="28" t="s">
        <v>630</v>
      </c>
      <c r="D12" s="134">
        <f>(80468.1787814721)*1000</f>
        <v>80468178.781472102</v>
      </c>
      <c r="E12" s="134">
        <f>(70756.8430358535)*1000</f>
        <v>70756843.03585349</v>
      </c>
      <c r="F12" s="134">
        <f>(73490.6400266847)*1000</f>
        <v>73490640.026684701</v>
      </c>
      <c r="G12" s="134">
        <f>(105496.601817181)*1000</f>
        <v>105496601.81718101</v>
      </c>
      <c r="H12" s="134">
        <f>(117041.042617977)*1000</f>
        <v>117041042.61797699</v>
      </c>
      <c r="I12" s="134">
        <f>(175848.879703439)*1000</f>
        <v>175848879.703439</v>
      </c>
      <c r="J12" s="134">
        <f>(192163.144773243)*1000</f>
        <v>192163144.77324301</v>
      </c>
      <c r="K12" s="134">
        <f>(180154.035643796)*1000</f>
        <v>180154035.643796</v>
      </c>
      <c r="L12" s="51"/>
      <c r="M12" s="51"/>
      <c r="N12" s="134">
        <f>(82181.9007971197)*1000</f>
        <v>82181900.797119692</v>
      </c>
      <c r="O12" s="134">
        <f>(71874.5870290418)*1000</f>
        <v>71874587.029041797</v>
      </c>
      <c r="P12" s="134">
        <f>(75490.7913434765)*1000</f>
        <v>75490791.343476504</v>
      </c>
      <c r="Q12" s="134">
        <f>(107912.735168733)*1000</f>
        <v>107912735.168733</v>
      </c>
      <c r="R12" s="134">
        <f>(119533.130212003)*1000</f>
        <v>119533130.21200301</v>
      </c>
      <c r="S12" s="134">
        <f>(179164.738035791)*1000</f>
        <v>179164738.03579101</v>
      </c>
      <c r="T12" s="134">
        <f>(196452.525249638)*1000</f>
        <v>196452525.24963802</v>
      </c>
      <c r="U12" s="134">
        <f>(184714.887402173)*1000</f>
        <v>184714887.40217298</v>
      </c>
      <c r="V12" s="51"/>
      <c r="W12" s="51"/>
      <c r="X12" s="503">
        <f>(2076)*1000</f>
        <v>2076000</v>
      </c>
      <c r="Y12" s="504">
        <f>(2103.082)*1000</f>
        <v>2103082</v>
      </c>
      <c r="Z12" s="504">
        <f>(2291)*1000</f>
        <v>2291000</v>
      </c>
      <c r="AA12" s="504">
        <f>(2117.7705)*1000</f>
        <v>2117770.5</v>
      </c>
      <c r="AB12" s="504">
        <f>(2117.7705)*1000</f>
        <v>2117770.5</v>
      </c>
      <c r="AC12" s="504">
        <f>(1399)*1000</f>
        <v>1399000</v>
      </c>
      <c r="AD12" s="504">
        <f>(1800.84609348781)*1000</f>
        <v>1800846.0934878101</v>
      </c>
      <c r="AE12" s="505">
        <f>(-144.448226464853)*1000</f>
        <v>-144448.22646485301</v>
      </c>
      <c r="AG12" s="57" t="s">
        <v>1023</v>
      </c>
    </row>
    <row r="13" spans="1:33">
      <c r="A13" s="112" t="s">
        <v>426</v>
      </c>
      <c r="B13" s="5" t="s">
        <v>81</v>
      </c>
      <c r="C13" s="28" t="s">
        <v>630</v>
      </c>
      <c r="D13" s="134">
        <f t="shared" ref="D13:K13" si="1">(0)*1000</f>
        <v>0</v>
      </c>
      <c r="E13" s="134">
        <f t="shared" si="1"/>
        <v>0</v>
      </c>
      <c r="F13" s="134">
        <f t="shared" si="1"/>
        <v>0</v>
      </c>
      <c r="G13" s="134">
        <f t="shared" si="1"/>
        <v>0</v>
      </c>
      <c r="H13" s="134">
        <f t="shared" si="1"/>
        <v>0</v>
      </c>
      <c r="I13" s="134">
        <f t="shared" si="1"/>
        <v>0</v>
      </c>
      <c r="J13" s="134">
        <f t="shared" si="1"/>
        <v>0</v>
      </c>
      <c r="K13" s="134">
        <f t="shared" si="1"/>
        <v>0</v>
      </c>
      <c r="L13" s="51"/>
      <c r="M13" s="51"/>
      <c r="N13" s="134">
        <f t="shared" ref="N13:U13" si="2">(0)*1000</f>
        <v>0</v>
      </c>
      <c r="O13" s="134">
        <f t="shared" si="2"/>
        <v>0</v>
      </c>
      <c r="P13" s="134">
        <f t="shared" si="2"/>
        <v>0</v>
      </c>
      <c r="Q13" s="134">
        <f t="shared" si="2"/>
        <v>0</v>
      </c>
      <c r="R13" s="134">
        <f t="shared" si="2"/>
        <v>0</v>
      </c>
      <c r="S13" s="134">
        <f t="shared" si="2"/>
        <v>0</v>
      </c>
      <c r="T13" s="134">
        <f t="shared" si="2"/>
        <v>0</v>
      </c>
      <c r="U13" s="134">
        <f t="shared" si="2"/>
        <v>0</v>
      </c>
      <c r="V13" s="51"/>
      <c r="W13" s="51"/>
      <c r="X13" s="503">
        <f t="shared" ref="X13:AE13" si="3">(0)*1000</f>
        <v>0</v>
      </c>
      <c r="Y13" s="504">
        <f t="shared" si="3"/>
        <v>0</v>
      </c>
      <c r="Z13" s="504">
        <f t="shared" si="3"/>
        <v>0</v>
      </c>
      <c r="AA13" s="504">
        <f t="shared" si="3"/>
        <v>0</v>
      </c>
      <c r="AB13" s="504">
        <f t="shared" si="3"/>
        <v>0</v>
      </c>
      <c r="AC13" s="504">
        <f t="shared" si="3"/>
        <v>0</v>
      </c>
      <c r="AD13" s="504">
        <f t="shared" si="3"/>
        <v>0</v>
      </c>
      <c r="AE13" s="505">
        <f t="shared" si="3"/>
        <v>0</v>
      </c>
      <c r="AG13" s="57" t="s">
        <v>1023</v>
      </c>
    </row>
    <row r="14" spans="1:33" ht="15.75" thickBot="1">
      <c r="A14" s="112" t="s">
        <v>427</v>
      </c>
      <c r="B14" s="5" t="s">
        <v>656</v>
      </c>
      <c r="C14" s="28" t="s">
        <v>630</v>
      </c>
      <c r="D14" s="134">
        <f>SUM(D8:D13)</f>
        <v>1096071785.4103465</v>
      </c>
      <c r="E14" s="134">
        <f t="shared" ref="E14:K14" si="4">SUM(E8:E13)</f>
        <v>1137404432.6182163</v>
      </c>
      <c r="F14" s="134">
        <f t="shared" si="4"/>
        <v>1153687622.5641341</v>
      </c>
      <c r="G14" s="134">
        <f t="shared" si="4"/>
        <v>1243024699.6479208</v>
      </c>
      <c r="H14" s="134">
        <f t="shared" si="4"/>
        <v>1299933838.0532641</v>
      </c>
      <c r="I14" s="134">
        <f t="shared" si="4"/>
        <v>1446378821.9242759</v>
      </c>
      <c r="J14" s="134">
        <f t="shared" si="4"/>
        <v>1606124517.0992491</v>
      </c>
      <c r="K14" s="134">
        <f t="shared" si="4"/>
        <v>1724460326.0972757</v>
      </c>
      <c r="L14" s="498"/>
      <c r="M14" s="51"/>
      <c r="N14" s="134">
        <f>(1224314.11519798)*1000</f>
        <v>1224314115.1979802</v>
      </c>
      <c r="O14" s="134">
        <f>(1248367.97781233)*1000</f>
        <v>1248367977.81233</v>
      </c>
      <c r="P14" s="134">
        <f>(1244664.45667557)*1000</f>
        <v>1244664456.67557</v>
      </c>
      <c r="Q14" s="134">
        <f>(1325617.85906503)*1000</f>
        <v>1325617859.0650301</v>
      </c>
      <c r="R14" s="134">
        <f>(1380227.51835382)*1000</f>
        <v>1380227518.3538201</v>
      </c>
      <c r="S14" s="134">
        <f>(1521167.11250626)*1000</f>
        <v>1521167112.5062599</v>
      </c>
      <c r="T14" s="134">
        <f>(1676279.98637089)*1000</f>
        <v>1676279986.3708899</v>
      </c>
      <c r="U14" s="134">
        <f>(1788706.49271588)*1000</f>
        <v>1788706492.7158802</v>
      </c>
      <c r="V14" s="51"/>
      <c r="W14" s="51"/>
      <c r="X14" s="506">
        <f>(3892.29502729266)*1000</f>
        <v>3892295.02729266</v>
      </c>
      <c r="Y14" s="507">
        <f>(5756.83712376193)*1000</f>
        <v>5756837.1237619305</v>
      </c>
      <c r="Z14" s="507">
        <f>(7702.33726815424)*1000</f>
        <v>7702337.2681542393</v>
      </c>
      <c r="AA14" s="507">
        <f>(9368.3688429467)*1000</f>
        <v>9368368.8429467008</v>
      </c>
      <c r="AB14" s="507">
        <f>(10934.0139899153)*1000</f>
        <v>10934013.9899153</v>
      </c>
      <c r="AC14" s="507">
        <f>(17309.7840317896)*1000</f>
        <v>17309784.031789601</v>
      </c>
      <c r="AD14" s="507">
        <f>(18472.9987520099)*1000</f>
        <v>18472998.752009898</v>
      </c>
      <c r="AE14" s="508">
        <f>(17315.3949258266)*1000</f>
        <v>17315394.925826602</v>
      </c>
      <c r="AG14" s="57" t="s">
        <v>1023</v>
      </c>
    </row>
    <row r="15" spans="1:33">
      <c r="A15" s="112"/>
      <c r="B15" s="5"/>
      <c r="C15" s="28"/>
      <c r="D15" s="115"/>
      <c r="E15" s="115"/>
      <c r="F15" s="115"/>
      <c r="G15" s="115"/>
      <c r="H15" s="115"/>
      <c r="I15" s="115"/>
      <c r="J15" s="115"/>
      <c r="K15" s="115"/>
      <c r="L15" s="474"/>
      <c r="M15" s="115"/>
      <c r="N15" s="474"/>
      <c r="O15" s="474"/>
      <c r="P15" s="474"/>
      <c r="Q15" s="474"/>
      <c r="R15" s="474"/>
      <c r="S15" s="474"/>
      <c r="T15" s="474"/>
      <c r="U15" s="474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</row>
    <row r="16" spans="1:33" ht="15.75">
      <c r="A16" s="112"/>
      <c r="B16" s="94" t="s">
        <v>586</v>
      </c>
      <c r="C16" s="28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474"/>
      <c r="O16" s="474"/>
      <c r="P16" s="474"/>
      <c r="Q16" s="474"/>
      <c r="R16" s="474"/>
      <c r="S16" s="474"/>
      <c r="T16" s="474"/>
      <c r="U16" s="474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</row>
    <row r="17" spans="1:31">
      <c r="A17" s="112"/>
      <c r="B17" s="116" t="s">
        <v>603</v>
      </c>
      <c r="C17" s="82"/>
      <c r="D17" s="117"/>
      <c r="E17" s="117"/>
      <c r="F17" s="117"/>
      <c r="G17" s="117"/>
      <c r="H17" s="117"/>
      <c r="I17" s="117"/>
      <c r="J17" s="117"/>
      <c r="K17" s="117"/>
      <c r="L17" s="51"/>
      <c r="M17" s="51"/>
      <c r="N17" s="475"/>
      <c r="O17" s="475"/>
      <c r="P17" s="475"/>
      <c r="Q17" s="475"/>
      <c r="R17" s="475"/>
      <c r="S17" s="475"/>
      <c r="T17" s="475"/>
      <c r="U17" s="475"/>
      <c r="V17" s="51"/>
      <c r="W17" s="51"/>
      <c r="X17" s="117"/>
      <c r="Y17" s="117"/>
      <c r="Z17" s="117"/>
      <c r="AA17" s="117"/>
      <c r="AB17" s="117"/>
      <c r="AC17" s="117"/>
      <c r="AD17" s="117"/>
      <c r="AE17" s="117"/>
    </row>
    <row r="18" spans="1:31">
      <c r="A18" s="112" t="s">
        <v>428</v>
      </c>
      <c r="B18" s="95" t="s">
        <v>77</v>
      </c>
      <c r="C18" s="28" t="s">
        <v>630</v>
      </c>
      <c r="D18" s="134">
        <f>(413457.935295177)*1000</f>
        <v>413457935.29517698</v>
      </c>
      <c r="E18" s="134">
        <f>(437019.19052184)*1000</f>
        <v>437019190.52183998</v>
      </c>
      <c r="F18" s="134">
        <f>(454263.858502694)*1000</f>
        <v>454263858.50269401</v>
      </c>
      <c r="G18" s="134">
        <f>(474730.10623841)*1000</f>
        <v>474730106.23841</v>
      </c>
      <c r="H18" s="134">
        <f>(516282.702262938)*1000</f>
        <v>516282702.26293802</v>
      </c>
      <c r="I18" s="134">
        <f>(538645.183106694)*1000</f>
        <v>538645183.10669398</v>
      </c>
      <c r="J18" s="134">
        <f>(581105.400000791)*1000</f>
        <v>581105400.00079095</v>
      </c>
      <c r="K18" s="134">
        <f>(636550.101353431)*1000</f>
        <v>636550101.35343099</v>
      </c>
      <c r="L18" s="51"/>
      <c r="M18" s="51"/>
      <c r="N18" s="134">
        <f>(431117.016103284)*1000</f>
        <v>431117016.103284</v>
      </c>
      <c r="O18" s="134">
        <f>(455684.589202866)*1000</f>
        <v>455684589.20286602</v>
      </c>
      <c r="P18" s="134">
        <f>(473665.78914837)*1000</f>
        <v>473665789.14836997</v>
      </c>
      <c r="Q18" s="134">
        <f>(495006.164798321)*1000</f>
        <v>495006164.79832101</v>
      </c>
      <c r="R18" s="134">
        <f>(538333.501584469)*1000</f>
        <v>538333501.58446896</v>
      </c>
      <c r="S18" s="134">
        <f>(561651.099799495)*1000</f>
        <v>561651099.79949498</v>
      </c>
      <c r="T18" s="134">
        <f>(606070.627205779)*1000</f>
        <v>606070627.20577896</v>
      </c>
      <c r="U18" s="134">
        <f>(664034.276892893)*1000</f>
        <v>664034276.89289308</v>
      </c>
      <c r="V18" s="51"/>
      <c r="W18" s="51"/>
      <c r="X18" s="84"/>
      <c r="Y18" s="84"/>
      <c r="Z18" s="84"/>
      <c r="AA18" s="84"/>
      <c r="AB18" s="84"/>
      <c r="AC18" s="84"/>
      <c r="AD18" s="84"/>
      <c r="AE18" s="84"/>
    </row>
    <row r="19" spans="1:31">
      <c r="A19" s="112" t="s">
        <v>429</v>
      </c>
      <c r="B19" s="95" t="s">
        <v>78</v>
      </c>
      <c r="C19" s="28" t="s">
        <v>630</v>
      </c>
      <c r="D19" s="134">
        <f>(13585.6533626518)*1000</f>
        <v>13585653.362651799</v>
      </c>
      <c r="E19" s="134">
        <f>(18737.2753619809)*1000</f>
        <v>18737275.3619809</v>
      </c>
      <c r="F19" s="134">
        <f>(9254.67097238809)*1000</f>
        <v>9254670.9723880906</v>
      </c>
      <c r="G19" s="134">
        <f>(25936.5707671068)*1000</f>
        <v>25936570.767106801</v>
      </c>
      <c r="H19" s="134">
        <f>(7156.28467186725)*1000</f>
        <v>7156284.6718672495</v>
      </c>
      <c r="I19" s="134">
        <f>(14893.885346405)*1000</f>
        <v>14893885.346405001</v>
      </c>
      <c r="J19" s="134">
        <f>(20300.6712523079)*1000</f>
        <v>20300671.252307899</v>
      </c>
      <c r="K19" s="134">
        <f>(12668.9562107823)*1000</f>
        <v>12668956.210782301</v>
      </c>
      <c r="L19" s="51"/>
      <c r="M19" s="51"/>
      <c r="N19" s="134">
        <f>(14165.906225354)*1000</f>
        <v>14165906.225353999</v>
      </c>
      <c r="O19" s="134">
        <f>(19537.5576434293)*1000</f>
        <v>19537557.643429298</v>
      </c>
      <c r="P19" s="134">
        <f>(9649.94451439222)*1000</f>
        <v>9649944.5143922195</v>
      </c>
      <c r="Q19" s="134">
        <f>(27044.3400465487)*1000</f>
        <v>27044340.046548698</v>
      </c>
      <c r="R19" s="134">
        <f>(7461.93465102679)*1000</f>
        <v>7461934.65102679</v>
      </c>
      <c r="S19" s="134">
        <f>(15507.1405006531)*1000</f>
        <v>15507140.500653101</v>
      </c>
      <c r="T19" s="134">
        <f>(21143.9780604778)*1000</f>
        <v>21143978.060477801</v>
      </c>
      <c r="U19" s="134">
        <f>(13199.5584271938)*1000</f>
        <v>13199558.4271938</v>
      </c>
      <c r="V19" s="51"/>
      <c r="W19" s="51"/>
      <c r="X19" s="84"/>
      <c r="Y19" s="84"/>
      <c r="Z19" s="84"/>
      <c r="AA19" s="84"/>
      <c r="AB19" s="84"/>
      <c r="AC19" s="84"/>
      <c r="AD19" s="84"/>
      <c r="AE19" s="84"/>
    </row>
    <row r="20" spans="1:31">
      <c r="A20" s="112" t="s">
        <v>430</v>
      </c>
      <c r="B20" s="95" t="s">
        <v>79</v>
      </c>
      <c r="C20" s="28" t="s">
        <v>630</v>
      </c>
      <c r="D20" s="134">
        <f>(-17716.4602257581)*1000</f>
        <v>-17716460.225758098</v>
      </c>
      <c r="E20" s="134">
        <f>(-19554.2508549314)*1000</f>
        <v>-19554250.854931399</v>
      </c>
      <c r="F20" s="134">
        <f>(-21108.9010900193)*1000</f>
        <v>-21108901.090019301</v>
      </c>
      <c r="G20" s="134">
        <f>(-23426.3131016831)*1000</f>
        <v>-23426313.101683099</v>
      </c>
      <c r="H20" s="134">
        <f>(-25063.4880340675)*1000</f>
        <v>-25063488.0340675</v>
      </c>
      <c r="I20" s="134">
        <f>(-26008.7212356702)*1000</f>
        <v>-26008721.235670201</v>
      </c>
      <c r="J20" s="134">
        <f>(-28482.09311999)*1000</f>
        <v>-28482093.119990002</v>
      </c>
      <c r="K20" s="134">
        <f>(-30875.9414214421)*1000</f>
        <v>-30875941.421442103</v>
      </c>
      <c r="L20" s="51"/>
      <c r="M20" s="51"/>
      <c r="N20" s="134">
        <f>(-18473.1427708323)*1000</f>
        <v>-18473142.7708323</v>
      </c>
      <c r="O20" s="134">
        <f>(-20389.4267374373)*1000</f>
        <v>-20389426.7374373</v>
      </c>
      <c r="P20" s="134">
        <f>(-22010.4771834927)*1000</f>
        <v>-22010477.183492702</v>
      </c>
      <c r="Q20" s="134">
        <f>(-24426.8675010159)*1000</f>
        <v>-24426867.501015898</v>
      </c>
      <c r="R20" s="134">
        <f>(-26133.9673325495)*1000</f>
        <v>-26133967.332549497</v>
      </c>
      <c r="S20" s="134">
        <f>(-26950.8942696348)*1000</f>
        <v>-26950894.269634798</v>
      </c>
      <c r="T20" s="134">
        <f>(-29523.9683119263)*1000</f>
        <v>-29523968.311926298</v>
      </c>
      <c r="U20" s="134">
        <f>(-32016.5602796763)*1000</f>
        <v>-32016560.279676303</v>
      </c>
      <c r="V20" s="51"/>
      <c r="W20" s="51"/>
      <c r="X20" s="84"/>
      <c r="Y20" s="84"/>
      <c r="Z20" s="84"/>
      <c r="AA20" s="84"/>
      <c r="AB20" s="84"/>
      <c r="AC20" s="84"/>
      <c r="AD20" s="84"/>
      <c r="AE20" s="84"/>
    </row>
    <row r="21" spans="1:31">
      <c r="A21" s="112" t="s">
        <v>640</v>
      </c>
      <c r="B21" s="95"/>
      <c r="C21" s="28" t="s">
        <v>630</v>
      </c>
      <c r="D21" s="134"/>
      <c r="E21" s="134"/>
      <c r="F21" s="134"/>
      <c r="G21" s="134"/>
      <c r="H21" s="134"/>
      <c r="I21" s="134"/>
      <c r="J21" s="134"/>
      <c r="K21" s="134"/>
      <c r="L21" s="51"/>
      <c r="M21" s="51"/>
      <c r="N21" s="134"/>
      <c r="O21" s="134"/>
      <c r="P21" s="134"/>
      <c r="Q21" s="134"/>
      <c r="R21" s="134"/>
      <c r="S21" s="134"/>
      <c r="T21" s="134"/>
      <c r="U21" s="134"/>
      <c r="V21" s="51"/>
      <c r="W21" s="51"/>
      <c r="X21" s="84"/>
      <c r="Y21" s="84"/>
      <c r="Z21" s="84"/>
      <c r="AA21" s="84"/>
      <c r="AB21" s="84"/>
      <c r="AC21" s="84"/>
      <c r="AD21" s="84"/>
      <c r="AE21" s="84"/>
    </row>
    <row r="22" spans="1:31">
      <c r="A22" s="112" t="s">
        <v>431</v>
      </c>
      <c r="B22" s="95" t="s">
        <v>80</v>
      </c>
      <c r="C22" s="28" t="s">
        <v>630</v>
      </c>
      <c r="D22" s="134">
        <f>(27692.0620897687)*1000</f>
        <v>27692062.0897687</v>
      </c>
      <c r="E22" s="134">
        <f>(18061.6434738048)*1000</f>
        <v>18061643.473804802</v>
      </c>
      <c r="F22" s="134">
        <f>(32320.4778533473)*1000</f>
        <v>32320477.853347301</v>
      </c>
      <c r="G22" s="134">
        <f>(39042.3383591042)*1000</f>
        <v>39042338.359104201</v>
      </c>
      <c r="H22" s="134">
        <f>(40269.6842059561)*1000</f>
        <v>40269684.205956101</v>
      </c>
      <c r="I22" s="134">
        <f>(53575.0527833627)*1000</f>
        <v>53575052.783362702</v>
      </c>
      <c r="J22" s="134">
        <f>(63626.1232203217)*1000</f>
        <v>63626123.2203217</v>
      </c>
      <c r="K22" s="134">
        <f>(73574.7713165584)*1000</f>
        <v>73574771.316558406</v>
      </c>
      <c r="L22" s="51"/>
      <c r="M22" s="51"/>
      <c r="N22" s="134">
        <f>(28874.8096450604)*1000</f>
        <v>28874809.645060398</v>
      </c>
      <c r="O22" s="134">
        <f>(18833.0690395118)*1000</f>
        <v>18833069.0395118</v>
      </c>
      <c r="P22" s="134">
        <f>(33700.9083190522)*1000</f>
        <v>33700908.319052197</v>
      </c>
      <c r="Q22" s="134">
        <f>(40709.8642406153)*1000</f>
        <v>40709864.240615301</v>
      </c>
      <c r="R22" s="134">
        <f>(41989.630896548)*1000</f>
        <v>41989630.896547996</v>
      </c>
      <c r="S22" s="134">
        <f>(55863.2811752656)*1000</f>
        <v>55863281.175265595</v>
      </c>
      <c r="T22" s="134">
        <f>(66343.6399385631)*1000</f>
        <v>66343639.938563094</v>
      </c>
      <c r="U22" s="134">
        <f>(76717.2018305344)*1000</f>
        <v>76717201.830534399</v>
      </c>
      <c r="V22" s="51"/>
      <c r="W22" s="51"/>
      <c r="X22" s="84"/>
      <c r="Y22" s="84"/>
      <c r="Z22" s="84"/>
      <c r="AA22" s="84"/>
      <c r="AB22" s="84"/>
      <c r="AC22" s="84"/>
      <c r="AD22" s="84"/>
      <c r="AE22" s="84"/>
    </row>
    <row r="23" spans="1:31">
      <c r="A23" s="112" t="s">
        <v>432</v>
      </c>
      <c r="B23" s="95" t="s">
        <v>81</v>
      </c>
      <c r="C23" s="28" t="s">
        <v>630</v>
      </c>
      <c r="D23" s="134">
        <f t="shared" ref="D23:K23" si="5">(0)*1000</f>
        <v>0</v>
      </c>
      <c r="E23" s="134">
        <f t="shared" si="5"/>
        <v>0</v>
      </c>
      <c r="F23" s="134">
        <f t="shared" si="5"/>
        <v>0</v>
      </c>
      <c r="G23" s="134">
        <f t="shared" si="5"/>
        <v>0</v>
      </c>
      <c r="H23" s="134">
        <f t="shared" si="5"/>
        <v>0</v>
      </c>
      <c r="I23" s="134">
        <f t="shared" si="5"/>
        <v>0</v>
      </c>
      <c r="J23" s="134">
        <f t="shared" si="5"/>
        <v>0</v>
      </c>
      <c r="K23" s="134">
        <f t="shared" si="5"/>
        <v>0</v>
      </c>
      <c r="L23" s="51"/>
      <c r="M23" s="51"/>
      <c r="N23" s="134">
        <f t="shared" ref="N23:U23" si="6">(0)*1000</f>
        <v>0</v>
      </c>
      <c r="O23" s="134">
        <f t="shared" si="6"/>
        <v>0</v>
      </c>
      <c r="P23" s="134">
        <f t="shared" si="6"/>
        <v>0</v>
      </c>
      <c r="Q23" s="134">
        <f t="shared" si="6"/>
        <v>0</v>
      </c>
      <c r="R23" s="134">
        <f t="shared" si="6"/>
        <v>0</v>
      </c>
      <c r="S23" s="134">
        <f t="shared" si="6"/>
        <v>0</v>
      </c>
      <c r="T23" s="134">
        <f t="shared" si="6"/>
        <v>0</v>
      </c>
      <c r="U23" s="134">
        <f t="shared" si="6"/>
        <v>0</v>
      </c>
      <c r="V23" s="51"/>
      <c r="W23" s="51"/>
      <c r="X23" s="84"/>
      <c r="Y23" s="84"/>
      <c r="Z23" s="84"/>
      <c r="AA23" s="84"/>
      <c r="AB23" s="84"/>
      <c r="AC23" s="84"/>
      <c r="AD23" s="84"/>
      <c r="AE23" s="84"/>
    </row>
    <row r="24" spans="1:31">
      <c r="A24" s="112" t="s">
        <v>433</v>
      </c>
      <c r="B24" s="95" t="s">
        <v>656</v>
      </c>
      <c r="C24" s="28" t="s">
        <v>630</v>
      </c>
      <c r="D24" s="134">
        <f>SUM(D18:D23)</f>
        <v>437019190.52183944</v>
      </c>
      <c r="E24" s="134">
        <f t="shared" ref="E24:K24" si="7">SUM(E18:E23)</f>
        <v>454263858.50269425</v>
      </c>
      <c r="F24" s="134">
        <f t="shared" si="7"/>
        <v>474730106.23841012</v>
      </c>
      <c r="G24" s="134">
        <f t="shared" si="7"/>
        <v>516282702.2629379</v>
      </c>
      <c r="H24" s="134">
        <f t="shared" si="7"/>
        <v>538645183.10669386</v>
      </c>
      <c r="I24" s="134">
        <f t="shared" si="7"/>
        <v>581105400.00079155</v>
      </c>
      <c r="J24" s="134">
        <f t="shared" si="7"/>
        <v>636550101.35343051</v>
      </c>
      <c r="K24" s="134">
        <f t="shared" si="7"/>
        <v>691917887.45932949</v>
      </c>
      <c r="L24" s="51"/>
      <c r="M24" s="51"/>
      <c r="N24" s="134">
        <f>(455684.589202866)*1000</f>
        <v>455684589.20286602</v>
      </c>
      <c r="O24" s="134">
        <f>(473665.78914837)*1000</f>
        <v>473665789.14836997</v>
      </c>
      <c r="P24" s="134">
        <f>(495006.164798321)*1000</f>
        <v>495006164.79832101</v>
      </c>
      <c r="Q24" s="134">
        <f>(538333.501584469)*1000</f>
        <v>538333501.58446896</v>
      </c>
      <c r="R24" s="134">
        <f>(561651.099799495)*1000</f>
        <v>561651099.79949498</v>
      </c>
      <c r="S24" s="134">
        <f>(606070.627205779)*1000</f>
        <v>606070627.20577896</v>
      </c>
      <c r="T24" s="134">
        <f>(664034.276892893)*1000</f>
        <v>664034276.89289308</v>
      </c>
      <c r="U24" s="134">
        <f>(721934.476870945)*1000</f>
        <v>721934476.87094498</v>
      </c>
      <c r="V24" s="51"/>
      <c r="W24" s="51"/>
      <c r="X24" s="84"/>
      <c r="Y24" s="84"/>
      <c r="Z24" s="84"/>
      <c r="AA24" s="84"/>
      <c r="AB24" s="84"/>
      <c r="AC24" s="84"/>
      <c r="AD24" s="84"/>
      <c r="AE24" s="84"/>
    </row>
    <row r="25" spans="1:31">
      <c r="A25" s="112"/>
      <c r="B25" s="116" t="s">
        <v>604</v>
      </c>
      <c r="C25" s="82"/>
      <c r="D25" s="475"/>
      <c r="E25" s="475"/>
      <c r="F25" s="475"/>
      <c r="G25" s="475"/>
      <c r="H25" s="475"/>
      <c r="I25" s="475"/>
      <c r="J25" s="475"/>
      <c r="K25" s="475"/>
      <c r="L25" s="51"/>
      <c r="M25" s="51"/>
      <c r="N25" s="475"/>
      <c r="O25" s="475"/>
      <c r="P25" s="475"/>
      <c r="Q25" s="475"/>
      <c r="R25" s="475"/>
      <c r="S25" s="475"/>
      <c r="T25" s="475"/>
      <c r="U25" s="475"/>
      <c r="V25" s="51"/>
      <c r="W25" s="51"/>
      <c r="X25" s="117"/>
      <c r="Y25" s="117"/>
      <c r="Z25" s="117"/>
      <c r="AA25" s="117"/>
      <c r="AB25" s="117"/>
      <c r="AC25" s="117"/>
      <c r="AD25" s="117"/>
      <c r="AE25" s="117"/>
    </row>
    <row r="26" spans="1:31">
      <c r="A26" s="112" t="s">
        <v>434</v>
      </c>
      <c r="B26" s="95" t="s">
        <v>77</v>
      </c>
      <c r="C26" s="28" t="s">
        <v>630</v>
      </c>
      <c r="D26" s="134">
        <f>(185586.462582649)*1000</f>
        <v>185586462.58264899</v>
      </c>
      <c r="E26" s="134">
        <f>(196169.399142466)*1000</f>
        <v>196169399.14246598</v>
      </c>
      <c r="F26" s="134">
        <f>(203917.75712328)*1000</f>
        <v>203917757.12327999</v>
      </c>
      <c r="G26" s="134">
        <f>(213108.394738419)*1000</f>
        <v>213108394.738419</v>
      </c>
      <c r="H26" s="134">
        <f>(231768.992324446)*1000</f>
        <v>231768992.32444602</v>
      </c>
      <c r="I26" s="134">
        <f>(241815.621722281)*1000</f>
        <v>241815621.72228101</v>
      </c>
      <c r="J26" s="134">
        <f>(260877.416144149)*1000</f>
        <v>260877416.14414901</v>
      </c>
      <c r="K26" s="134">
        <f>(285768.374699586)*1000</f>
        <v>285768374.69958603</v>
      </c>
      <c r="L26" s="51"/>
      <c r="M26" s="51"/>
      <c r="N26" s="134">
        <f>(193514.207485197)*1000</f>
        <v>193514207.48519701</v>
      </c>
      <c r="O26" s="134">
        <f>(204548.913391)*1000</f>
        <v>204548913.391</v>
      </c>
      <c r="P26" s="134">
        <f>(212627.924908754)*1000</f>
        <v>212627924.90875402</v>
      </c>
      <c r="Q26" s="134">
        <f>(222210.987429332)*1000</f>
        <v>222210987.42933199</v>
      </c>
      <c r="R26" s="134">
        <f>(241668.324787897)*1000</f>
        <v>241668324.78789699</v>
      </c>
      <c r="S26" s="134">
        <f>(252143.737934654)*1000</f>
        <v>252143737.934654</v>
      </c>
      <c r="T26" s="134">
        <f>(272085.131589023)*1000</f>
        <v>272085131.58902299</v>
      </c>
      <c r="U26" s="134">
        <f>(298106.929288095)*1000</f>
        <v>298106929.288095</v>
      </c>
      <c r="V26" s="51"/>
      <c r="W26" s="51"/>
      <c r="X26" s="84"/>
      <c r="Y26" s="84"/>
      <c r="Z26" s="84"/>
      <c r="AA26" s="84"/>
      <c r="AB26" s="84"/>
      <c r="AC26" s="84"/>
      <c r="AD26" s="84"/>
      <c r="AE26" s="84"/>
    </row>
    <row r="27" spans="1:31">
      <c r="A27" s="112" t="s">
        <v>435</v>
      </c>
      <c r="B27" s="95" t="s">
        <v>78</v>
      </c>
      <c r="C27" s="28" t="s">
        <v>630</v>
      </c>
      <c r="D27" s="134">
        <f>(6099.04871968809)*1000</f>
        <v>6099048.7196880905</v>
      </c>
      <c r="E27" s="134">
        <f>(8411.78206571191)*1000</f>
        <v>8411782.0657119099</v>
      </c>
      <c r="F27" s="134">
        <f>(4154.72761144119)*1000</f>
        <v>4154727.6114411899</v>
      </c>
      <c r="G27" s="134">
        <f>(11643.7836670481)*1000</f>
        <v>11643783.667048099</v>
      </c>
      <c r="H27" s="134">
        <f>(3212.69266192702)*1000</f>
        <v>3212692.6619270197</v>
      </c>
      <c r="I27" s="134">
        <f>(6686.35728649578)*1000</f>
        <v>6686357.2864957796</v>
      </c>
      <c r="J27" s="134">
        <f>(9113.64214183292)*1000</f>
        <v>9113642.1418329198</v>
      </c>
      <c r="K27" s="134">
        <f>(5687.51307681488)*1000</f>
        <v>5687513.0768148806</v>
      </c>
      <c r="L27" s="51"/>
      <c r="M27" s="51"/>
      <c r="N27" s="134">
        <f>(6359.54340366763)*1000</f>
        <v>6359543.4036676297</v>
      </c>
      <c r="O27" s="134">
        <f>(8771.05522643269)*1000</f>
        <v>8771055.2264326904</v>
      </c>
      <c r="P27" s="134">
        <f>(4332.1789658909)*1000</f>
        <v>4332178.9658909002</v>
      </c>
      <c r="Q27" s="134">
        <f>(12141.0979017881)*1000</f>
        <v>12141097.901788101</v>
      </c>
      <c r="R27" s="134">
        <f>(3349.90903748908)*1000</f>
        <v>3349909.0374890803</v>
      </c>
      <c r="S27" s="134">
        <f>(6961.66778968009)*1000</f>
        <v>6961667.7896800898</v>
      </c>
      <c r="T27" s="134">
        <f>(9492.23043430418)*1000</f>
        <v>9492230.4343041796</v>
      </c>
      <c r="U27" s="134">
        <f>(5925.71794501542)*1000</f>
        <v>5925717.9450154202</v>
      </c>
      <c r="V27" s="51"/>
      <c r="W27" s="51"/>
      <c r="X27" s="84"/>
      <c r="Y27" s="84"/>
      <c r="Z27" s="84"/>
      <c r="AA27" s="84"/>
      <c r="AB27" s="84"/>
      <c r="AC27" s="84"/>
      <c r="AD27" s="84"/>
      <c r="AE27" s="84"/>
    </row>
    <row r="28" spans="1:31">
      <c r="A28" s="112" t="s">
        <v>436</v>
      </c>
      <c r="B28" s="95" t="s">
        <v>79</v>
      </c>
      <c r="C28" s="28" t="s">
        <v>630</v>
      </c>
      <c r="D28" s="134">
        <f>(-7953.50441918123)*1000</f>
        <v>-7953504.4191812305</v>
      </c>
      <c r="E28" s="134">
        <f>(-8778.54936068752)*1000</f>
        <v>-8778549.3606875204</v>
      </c>
      <c r="F28" s="134">
        <f>(-9476.48322317976)*1000</f>
        <v>-9476483.2231797613</v>
      </c>
      <c r="G28" s="134">
        <f>(-10516.8460519255)*1000</f>
        <v>-10516846.051925501</v>
      </c>
      <c r="H28" s="134">
        <f>(-11251.8279779854)*1000</f>
        <v>-11251827.977985401</v>
      </c>
      <c r="I28" s="134">
        <f>(-11676.1743965309)*1000</f>
        <v>-11676174.3965309</v>
      </c>
      <c r="J28" s="134">
        <f>(-12786.5527656599)*1000</f>
        <v>-12786552.7656599</v>
      </c>
      <c r="K28" s="134">
        <f>(-13861.2303706573)*1000</f>
        <v>-13861230.370657301</v>
      </c>
      <c r="L28" s="51"/>
      <c r="M28" s="51"/>
      <c r="N28" s="134">
        <f>(-8293.20421753116)*1000</f>
        <v>-8293204.2175311595</v>
      </c>
      <c r="O28" s="134">
        <f>(-9153.48741194939)*1000</f>
        <v>-9153487.4119493905</v>
      </c>
      <c r="P28" s="134">
        <f>(-9881.23052327771)*1000</f>
        <v>-9881230.5232777111</v>
      </c>
      <c r="Q28" s="134">
        <f>(-10966.0279841692)*1000</f>
        <v>-10966027.9841692</v>
      </c>
      <c r="R28" s="134">
        <f>(-11732.40150806)*1000</f>
        <v>-11732401.508060001</v>
      </c>
      <c r="S28" s="134">
        <f>(-12099.1470047033)*1000</f>
        <v>-12099147.0047033</v>
      </c>
      <c r="T28" s="134">
        <f>(-13254.2849671102)*1000</f>
        <v>-13254284.9671102</v>
      </c>
      <c r="U28" s="134">
        <f>(-14373.2918668007)*1000</f>
        <v>-14373291.866800701</v>
      </c>
      <c r="V28" s="51"/>
      <c r="W28" s="51"/>
      <c r="X28" s="84"/>
      <c r="Y28" s="84"/>
      <c r="Z28" s="84"/>
      <c r="AA28" s="84"/>
      <c r="AB28" s="84"/>
      <c r="AC28" s="84"/>
      <c r="AD28" s="84"/>
      <c r="AE28" s="84"/>
    </row>
    <row r="29" spans="1:31">
      <c r="A29" s="112" t="s">
        <v>641</v>
      </c>
      <c r="B29" s="95"/>
      <c r="C29" s="28" t="s">
        <v>630</v>
      </c>
      <c r="D29" s="134"/>
      <c r="E29" s="134"/>
      <c r="F29" s="134"/>
      <c r="G29" s="134"/>
      <c r="H29" s="134"/>
      <c r="I29" s="134"/>
      <c r="J29" s="134"/>
      <c r="K29" s="134"/>
      <c r="L29" s="51"/>
      <c r="M29" s="51"/>
      <c r="N29" s="134"/>
      <c r="O29" s="134"/>
      <c r="P29" s="134"/>
      <c r="Q29" s="134"/>
      <c r="R29" s="134"/>
      <c r="S29" s="134"/>
      <c r="T29" s="134"/>
      <c r="U29" s="134"/>
      <c r="V29" s="51"/>
      <c r="W29" s="51"/>
      <c r="X29" s="84"/>
      <c r="Y29" s="84"/>
      <c r="Z29" s="84"/>
      <c r="AA29" s="84"/>
      <c r="AB29" s="84"/>
      <c r="AC29" s="84"/>
      <c r="AD29" s="84"/>
      <c r="AE29" s="84"/>
    </row>
    <row r="30" spans="1:31">
      <c r="A30" s="112" t="s">
        <v>437</v>
      </c>
      <c r="B30" s="95" t="s">
        <v>80</v>
      </c>
      <c r="C30" s="28" t="s">
        <v>630</v>
      </c>
      <c r="D30" s="134">
        <f>(12437.3922593101)*1000</f>
        <v>12437392.2593101</v>
      </c>
      <c r="E30" s="134">
        <f>(8115.12527578912)*1000</f>
        <v>8115125.2757891193</v>
      </c>
      <c r="F30" s="134">
        <f>(14512.3932268781)*1000</f>
        <v>14512393.226878101</v>
      </c>
      <c r="G30" s="134">
        <f>(17533.6599709043)*1000</f>
        <v>17533659.970904302</v>
      </c>
      <c r="H30" s="134">
        <f>(18085.7647138934)*1000</f>
        <v>18085764.713893402</v>
      </c>
      <c r="I30" s="134">
        <f>(24051.6115319029)*1000</f>
        <v>24051611.531902902</v>
      </c>
      <c r="J30" s="134">
        <f>(28563.8691792645)*1000</f>
        <v>28563869.179264501</v>
      </c>
      <c r="K30" s="134">
        <f>(33030.1460534255)*1000</f>
        <v>33030146.053425502</v>
      </c>
      <c r="L30" s="51"/>
      <c r="M30" s="51"/>
      <c r="N30" s="134">
        <f>(12968.366719666)*1000</f>
        <v>12968366.719666</v>
      </c>
      <c r="O30" s="134">
        <f>(8461.44370327044)*1000</f>
        <v>8461443.7032704409</v>
      </c>
      <c r="P30" s="134">
        <f>(15132.1140779651)*1000</f>
        <v>15132114.077965099</v>
      </c>
      <c r="Q30" s="134">
        <f>(18282.2674409459)*1000</f>
        <v>18282267.440945901</v>
      </c>
      <c r="R30" s="134">
        <f>(18857.905617328)*1000</f>
        <v>18857905.617327999</v>
      </c>
      <c r="S30" s="134">
        <f>(25078.8728693926)*1000</f>
        <v>25078872.8693926</v>
      </c>
      <c r="T30" s="134">
        <f>(29783.8522318783)*1000</f>
        <v>29783852.231878299</v>
      </c>
      <c r="U30" s="134">
        <f>(34440.8869498231)*1000</f>
        <v>34440886.949823096</v>
      </c>
      <c r="V30" s="51"/>
      <c r="W30" s="51"/>
      <c r="X30" s="84"/>
      <c r="Y30" s="84"/>
      <c r="Z30" s="84"/>
      <c r="AA30" s="84"/>
      <c r="AB30" s="84"/>
      <c r="AC30" s="84"/>
      <c r="AD30" s="84"/>
      <c r="AE30" s="84"/>
    </row>
    <row r="31" spans="1:31">
      <c r="A31" s="112" t="s">
        <v>438</v>
      </c>
      <c r="B31" s="95" t="s">
        <v>81</v>
      </c>
      <c r="C31" s="28" t="s">
        <v>630</v>
      </c>
      <c r="D31" s="134">
        <f t="shared" ref="D31:K31" si="8">(0)*1000</f>
        <v>0</v>
      </c>
      <c r="E31" s="134">
        <f t="shared" si="8"/>
        <v>0</v>
      </c>
      <c r="F31" s="134">
        <f t="shared" si="8"/>
        <v>0</v>
      </c>
      <c r="G31" s="134">
        <f t="shared" si="8"/>
        <v>0</v>
      </c>
      <c r="H31" s="134">
        <f t="shared" si="8"/>
        <v>0</v>
      </c>
      <c r="I31" s="134">
        <f t="shared" si="8"/>
        <v>0</v>
      </c>
      <c r="J31" s="134">
        <f t="shared" si="8"/>
        <v>0</v>
      </c>
      <c r="K31" s="134">
        <f t="shared" si="8"/>
        <v>0</v>
      </c>
      <c r="L31" s="51"/>
      <c r="M31" s="51"/>
      <c r="N31" s="134">
        <f t="shared" ref="N31:U31" si="9">(0)*1000</f>
        <v>0</v>
      </c>
      <c r="O31" s="134">
        <f t="shared" si="9"/>
        <v>0</v>
      </c>
      <c r="P31" s="134">
        <f t="shared" si="9"/>
        <v>0</v>
      </c>
      <c r="Q31" s="134">
        <f t="shared" si="9"/>
        <v>0</v>
      </c>
      <c r="R31" s="134">
        <f t="shared" si="9"/>
        <v>0</v>
      </c>
      <c r="S31" s="134">
        <f t="shared" si="9"/>
        <v>0</v>
      </c>
      <c r="T31" s="134">
        <f t="shared" si="9"/>
        <v>0</v>
      </c>
      <c r="U31" s="134">
        <f t="shared" si="9"/>
        <v>0</v>
      </c>
      <c r="V31" s="51"/>
      <c r="W31" s="51"/>
      <c r="X31" s="84"/>
      <c r="Y31" s="84"/>
      <c r="Z31" s="84"/>
      <c r="AA31" s="84"/>
      <c r="AB31" s="84"/>
      <c r="AC31" s="84"/>
      <c r="AD31" s="84"/>
      <c r="AE31" s="84"/>
    </row>
    <row r="32" spans="1:31">
      <c r="A32" s="112" t="s">
        <v>439</v>
      </c>
      <c r="B32" s="95" t="s">
        <v>656</v>
      </c>
      <c r="C32" s="28" t="s">
        <v>630</v>
      </c>
      <c r="D32" s="134">
        <f>SUM(D26:D31)</f>
        <v>196169399.14246595</v>
      </c>
      <c r="E32" s="134">
        <f t="shared" ref="E32" si="10">SUM(E26:E31)</f>
        <v>203917757.12327948</v>
      </c>
      <c r="F32" s="134">
        <f t="shared" ref="F32" si="11">SUM(F26:F31)</f>
        <v>213108394.73841953</v>
      </c>
      <c r="G32" s="134">
        <f t="shared" ref="G32" si="12">SUM(G26:G31)</f>
        <v>231768992.32444587</v>
      </c>
      <c r="H32" s="134">
        <f t="shared" ref="H32" si="13">SUM(H26:H31)</f>
        <v>241815621.72228104</v>
      </c>
      <c r="I32" s="134">
        <f t="shared" ref="I32" si="14">SUM(I26:I31)</f>
        <v>260877416.1441488</v>
      </c>
      <c r="J32" s="134">
        <f t="shared" ref="J32" si="15">SUM(J26:J31)</f>
        <v>285768374.69958657</v>
      </c>
      <c r="K32" s="134">
        <f t="shared" ref="K32" si="16">SUM(K26:K31)</f>
        <v>310624803.45916909</v>
      </c>
      <c r="L32" s="51"/>
      <c r="M32" s="51"/>
      <c r="N32" s="134">
        <f>(204548.913391)*1000</f>
        <v>204548913.391</v>
      </c>
      <c r="O32" s="134">
        <f>(212627.924908754)*1000</f>
        <v>212627924.90875402</v>
      </c>
      <c r="P32" s="134">
        <f>(222210.987429332)*1000</f>
        <v>222210987.42933199</v>
      </c>
      <c r="Q32" s="134">
        <f>(241668.324787897)*1000</f>
        <v>241668324.78789699</v>
      </c>
      <c r="R32" s="134">
        <f>(252143.737934654)*1000</f>
        <v>252143737.934654</v>
      </c>
      <c r="S32" s="134">
        <f>(272085.131589023)*1000</f>
        <v>272085131.58902299</v>
      </c>
      <c r="T32" s="134">
        <f>(298106.929288095)*1000</f>
        <v>298106929.288095</v>
      </c>
      <c r="U32" s="134">
        <f>(324100.242316133)*1000</f>
        <v>324100242.31613302</v>
      </c>
      <c r="V32" s="51"/>
      <c r="W32" s="51"/>
      <c r="X32" s="84"/>
      <c r="Y32" s="84"/>
      <c r="Z32" s="84"/>
      <c r="AA32" s="84"/>
      <c r="AB32" s="84"/>
      <c r="AC32" s="84"/>
      <c r="AD32" s="84"/>
      <c r="AE32" s="84"/>
    </row>
    <row r="33" spans="1:31">
      <c r="A33" s="112"/>
      <c r="B33" s="116" t="s">
        <v>82</v>
      </c>
      <c r="C33" s="82"/>
      <c r="D33" s="475"/>
      <c r="E33" s="475"/>
      <c r="F33" s="475"/>
      <c r="G33" s="475"/>
      <c r="H33" s="475"/>
      <c r="I33" s="475"/>
      <c r="J33" s="475"/>
      <c r="K33" s="475"/>
      <c r="L33" s="51"/>
      <c r="M33" s="51"/>
      <c r="N33" s="475"/>
      <c r="O33" s="475"/>
      <c r="P33" s="475"/>
      <c r="Q33" s="475"/>
      <c r="R33" s="475"/>
      <c r="S33" s="475"/>
      <c r="T33" s="475"/>
      <c r="U33" s="475"/>
      <c r="V33" s="51"/>
      <c r="W33" s="51"/>
      <c r="X33" s="117"/>
      <c r="Y33" s="117"/>
      <c r="Z33" s="117"/>
      <c r="AA33" s="117"/>
      <c r="AB33" s="117"/>
      <c r="AC33" s="117"/>
      <c r="AD33" s="117"/>
      <c r="AE33" s="117"/>
    </row>
    <row r="34" spans="1:31">
      <c r="A34" s="112" t="s">
        <v>440</v>
      </c>
      <c r="B34" s="95" t="s">
        <v>77</v>
      </c>
      <c r="C34" s="28" t="s">
        <v>630</v>
      </c>
      <c r="D34" s="134">
        <f>(94543.808281801)*1000</f>
        <v>94543808.281801</v>
      </c>
      <c r="E34" s="134">
        <f>(99931.468323778)*1000</f>
        <v>99931468.323778003</v>
      </c>
      <c r="F34" s="134">
        <f>(103874.739075859)*1000</f>
        <v>103874739.07585901</v>
      </c>
      <c r="G34" s="134">
        <f>(108554.675865056)*1000</f>
        <v>108554675.86505599</v>
      </c>
      <c r="H34" s="134">
        <f>(118056.345410591)*1000</f>
        <v>118056345.41059101</v>
      </c>
      <c r="I34" s="134">
        <f>(123169.886405005)*1000</f>
        <v>123169886.40500501</v>
      </c>
      <c r="J34" s="134">
        <f>(132911.07296504)*1000</f>
        <v>132911072.96503998</v>
      </c>
      <c r="K34" s="134">
        <f>(145622.480723576)*1000</f>
        <v>145622480.72357601</v>
      </c>
      <c r="L34" s="51"/>
      <c r="M34" s="51"/>
      <c r="N34" s="134">
        <f>(94543.808281801)*1000</f>
        <v>94543808.281801</v>
      </c>
      <c r="O34" s="134">
        <f>(99931.468323778)*1000</f>
        <v>99931468.323778003</v>
      </c>
      <c r="P34" s="134">
        <f>(103874.739075859)*1000</f>
        <v>103874739.07585901</v>
      </c>
      <c r="Q34" s="134">
        <f>(108554.675865056)*1000</f>
        <v>108554675.86505599</v>
      </c>
      <c r="R34" s="134">
        <f>(118056.345410591)*1000</f>
        <v>118056345.41059101</v>
      </c>
      <c r="S34" s="134">
        <f>(123169.886405005)*1000</f>
        <v>123169886.40500501</v>
      </c>
      <c r="T34" s="134">
        <f>(132911.07296504)*1000</f>
        <v>132911072.96503998</v>
      </c>
      <c r="U34" s="134">
        <f>(145622.480723576)*1000</f>
        <v>145622480.72357601</v>
      </c>
      <c r="V34" s="51"/>
      <c r="W34" s="51"/>
      <c r="X34" s="84"/>
      <c r="Y34" s="84"/>
      <c r="Z34" s="84"/>
      <c r="AA34" s="84"/>
      <c r="AB34" s="84"/>
      <c r="AC34" s="84"/>
      <c r="AD34" s="84"/>
      <c r="AE34" s="84"/>
    </row>
    <row r="35" spans="1:31">
      <c r="A35" s="112" t="s">
        <v>441</v>
      </c>
      <c r="B35" s="95" t="s">
        <v>78</v>
      </c>
      <c r="C35" s="28" t="s">
        <v>630</v>
      </c>
      <c r="D35" s="134">
        <f>(3106.57819636371)*1000</f>
        <v>3106578.1963637099</v>
      </c>
      <c r="E35" s="134">
        <f>(4284.57944163467)*1000</f>
        <v>4284579.4416346699</v>
      </c>
      <c r="F35" s="134">
        <f>(2116.22939949126)*1000</f>
        <v>2116229.3994912603</v>
      </c>
      <c r="G35" s="134">
        <f>(5930.81415245317)*1000</f>
        <v>5930814.1524531702</v>
      </c>
      <c r="H35" s="134">
        <f>(1636.39961473706)*1000</f>
        <v>1636399.6147370599</v>
      </c>
      <c r="I35" s="134">
        <f>(3400.71039585564)*1000</f>
        <v>3400710.3958556401</v>
      </c>
      <c r="J35" s="134">
        <f>(4636.86686768472)*1000</f>
        <v>4636866.8676847201</v>
      </c>
      <c r="K35" s="134">
        <f>(2894.65846796006)*1000</f>
        <v>2894658.4679600601</v>
      </c>
      <c r="L35" s="51"/>
      <c r="M35" s="51"/>
      <c r="N35" s="134">
        <f>(3106.57819636371)*1000</f>
        <v>3106578.1963637099</v>
      </c>
      <c r="O35" s="134">
        <f>(4284.57944163467)*1000</f>
        <v>4284579.4416346699</v>
      </c>
      <c r="P35" s="134">
        <f>(2116.22939949126)*1000</f>
        <v>2116229.3994912603</v>
      </c>
      <c r="Q35" s="134">
        <f>(5930.81415245317)*1000</f>
        <v>5930814.1524531702</v>
      </c>
      <c r="R35" s="134">
        <f>(1636.39961473706)*1000</f>
        <v>1636399.6147370599</v>
      </c>
      <c r="S35" s="134">
        <f>(3400.71039585564)*1000</f>
        <v>3400710.3958556401</v>
      </c>
      <c r="T35" s="134">
        <f>(4636.86686768472)*1000</f>
        <v>4636866.8676847201</v>
      </c>
      <c r="U35" s="134">
        <f>(2894.65846796006)*1000</f>
        <v>2894658.4679600601</v>
      </c>
      <c r="V35" s="51"/>
      <c r="W35" s="51"/>
      <c r="X35" s="84"/>
      <c r="Y35" s="84"/>
      <c r="Z35" s="84"/>
      <c r="AA35" s="84"/>
      <c r="AB35" s="84"/>
      <c r="AC35" s="84"/>
      <c r="AD35" s="84"/>
      <c r="AE35" s="84"/>
    </row>
    <row r="36" spans="1:31">
      <c r="A36" s="112" t="s">
        <v>442</v>
      </c>
      <c r="B36" s="95" t="s">
        <v>79</v>
      </c>
      <c r="C36" s="28" t="s">
        <v>630</v>
      </c>
      <c r="D36" s="134">
        <f>(-4051.1536386898)*1000</f>
        <v>-4051153.6386898002</v>
      </c>
      <c r="E36" s="134">
        <f>(-4471.39403093817)*1000</f>
        <v>-4471394.0309381699</v>
      </c>
      <c r="F36" s="134">
        <f>(-4826.8898171455)*1000</f>
        <v>-4826889.8171455003</v>
      </c>
      <c r="G36" s="134">
        <f>(-5356.80335426086)*1000</f>
        <v>-5356803.35426086</v>
      </c>
      <c r="H36" s="134">
        <f>(-5731.16974009552)*1000</f>
        <v>-5731169.7400955204</v>
      </c>
      <c r="I36" s="134">
        <f>(-5910.3215268149)*1000</f>
        <v>-5910321.5268148994</v>
      </c>
      <c r="J36" s="134">
        <f>(-6474.59574903907)*1000</f>
        <v>-6474595.7490390697</v>
      </c>
      <c r="K36" s="134">
        <f>(-7021.220280944)*1000</f>
        <v>-7021220.280944</v>
      </c>
      <c r="L36" s="51"/>
      <c r="M36" s="51"/>
      <c r="N36" s="134">
        <f>(-4051.1536386898)*1000</f>
        <v>-4051153.6386898002</v>
      </c>
      <c r="O36" s="134">
        <f>(-4471.39403093817)*1000</f>
        <v>-4471394.0309381699</v>
      </c>
      <c r="P36" s="134">
        <f>(-4826.8898171455)*1000</f>
        <v>-4826889.8171455003</v>
      </c>
      <c r="Q36" s="134">
        <f>(-5356.80335426086)*1000</f>
        <v>-5356803.35426086</v>
      </c>
      <c r="R36" s="134">
        <f>(-5731.16974009552)*1000</f>
        <v>-5731169.7400955204</v>
      </c>
      <c r="S36" s="134">
        <f>(-5910.3215268149)*1000</f>
        <v>-5910321.5268148994</v>
      </c>
      <c r="T36" s="134">
        <f>(-6474.59574903907)*1000</f>
        <v>-6474595.7490390697</v>
      </c>
      <c r="U36" s="134">
        <f>(-7021.220280944)*1000</f>
        <v>-7021220.280944</v>
      </c>
      <c r="V36" s="51"/>
      <c r="W36" s="51"/>
      <c r="X36" s="84"/>
      <c r="Y36" s="84"/>
      <c r="Z36" s="84"/>
      <c r="AA36" s="84"/>
      <c r="AB36" s="84"/>
      <c r="AC36" s="84"/>
      <c r="AD36" s="84"/>
      <c r="AE36" s="84"/>
    </row>
    <row r="37" spans="1:31">
      <c r="A37" s="112" t="s">
        <v>642</v>
      </c>
      <c r="B37" s="95"/>
      <c r="C37" s="28" t="s">
        <v>630</v>
      </c>
      <c r="D37" s="134"/>
      <c r="E37" s="134"/>
      <c r="F37" s="134"/>
      <c r="G37" s="134"/>
      <c r="H37" s="134"/>
      <c r="I37" s="134"/>
      <c r="J37" s="134"/>
      <c r="K37" s="134"/>
      <c r="L37" s="51"/>
      <c r="M37" s="51"/>
      <c r="N37" s="134"/>
      <c r="O37" s="134"/>
      <c r="P37" s="134"/>
      <c r="Q37" s="134"/>
      <c r="R37" s="134"/>
      <c r="S37" s="134"/>
      <c r="T37" s="134"/>
      <c r="U37" s="134"/>
      <c r="V37" s="51"/>
      <c r="W37" s="51"/>
      <c r="X37" s="84"/>
      <c r="Y37" s="84"/>
      <c r="Z37" s="84"/>
      <c r="AA37" s="84"/>
      <c r="AB37" s="84"/>
      <c r="AC37" s="84"/>
      <c r="AD37" s="84"/>
      <c r="AE37" s="84"/>
    </row>
    <row r="38" spans="1:31">
      <c r="A38" s="112" t="s">
        <v>443</v>
      </c>
      <c r="B38" s="95" t="s">
        <v>80</v>
      </c>
      <c r="C38" s="28" t="s">
        <v>630</v>
      </c>
      <c r="D38" s="134">
        <f>(6332.23548430311)*1000</f>
        <v>6332235.4843031103</v>
      </c>
      <c r="E38" s="134">
        <f>(4130.08534138432)*1000</f>
        <v>4130085.3413843196</v>
      </c>
      <c r="F38" s="134">
        <f>(7390.59720685136)*1000</f>
        <v>7390597.2068513604</v>
      </c>
      <c r="G38" s="134">
        <f>(8927.65874734297)*1000</f>
        <v>8927658.7473429702</v>
      </c>
      <c r="H38" s="134">
        <f>(9208.31111977208)*1000</f>
        <v>9208311.1197720785</v>
      </c>
      <c r="I38" s="134">
        <f>(12250.7976909948)*1000</f>
        <v>12250797.690994799</v>
      </c>
      <c r="J38" s="134">
        <f>(14549.13663989)*1000</f>
        <v>14549136.63989</v>
      </c>
      <c r="K38" s="134">
        <f>(16824.0550728914)*1000</f>
        <v>16824055.072891399</v>
      </c>
      <c r="L38" s="51"/>
      <c r="M38" s="51"/>
      <c r="N38" s="134">
        <f>(6332.23548430311)*1000</f>
        <v>6332235.4843031103</v>
      </c>
      <c r="O38" s="134">
        <f>(4130.08534138432)*1000</f>
        <v>4130085.3413843196</v>
      </c>
      <c r="P38" s="134">
        <f>(7390.59720685136)*1000</f>
        <v>7390597.2068513604</v>
      </c>
      <c r="Q38" s="134">
        <f>(8927.65874734297)*1000</f>
        <v>8927658.7473429702</v>
      </c>
      <c r="R38" s="134">
        <f>(9208.31111977208)*1000</f>
        <v>9208311.1197720785</v>
      </c>
      <c r="S38" s="134">
        <f>(12250.7976909948)*1000</f>
        <v>12250797.690994799</v>
      </c>
      <c r="T38" s="134">
        <f>(14549.13663989)*1000</f>
        <v>14549136.63989</v>
      </c>
      <c r="U38" s="134">
        <f>(16824.0550728914)*1000</f>
        <v>16824055.072891399</v>
      </c>
      <c r="V38" s="51"/>
      <c r="W38" s="51"/>
      <c r="X38" s="84"/>
      <c r="Y38" s="84"/>
      <c r="Z38" s="84"/>
      <c r="AA38" s="84"/>
      <c r="AB38" s="84"/>
      <c r="AC38" s="84"/>
      <c r="AD38" s="84"/>
      <c r="AE38" s="84"/>
    </row>
    <row r="39" spans="1:31">
      <c r="A39" s="112" t="s">
        <v>444</v>
      </c>
      <c r="B39" s="95" t="s">
        <v>81</v>
      </c>
      <c r="C39" s="28" t="s">
        <v>630</v>
      </c>
      <c r="D39" s="134">
        <f t="shared" ref="D39:K39" si="17">(0)*1000</f>
        <v>0</v>
      </c>
      <c r="E39" s="134">
        <f t="shared" si="17"/>
        <v>0</v>
      </c>
      <c r="F39" s="134">
        <f t="shared" si="17"/>
        <v>0</v>
      </c>
      <c r="G39" s="134">
        <f t="shared" si="17"/>
        <v>0</v>
      </c>
      <c r="H39" s="134">
        <f t="shared" si="17"/>
        <v>0</v>
      </c>
      <c r="I39" s="134">
        <f t="shared" si="17"/>
        <v>0</v>
      </c>
      <c r="J39" s="134">
        <f t="shared" si="17"/>
        <v>0</v>
      </c>
      <c r="K39" s="134">
        <f t="shared" si="17"/>
        <v>0</v>
      </c>
      <c r="L39" s="51"/>
      <c r="M39" s="51"/>
      <c r="N39" s="134">
        <f t="shared" ref="N39:U39" si="18">(0)*1000</f>
        <v>0</v>
      </c>
      <c r="O39" s="134">
        <f t="shared" si="18"/>
        <v>0</v>
      </c>
      <c r="P39" s="134">
        <f t="shared" si="18"/>
        <v>0</v>
      </c>
      <c r="Q39" s="134">
        <f t="shared" si="18"/>
        <v>0</v>
      </c>
      <c r="R39" s="134">
        <f t="shared" si="18"/>
        <v>0</v>
      </c>
      <c r="S39" s="134">
        <f t="shared" si="18"/>
        <v>0</v>
      </c>
      <c r="T39" s="134">
        <f t="shared" si="18"/>
        <v>0</v>
      </c>
      <c r="U39" s="134">
        <f t="shared" si="18"/>
        <v>0</v>
      </c>
      <c r="V39" s="51"/>
      <c r="W39" s="51"/>
      <c r="X39" s="84"/>
      <c r="Y39" s="84"/>
      <c r="Z39" s="84"/>
      <c r="AA39" s="84"/>
      <c r="AB39" s="84"/>
      <c r="AC39" s="84"/>
      <c r="AD39" s="84"/>
      <c r="AE39" s="84"/>
    </row>
    <row r="40" spans="1:31">
      <c r="A40" s="112" t="s">
        <v>445</v>
      </c>
      <c r="B40" s="95" t="s">
        <v>656</v>
      </c>
      <c r="C40" s="28" t="s">
        <v>630</v>
      </c>
      <c r="D40" s="134">
        <f>SUM(D34:D39)</f>
        <v>99931468.323778018</v>
      </c>
      <c r="E40" s="134">
        <f t="shared" ref="E40" si="19">SUM(E34:E39)</f>
        <v>103874739.07585883</v>
      </c>
      <c r="F40" s="134">
        <f t="shared" ref="F40" si="20">SUM(F34:F39)</f>
        <v>108554675.86505614</v>
      </c>
      <c r="G40" s="134">
        <f t="shared" ref="G40" si="21">SUM(G34:G39)</f>
        <v>118056345.41059127</v>
      </c>
      <c r="H40" s="134">
        <f t="shared" ref="H40" si="22">SUM(H34:H39)</f>
        <v>123169886.40500462</v>
      </c>
      <c r="I40" s="134">
        <f t="shared" ref="I40" si="23">SUM(I34:I39)</f>
        <v>132911072.96504055</v>
      </c>
      <c r="J40" s="134">
        <f t="shared" ref="J40" si="24">SUM(J34:J39)</f>
        <v>145622480.72357562</v>
      </c>
      <c r="K40" s="134">
        <f t="shared" ref="K40" si="25">SUM(K34:K39)</f>
        <v>158319973.98348349</v>
      </c>
      <c r="L40" s="51"/>
      <c r="M40" s="51"/>
      <c r="N40" s="134">
        <f>(99931.468323778)*1000</f>
        <v>99931468.323778003</v>
      </c>
      <c r="O40" s="134">
        <f>(103874.739075859)*1000</f>
        <v>103874739.07585901</v>
      </c>
      <c r="P40" s="134">
        <f>(108554.675865056)*1000</f>
        <v>108554675.86505599</v>
      </c>
      <c r="Q40" s="134">
        <f>(118056.345410591)*1000</f>
        <v>118056345.41059101</v>
      </c>
      <c r="R40" s="134">
        <f>(123169.886405005)*1000</f>
        <v>123169886.40500501</v>
      </c>
      <c r="S40" s="134">
        <f>(132911.07296504)*1000</f>
        <v>132911072.96503998</v>
      </c>
      <c r="T40" s="134">
        <f>(145622.480723576)*1000</f>
        <v>145622480.72357601</v>
      </c>
      <c r="U40" s="134">
        <f>(158319.973983484)*1000</f>
        <v>158319973.983484</v>
      </c>
      <c r="V40" s="51"/>
      <c r="W40" s="51"/>
      <c r="X40" s="84"/>
      <c r="Y40" s="84"/>
      <c r="Z40" s="84"/>
      <c r="AA40" s="84"/>
      <c r="AB40" s="84"/>
      <c r="AC40" s="84"/>
      <c r="AD40" s="84"/>
      <c r="AE40" s="84"/>
    </row>
    <row r="41" spans="1:31">
      <c r="A41" s="57"/>
      <c r="B41" s="116" t="s">
        <v>605</v>
      </c>
      <c r="C41" s="82"/>
      <c r="D41" s="475"/>
      <c r="E41" s="475"/>
      <c r="F41" s="475"/>
      <c r="G41" s="475"/>
      <c r="H41" s="475"/>
      <c r="I41" s="475"/>
      <c r="J41" s="475"/>
      <c r="K41" s="475"/>
      <c r="L41" s="51"/>
      <c r="M41" s="51"/>
      <c r="N41" s="475"/>
      <c r="O41" s="475"/>
      <c r="P41" s="475"/>
      <c r="Q41" s="475"/>
      <c r="R41" s="475"/>
      <c r="S41" s="475"/>
      <c r="T41" s="475"/>
      <c r="U41" s="475"/>
      <c r="V41" s="51"/>
      <c r="W41" s="51"/>
      <c r="X41" s="117"/>
      <c r="Y41" s="117"/>
      <c r="Z41" s="117"/>
      <c r="AA41" s="117"/>
      <c r="AB41" s="117"/>
      <c r="AC41" s="117"/>
      <c r="AD41" s="117"/>
      <c r="AE41" s="117"/>
    </row>
    <row r="42" spans="1:31">
      <c r="A42" s="112" t="s">
        <v>446</v>
      </c>
      <c r="B42" s="95" t="s">
        <v>77</v>
      </c>
      <c r="C42" s="28" t="s">
        <v>630</v>
      </c>
      <c r="D42" s="134">
        <f>(126765.93632482)*1000</f>
        <v>126765936.32482</v>
      </c>
      <c r="E42" s="134">
        <f>(143838.54548343)*1000</f>
        <v>143838545.48343</v>
      </c>
      <c r="F42" s="134">
        <f>(165746.94144657)*1000</f>
        <v>165746941.44657001</v>
      </c>
      <c r="G42" s="134">
        <f>(173665.528492308)*1000</f>
        <v>173665528.49230799</v>
      </c>
      <c r="H42" s="134">
        <f>(197001.160725764)*1000</f>
        <v>197001160.72576401</v>
      </c>
      <c r="I42" s="134">
        <f>(217097.048494972)*1000</f>
        <v>217097048.49497199</v>
      </c>
      <c r="J42" s="134">
        <f>(227133.777493368)*1000</f>
        <v>227133777.493368</v>
      </c>
      <c r="K42" s="134">
        <f>(258385.122801874)*1000</f>
        <v>258385122.80187401</v>
      </c>
      <c r="L42" s="51"/>
      <c r="M42" s="51"/>
      <c r="N42" s="134">
        <f>(126765.93632482)*1000</f>
        <v>126765936.32482</v>
      </c>
      <c r="O42" s="134">
        <f>(143838.54548343)*1000</f>
        <v>143838545.48343</v>
      </c>
      <c r="P42" s="134">
        <f>(165746.94144657)*1000</f>
        <v>165746941.44657001</v>
      </c>
      <c r="Q42" s="134">
        <f>(173665.528492308)*1000</f>
        <v>173665528.49230799</v>
      </c>
      <c r="R42" s="134">
        <f>(197001.160725764)*1000</f>
        <v>197001160.72576401</v>
      </c>
      <c r="S42" s="134">
        <f>(217097.048494972)*1000</f>
        <v>217097048.49497199</v>
      </c>
      <c r="T42" s="134">
        <f>(227133.777493368)*1000</f>
        <v>227133777.493368</v>
      </c>
      <c r="U42" s="134">
        <f>(258385.122801874)*1000</f>
        <v>258385122.80187401</v>
      </c>
      <c r="V42" s="51"/>
      <c r="W42" s="51"/>
      <c r="X42" s="84"/>
      <c r="Y42" s="84"/>
      <c r="Z42" s="84"/>
      <c r="AA42" s="84"/>
      <c r="AB42" s="84"/>
      <c r="AC42" s="84"/>
      <c r="AD42" s="84"/>
      <c r="AE42" s="84"/>
    </row>
    <row r="43" spans="1:31">
      <c r="A43" s="112" t="s">
        <v>447</v>
      </c>
      <c r="B43" s="95" t="s">
        <v>78</v>
      </c>
      <c r="C43" s="28" t="s">
        <v>630</v>
      </c>
      <c r="D43" s="134">
        <f>(3646.79951042148)*1000</f>
        <v>3646799.5104214801</v>
      </c>
      <c r="E43" s="134">
        <f>(5396.38053968791)*1000</f>
        <v>5396380.5396879101</v>
      </c>
      <c r="F43" s="134">
        <f>(2947.20097443505)*1000</f>
        <v>2947200.97443505</v>
      </c>
      <c r="G43" s="134">
        <f>(8246.75096495667)*1000</f>
        <v>8246750.9649566691</v>
      </c>
      <c r="H43" s="134">
        <f>(2371.06204931179)*1000</f>
        <v>2371062.0493117897</v>
      </c>
      <c r="I43" s="134">
        <f>(6051.93432933793)*1000</f>
        <v>6051934.3293379294</v>
      </c>
      <c r="J43" s="134">
        <f>(7994.89926549071)*1000</f>
        <v>7994899.2654907098</v>
      </c>
      <c r="K43" s="134">
        <f>(5178.03786094951)*1000</f>
        <v>5178037.8609495098</v>
      </c>
      <c r="L43" s="51"/>
      <c r="M43" s="51"/>
      <c r="N43" s="134">
        <f>(3646.79951042148)*1000</f>
        <v>3646799.5104214801</v>
      </c>
      <c r="O43" s="134">
        <f>(5396.38053968791)*1000</f>
        <v>5396380.5396879101</v>
      </c>
      <c r="P43" s="134">
        <f>(2947.20097443505)*1000</f>
        <v>2947200.97443505</v>
      </c>
      <c r="Q43" s="134">
        <f>(8246.75096495667)*1000</f>
        <v>8246750.9649566691</v>
      </c>
      <c r="R43" s="134">
        <f>(2371.06204931179)*1000</f>
        <v>2371062.0493117897</v>
      </c>
      <c r="S43" s="134">
        <f>(6051.93432933793)*1000</f>
        <v>6051934.3293379294</v>
      </c>
      <c r="T43" s="134">
        <f>(7994.89926549071)*1000</f>
        <v>7994899.2654907098</v>
      </c>
      <c r="U43" s="134">
        <f>(5178.03786094951)*1000</f>
        <v>5178037.8609495098</v>
      </c>
      <c r="V43" s="51"/>
      <c r="W43" s="51"/>
      <c r="X43" s="84"/>
      <c r="Y43" s="84"/>
      <c r="Z43" s="84"/>
      <c r="AA43" s="84"/>
      <c r="AB43" s="84"/>
      <c r="AC43" s="84"/>
      <c r="AD43" s="84"/>
      <c r="AE43" s="84"/>
    </row>
    <row r="44" spans="1:31">
      <c r="A44" s="112" t="s">
        <v>448</v>
      </c>
      <c r="B44" s="95" t="s">
        <v>79</v>
      </c>
      <c r="C44" s="28" t="s">
        <v>630</v>
      </c>
      <c r="D44" s="134">
        <f>(-2631.29041467612)*1000</f>
        <v>-2631290.4146761196</v>
      </c>
      <c r="E44" s="134">
        <f>(-2884.22027325342)*1000</f>
        <v>-2884220.2732534204</v>
      </c>
      <c r="F44" s="134">
        <f>(-3103.71215144975)*1000</f>
        <v>-3103712.1514497497</v>
      </c>
      <c r="G44" s="134">
        <f>(-3422.40542919762)*1000</f>
        <v>-3422405.4291976201</v>
      </c>
      <c r="H44" s="134">
        <f>(-3648.60201689131)*1000</f>
        <v>-3648602.01689131</v>
      </c>
      <c r="I44" s="134">
        <f>(-9297.87428434624)*1000</f>
        <v>-9297874.2843462396</v>
      </c>
      <c r="J44" s="134">
        <f>(-9854.32098547255)*1000</f>
        <v>-9854320.9854725506</v>
      </c>
      <c r="K44" s="134">
        <f>(-10614.7066913504)*1000</f>
        <v>-10614706.6913504</v>
      </c>
      <c r="L44" s="51"/>
      <c r="M44" s="51"/>
      <c r="N44" s="134">
        <f>(-2631.29041467612)*1000</f>
        <v>-2631290.4146761196</v>
      </c>
      <c r="O44" s="134">
        <f>(-2884.22027325342)*1000</f>
        <v>-2884220.2732534204</v>
      </c>
      <c r="P44" s="134">
        <f>(-3103.71215144975)*1000</f>
        <v>-3103712.1514497497</v>
      </c>
      <c r="Q44" s="134">
        <f>(-3422.40542919762)*1000</f>
        <v>-3422405.4291976201</v>
      </c>
      <c r="R44" s="134">
        <f>(-3648.60201689131)*1000</f>
        <v>-3648602.01689131</v>
      </c>
      <c r="S44" s="134">
        <f>(-9297.87428434624)*1000</f>
        <v>-9297874.2843462396</v>
      </c>
      <c r="T44" s="134">
        <f>(-9854.32098547255)*1000</f>
        <v>-9854320.9854725506</v>
      </c>
      <c r="U44" s="134">
        <f>(-10614.7066913504)*1000</f>
        <v>-10614706.6913504</v>
      </c>
      <c r="V44" s="51"/>
      <c r="W44" s="51"/>
      <c r="X44" s="84"/>
      <c r="Y44" s="84"/>
      <c r="Z44" s="84"/>
      <c r="AA44" s="84"/>
      <c r="AB44" s="84"/>
      <c r="AC44" s="84"/>
      <c r="AD44" s="84"/>
      <c r="AE44" s="84"/>
    </row>
    <row r="45" spans="1:31">
      <c r="A45" s="112" t="s">
        <v>643</v>
      </c>
      <c r="B45" s="95"/>
      <c r="C45" s="28" t="s">
        <v>630</v>
      </c>
      <c r="D45" s="134"/>
      <c r="E45" s="134"/>
      <c r="F45" s="134"/>
      <c r="G45" s="134"/>
      <c r="H45" s="134"/>
      <c r="I45" s="134"/>
      <c r="J45" s="134"/>
      <c r="K45" s="134"/>
      <c r="L45" s="51"/>
      <c r="M45" s="51"/>
      <c r="N45" s="134"/>
      <c r="O45" s="134"/>
      <c r="P45" s="134"/>
      <c r="Q45" s="134"/>
      <c r="R45" s="134"/>
      <c r="S45" s="134"/>
      <c r="T45" s="134"/>
      <c r="U45" s="134"/>
      <c r="V45" s="51"/>
      <c r="W45" s="51"/>
      <c r="X45" s="84"/>
      <c r="Y45" s="84"/>
      <c r="Z45" s="84"/>
      <c r="AA45" s="84"/>
      <c r="AB45" s="84"/>
      <c r="AC45" s="84"/>
      <c r="AD45" s="84"/>
      <c r="AE45" s="84"/>
    </row>
    <row r="46" spans="1:31">
      <c r="A46" s="112" t="s">
        <v>449</v>
      </c>
      <c r="B46" s="95" t="s">
        <v>80</v>
      </c>
      <c r="C46" s="28" t="s">
        <v>630</v>
      </c>
      <c r="D46" s="134">
        <f>(16057.1000628645)*1000</f>
        <v>16057100.062864499</v>
      </c>
      <c r="E46" s="134">
        <f>(19396.2356967048)*1000</f>
        <v>19396235.696704801</v>
      </c>
      <c r="F46" s="134">
        <f>(8075.09822275345)*1000</f>
        <v>8075098.2227534493</v>
      </c>
      <c r="G46" s="134">
        <f>(18511.2866976969)*1000</f>
        <v>18511286.697696902</v>
      </c>
      <c r="H46" s="134">
        <f>(21373.4277367871)*1000</f>
        <v>21373427.736787099</v>
      </c>
      <c r="I46" s="134">
        <f>(13282.668953404)*1000</f>
        <v>13282668.953404</v>
      </c>
      <c r="J46" s="134">
        <f>(33110.7670284882)*1000</f>
        <v>33110767.028488196</v>
      </c>
      <c r="K46" s="134">
        <f>(21585.8816079325)*1000</f>
        <v>21585881.607932501</v>
      </c>
      <c r="L46" s="51"/>
      <c r="M46" s="51"/>
      <c r="N46" s="134">
        <f>(16057.1000628645)*1000</f>
        <v>16057100.062864499</v>
      </c>
      <c r="O46" s="134">
        <f>(19396.2356967048)*1000</f>
        <v>19396235.696704801</v>
      </c>
      <c r="P46" s="134">
        <f>(8075.09822275345)*1000</f>
        <v>8075098.2227534493</v>
      </c>
      <c r="Q46" s="134">
        <f>(18511.2866976969)*1000</f>
        <v>18511286.697696902</v>
      </c>
      <c r="R46" s="134">
        <f>(21373.4277367871)*1000</f>
        <v>21373427.736787099</v>
      </c>
      <c r="S46" s="134">
        <f>(13282.668953404)*1000</f>
        <v>13282668.953404</v>
      </c>
      <c r="T46" s="134">
        <f>(33110.7670284882)*1000</f>
        <v>33110767.028488196</v>
      </c>
      <c r="U46" s="134">
        <f>(21585.8816079325)*1000</f>
        <v>21585881.607932501</v>
      </c>
      <c r="V46" s="51"/>
      <c r="W46" s="51"/>
      <c r="X46" s="84"/>
      <c r="Y46" s="84"/>
      <c r="Z46" s="84"/>
      <c r="AA46" s="84"/>
      <c r="AB46" s="84"/>
      <c r="AC46" s="84"/>
      <c r="AD46" s="84"/>
      <c r="AE46" s="84"/>
    </row>
    <row r="47" spans="1:31">
      <c r="A47" s="112" t="s">
        <v>450</v>
      </c>
      <c r="B47" s="95" t="s">
        <v>81</v>
      </c>
      <c r="C47" s="28" t="s">
        <v>630</v>
      </c>
      <c r="D47" s="134">
        <f t="shared" ref="D47:K47" si="26">(0)*1000</f>
        <v>0</v>
      </c>
      <c r="E47" s="134">
        <f t="shared" si="26"/>
        <v>0</v>
      </c>
      <c r="F47" s="134">
        <f t="shared" si="26"/>
        <v>0</v>
      </c>
      <c r="G47" s="134">
        <f t="shared" si="26"/>
        <v>0</v>
      </c>
      <c r="H47" s="134">
        <f t="shared" si="26"/>
        <v>0</v>
      </c>
      <c r="I47" s="134">
        <f t="shared" si="26"/>
        <v>0</v>
      </c>
      <c r="J47" s="134">
        <f t="shared" si="26"/>
        <v>0</v>
      </c>
      <c r="K47" s="134">
        <f t="shared" si="26"/>
        <v>0</v>
      </c>
      <c r="L47" s="51"/>
      <c r="M47" s="51"/>
      <c r="N47" s="134">
        <f t="shared" ref="N47:U47" si="27">(0)*1000</f>
        <v>0</v>
      </c>
      <c r="O47" s="134">
        <f t="shared" si="27"/>
        <v>0</v>
      </c>
      <c r="P47" s="134">
        <f t="shared" si="27"/>
        <v>0</v>
      </c>
      <c r="Q47" s="134">
        <f t="shared" si="27"/>
        <v>0</v>
      </c>
      <c r="R47" s="134">
        <f t="shared" si="27"/>
        <v>0</v>
      </c>
      <c r="S47" s="134">
        <f t="shared" si="27"/>
        <v>0</v>
      </c>
      <c r="T47" s="134">
        <f t="shared" si="27"/>
        <v>0</v>
      </c>
      <c r="U47" s="134">
        <f t="shared" si="27"/>
        <v>0</v>
      </c>
      <c r="V47" s="51"/>
      <c r="W47" s="51"/>
      <c r="X47" s="84"/>
      <c r="Y47" s="84"/>
      <c r="Z47" s="84"/>
      <c r="AA47" s="84"/>
      <c r="AB47" s="84"/>
      <c r="AC47" s="84"/>
      <c r="AD47" s="84"/>
      <c r="AE47" s="84"/>
    </row>
    <row r="48" spans="1:31">
      <c r="A48" s="112" t="s">
        <v>451</v>
      </c>
      <c r="B48" s="95" t="s">
        <v>656</v>
      </c>
      <c r="C48" s="28" t="s">
        <v>630</v>
      </c>
      <c r="D48" s="134">
        <f>SUM(D42:D47)</f>
        <v>143838545.48342988</v>
      </c>
      <c r="E48" s="134">
        <f t="shared" ref="E48" si="28">SUM(E42:E47)</f>
        <v>165746941.44656929</v>
      </c>
      <c r="F48" s="134">
        <f t="shared" ref="F48" si="29">SUM(F42:F47)</f>
        <v>173665528.49230877</v>
      </c>
      <c r="G48" s="134">
        <f t="shared" ref="G48" si="30">SUM(G42:G47)</f>
        <v>197001160.72576395</v>
      </c>
      <c r="H48" s="134">
        <f t="shared" ref="H48" si="31">SUM(H42:H47)</f>
        <v>217097048.4949716</v>
      </c>
      <c r="I48" s="134">
        <f t="shared" ref="I48" si="32">SUM(I42:I47)</f>
        <v>227133777.49336767</v>
      </c>
      <c r="J48" s="134">
        <f t="shared" ref="J48" si="33">SUM(J42:J47)</f>
        <v>258385122.80187434</v>
      </c>
      <c r="K48" s="134">
        <f t="shared" ref="K48" si="34">SUM(K42:K47)</f>
        <v>274534335.57940561</v>
      </c>
      <c r="L48" s="51"/>
      <c r="M48" s="51"/>
      <c r="N48" s="134">
        <f>(143838.54548343)*1000</f>
        <v>143838545.48343</v>
      </c>
      <c r="O48" s="134">
        <f>(165746.94144657)*1000</f>
        <v>165746941.44657001</v>
      </c>
      <c r="P48" s="134">
        <f>(173665.528492308)*1000</f>
        <v>173665528.49230799</v>
      </c>
      <c r="Q48" s="134">
        <f>(197001.160725764)*1000</f>
        <v>197001160.72576401</v>
      </c>
      <c r="R48" s="134">
        <f>(217097.048494972)*1000</f>
        <v>217097048.49497199</v>
      </c>
      <c r="S48" s="134">
        <f>(227133.777493368)*1000</f>
        <v>227133777.493368</v>
      </c>
      <c r="T48" s="134">
        <f>(258385.122801874)*1000</f>
        <v>258385122.80187401</v>
      </c>
      <c r="U48" s="134">
        <f>(274534.335579406)*1000</f>
        <v>274534335.57940602</v>
      </c>
      <c r="V48" s="51"/>
      <c r="W48" s="51"/>
      <c r="X48" s="84"/>
      <c r="Y48" s="84"/>
      <c r="Z48" s="84"/>
      <c r="AA48" s="84"/>
      <c r="AB48" s="84"/>
      <c r="AC48" s="84"/>
      <c r="AD48" s="84"/>
      <c r="AE48" s="84"/>
    </row>
    <row r="49" spans="1:31">
      <c r="A49" s="57"/>
      <c r="B49" s="116" t="s">
        <v>606</v>
      </c>
      <c r="C49" s="82"/>
      <c r="D49" s="475"/>
      <c r="E49" s="475"/>
      <c r="F49" s="475"/>
      <c r="G49" s="475"/>
      <c r="H49" s="475"/>
      <c r="I49" s="475"/>
      <c r="J49" s="475"/>
      <c r="K49" s="475"/>
      <c r="L49" s="51"/>
      <c r="M49" s="51"/>
      <c r="N49" s="475"/>
      <c r="O49" s="475"/>
      <c r="P49" s="475"/>
      <c r="Q49" s="475"/>
      <c r="R49" s="475"/>
      <c r="S49" s="475"/>
      <c r="T49" s="475"/>
      <c r="U49" s="475"/>
      <c r="V49" s="51"/>
      <c r="W49" s="51"/>
      <c r="X49" s="117"/>
      <c r="Y49" s="117"/>
      <c r="Z49" s="117"/>
      <c r="AA49" s="117"/>
      <c r="AB49" s="117"/>
      <c r="AC49" s="117"/>
      <c r="AD49" s="117"/>
      <c r="AE49" s="117"/>
    </row>
    <row r="50" spans="1:31">
      <c r="A50" s="112" t="s">
        <v>452</v>
      </c>
      <c r="B50" s="95" t="s">
        <v>77</v>
      </c>
      <c r="C50" s="28" t="s">
        <v>630</v>
      </c>
      <c r="D50" s="134">
        <f>(33847.0168378821)*1000</f>
        <v>33847016.837882102</v>
      </c>
      <c r="E50" s="134">
        <f>(38396.1280165514)*1000</f>
        <v>38396128.016551405</v>
      </c>
      <c r="F50" s="134">
        <f>(44234.1816986266)*1000</f>
        <v>44234181.6986266</v>
      </c>
      <c r="G50" s="134">
        <f>(46344.0354745709)*1000</f>
        <v>46344035.4745709</v>
      </c>
      <c r="H50" s="134">
        <f>(52563.2390258045)*1000</f>
        <v>52563239.025804497</v>
      </c>
      <c r="I50" s="134">
        <f>(57917.0366140011)*1000</f>
        <v>57917036.614001103</v>
      </c>
      <c r="J50" s="134">
        <f>(60589.9038767506)*1000</f>
        <v>60589903.876750596</v>
      </c>
      <c r="K50" s="134">
        <f>(68915.3404191157)*1000</f>
        <v>68915340.419115707</v>
      </c>
      <c r="L50" s="51"/>
      <c r="M50" s="51"/>
      <c r="N50" s="134">
        <f>(33847.0168378821)*1000</f>
        <v>33847016.837882102</v>
      </c>
      <c r="O50" s="134">
        <f>(38396.1280165514)*1000</f>
        <v>38396128.016551405</v>
      </c>
      <c r="P50" s="134">
        <f>(44234.1816986266)*1000</f>
        <v>44234181.6986266</v>
      </c>
      <c r="Q50" s="134">
        <f>(46344.0354745709)*1000</f>
        <v>46344035.4745709</v>
      </c>
      <c r="R50" s="134">
        <f>(52563.2390258045)*1000</f>
        <v>52563239.025804497</v>
      </c>
      <c r="S50" s="134">
        <f>(57917.0366140011)*1000</f>
        <v>57917036.614001103</v>
      </c>
      <c r="T50" s="134">
        <f>(60589.9038767506)*1000</f>
        <v>60589903.876750596</v>
      </c>
      <c r="U50" s="134">
        <f>(68915.3404191157)*1000</f>
        <v>68915340.419115707</v>
      </c>
      <c r="V50" s="51"/>
      <c r="W50" s="51"/>
      <c r="X50" s="84"/>
      <c r="Y50" s="84"/>
      <c r="Z50" s="84"/>
      <c r="AA50" s="84"/>
      <c r="AB50" s="84"/>
      <c r="AC50" s="84"/>
      <c r="AD50" s="84"/>
      <c r="AE50" s="84"/>
    </row>
    <row r="51" spans="1:31">
      <c r="A51" s="112" t="s">
        <v>453</v>
      </c>
      <c r="B51" s="95" t="s">
        <v>78</v>
      </c>
      <c r="C51" s="28" t="s">
        <v>630</v>
      </c>
      <c r="D51" s="134">
        <f>(972.891258693892)*1000</f>
        <v>972891.25869389204</v>
      </c>
      <c r="E51" s="134">
        <f>(1439.64356709081)*1000</f>
        <v>1439643.56709081</v>
      </c>
      <c r="F51" s="134">
        <f>(786.252728576953)*1000</f>
        <v>786252.72857695306</v>
      </c>
      <c r="G51" s="134">
        <f>(2200.06389260058)*1000</f>
        <v>2200063.8926005801</v>
      </c>
      <c r="H51" s="134">
        <f>(632.550688625507)*1000</f>
        <v>632550.68862550694</v>
      </c>
      <c r="I51" s="134">
        <f>(1614.53186290514)*1000</f>
        <v>1614531.86290514</v>
      </c>
      <c r="J51" s="134">
        <f>(2132.87502844793)*1000</f>
        <v>2132875.0284479302</v>
      </c>
      <c r="K51" s="134">
        <f>(1381.39422189447)*1000</f>
        <v>1381394.22189447</v>
      </c>
      <c r="L51" s="51"/>
      <c r="M51" s="51"/>
      <c r="N51" s="134">
        <f>(972.891258693892)*1000</f>
        <v>972891.25869389204</v>
      </c>
      <c r="O51" s="134">
        <f>(1439.64356709081)*1000</f>
        <v>1439643.56709081</v>
      </c>
      <c r="P51" s="134">
        <f>(786.252728576953)*1000</f>
        <v>786252.72857695306</v>
      </c>
      <c r="Q51" s="134">
        <f>(2200.06389260058)*1000</f>
        <v>2200063.8926005801</v>
      </c>
      <c r="R51" s="134">
        <f>(632.550688625507)*1000</f>
        <v>632550.68862550694</v>
      </c>
      <c r="S51" s="134">
        <f>(1614.53186290514)*1000</f>
        <v>1614531.86290514</v>
      </c>
      <c r="T51" s="134">
        <f>(2132.87502844793)*1000</f>
        <v>2132875.0284479302</v>
      </c>
      <c r="U51" s="134">
        <f>(1381.39422189447)*1000</f>
        <v>1381394.22189447</v>
      </c>
      <c r="V51" s="51"/>
      <c r="W51" s="51"/>
      <c r="X51" s="84"/>
      <c r="Y51" s="84"/>
      <c r="Z51" s="84"/>
      <c r="AA51" s="84"/>
      <c r="AB51" s="84"/>
      <c r="AC51" s="84"/>
      <c r="AD51" s="84"/>
      <c r="AE51" s="84"/>
    </row>
    <row r="52" spans="1:31">
      <c r="A52" s="112" t="s">
        <v>454</v>
      </c>
      <c r="B52" s="95" t="s">
        <v>79</v>
      </c>
      <c r="C52" s="28" t="s">
        <v>630</v>
      </c>
      <c r="D52" s="134">
        <f>(-701.974275308476)*1000</f>
        <v>-701974.27530847595</v>
      </c>
      <c r="E52" s="134">
        <f>(-769.450770182772)*1000</f>
        <v>-769450.77018277196</v>
      </c>
      <c r="F52" s="134">
        <f>(-828.006698207131)*1000</f>
        <v>-828006.698207131</v>
      </c>
      <c r="G52" s="134">
        <f>(-913.027523519674)*1000</f>
        <v>-913027.52351967397</v>
      </c>
      <c r="H52" s="134">
        <f>(-973.372130423534)*1000</f>
        <v>-973372.13042353408</v>
      </c>
      <c r="I52" s="134">
        <f>(-2480.48201987109)*1000</f>
        <v>-2480482.0198710901</v>
      </c>
      <c r="J52" s="134">
        <f>(-2628.93057864373)*1000</f>
        <v>-2628930.5786437299</v>
      </c>
      <c r="K52" s="134">
        <f>(-2831.78587802893)*1000</f>
        <v>-2831785.8780289297</v>
      </c>
      <c r="L52" s="51"/>
      <c r="M52" s="51"/>
      <c r="N52" s="134">
        <f>(-701.974275308476)*1000</f>
        <v>-701974.27530847595</v>
      </c>
      <c r="O52" s="134">
        <f>(-769.450770182772)*1000</f>
        <v>-769450.77018277196</v>
      </c>
      <c r="P52" s="134">
        <f>(-828.006698207131)*1000</f>
        <v>-828006.698207131</v>
      </c>
      <c r="Q52" s="134">
        <f>(-913.027523519674)*1000</f>
        <v>-913027.52351967397</v>
      </c>
      <c r="R52" s="134">
        <f>(-973.372130423534)*1000</f>
        <v>-973372.13042353408</v>
      </c>
      <c r="S52" s="134">
        <f>(-2480.48201987109)*1000</f>
        <v>-2480482.0198710901</v>
      </c>
      <c r="T52" s="134">
        <f>(-2628.93057864373)*1000</f>
        <v>-2628930.5786437299</v>
      </c>
      <c r="U52" s="134">
        <f>(-2831.78587802893)*1000</f>
        <v>-2831785.8780289297</v>
      </c>
      <c r="V52" s="51"/>
      <c r="W52" s="51"/>
      <c r="X52" s="84"/>
      <c r="Y52" s="84"/>
      <c r="Z52" s="84"/>
      <c r="AA52" s="84"/>
      <c r="AB52" s="84"/>
      <c r="AC52" s="84"/>
      <c r="AD52" s="84"/>
      <c r="AE52" s="84"/>
    </row>
    <row r="53" spans="1:31">
      <c r="A53" s="112" t="s">
        <v>644</v>
      </c>
      <c r="B53" s="95"/>
      <c r="C53" s="28" t="s">
        <v>630</v>
      </c>
      <c r="D53" s="134"/>
      <c r="E53" s="134"/>
      <c r="F53" s="134"/>
      <c r="G53" s="134"/>
      <c r="H53" s="134"/>
      <c r="I53" s="134"/>
      <c r="J53" s="134"/>
      <c r="K53" s="134"/>
      <c r="L53" s="51"/>
      <c r="M53" s="51"/>
      <c r="N53" s="134"/>
      <c r="O53" s="134"/>
      <c r="P53" s="134"/>
      <c r="Q53" s="134"/>
      <c r="R53" s="134"/>
      <c r="S53" s="134"/>
      <c r="T53" s="134"/>
      <c r="U53" s="134"/>
      <c r="V53" s="51"/>
      <c r="W53" s="51"/>
      <c r="X53" s="84"/>
      <c r="Y53" s="84"/>
      <c r="Z53" s="84"/>
      <c r="AA53" s="84"/>
      <c r="AB53" s="84"/>
      <c r="AC53" s="84"/>
      <c r="AD53" s="84"/>
      <c r="AE53" s="84"/>
    </row>
    <row r="54" spans="1:31">
      <c r="A54" s="112" t="s">
        <v>455</v>
      </c>
      <c r="B54" s="95" t="s">
        <v>80</v>
      </c>
      <c r="C54" s="28" t="s">
        <v>630</v>
      </c>
      <c r="D54" s="134">
        <f>(4278.19419528386)*1000</f>
        <v>4278194.19528386</v>
      </c>
      <c r="E54" s="134">
        <f>(5167.86088516723)*1000</f>
        <v>5167860.8851672299</v>
      </c>
      <c r="F54" s="134">
        <f>(2151.60774557438)*1000</f>
        <v>2151607.7455743798</v>
      </c>
      <c r="G54" s="134">
        <f>(4932.16718215271)*1000</f>
        <v>4932167.1821527099</v>
      </c>
      <c r="H54" s="134">
        <f>(5694.61902999462)*1000</f>
        <v>5694619.02999462</v>
      </c>
      <c r="I54" s="134">
        <f>(3538.81741971554)*1000</f>
        <v>3538817.41971554</v>
      </c>
      <c r="J54" s="134">
        <f>(8821.49209256084)*1000</f>
        <v>8821492.0925608408</v>
      </c>
      <c r="K54" s="134">
        <f>(5750.98981402319)*1000</f>
        <v>5750989.8140231902</v>
      </c>
      <c r="L54" s="51"/>
      <c r="M54" s="51"/>
      <c r="N54" s="134">
        <f>(4278.19419528386)*1000</f>
        <v>4278194.19528386</v>
      </c>
      <c r="O54" s="134">
        <f>(5167.86088516723)*1000</f>
        <v>5167860.8851672299</v>
      </c>
      <c r="P54" s="134">
        <f>(2151.60774557438)*1000</f>
        <v>2151607.7455743798</v>
      </c>
      <c r="Q54" s="134">
        <f>(4932.16718215271)*1000</f>
        <v>4932167.1821527099</v>
      </c>
      <c r="R54" s="134">
        <f>(5694.61902999462)*1000</f>
        <v>5694619.02999462</v>
      </c>
      <c r="S54" s="134">
        <f>(3538.81741971554)*1000</f>
        <v>3538817.41971554</v>
      </c>
      <c r="T54" s="134">
        <f>(8821.49209256084)*1000</f>
        <v>8821492.0925608408</v>
      </c>
      <c r="U54" s="134">
        <f>(5750.98981402319)*1000</f>
        <v>5750989.8140231902</v>
      </c>
      <c r="V54" s="51"/>
      <c r="W54" s="51"/>
      <c r="X54" s="84"/>
      <c r="Y54" s="84"/>
      <c r="Z54" s="84"/>
      <c r="AA54" s="84"/>
      <c r="AB54" s="84"/>
      <c r="AC54" s="84"/>
      <c r="AD54" s="84"/>
      <c r="AE54" s="84"/>
    </row>
    <row r="55" spans="1:31">
      <c r="A55" s="112" t="s">
        <v>456</v>
      </c>
      <c r="B55" s="95" t="s">
        <v>81</v>
      </c>
      <c r="C55" s="28" t="s">
        <v>630</v>
      </c>
      <c r="D55" s="134">
        <f t="shared" ref="D55:K55" si="35">(0)*1000</f>
        <v>0</v>
      </c>
      <c r="E55" s="134">
        <f t="shared" si="35"/>
        <v>0</v>
      </c>
      <c r="F55" s="134">
        <f t="shared" si="35"/>
        <v>0</v>
      </c>
      <c r="G55" s="134">
        <f t="shared" si="35"/>
        <v>0</v>
      </c>
      <c r="H55" s="134">
        <f t="shared" si="35"/>
        <v>0</v>
      </c>
      <c r="I55" s="134">
        <f t="shared" si="35"/>
        <v>0</v>
      </c>
      <c r="J55" s="134">
        <f t="shared" si="35"/>
        <v>0</v>
      </c>
      <c r="K55" s="134">
        <f t="shared" si="35"/>
        <v>0</v>
      </c>
      <c r="L55" s="51"/>
      <c r="M55" s="51"/>
      <c r="N55" s="134">
        <f t="shared" ref="N55:U55" si="36">(0)*1000</f>
        <v>0</v>
      </c>
      <c r="O55" s="134">
        <f t="shared" si="36"/>
        <v>0</v>
      </c>
      <c r="P55" s="134">
        <f t="shared" si="36"/>
        <v>0</v>
      </c>
      <c r="Q55" s="134">
        <f t="shared" si="36"/>
        <v>0</v>
      </c>
      <c r="R55" s="134">
        <f t="shared" si="36"/>
        <v>0</v>
      </c>
      <c r="S55" s="134">
        <f t="shared" si="36"/>
        <v>0</v>
      </c>
      <c r="T55" s="134">
        <f t="shared" si="36"/>
        <v>0</v>
      </c>
      <c r="U55" s="134">
        <f t="shared" si="36"/>
        <v>0</v>
      </c>
      <c r="V55" s="51"/>
      <c r="W55" s="51"/>
      <c r="X55" s="84"/>
      <c r="Y55" s="84"/>
      <c r="Z55" s="84"/>
      <c r="AA55" s="84"/>
      <c r="AB55" s="84"/>
      <c r="AC55" s="84"/>
      <c r="AD55" s="84"/>
      <c r="AE55" s="84"/>
    </row>
    <row r="56" spans="1:31">
      <c r="A56" s="112" t="s">
        <v>457</v>
      </c>
      <c r="B56" s="95" t="s">
        <v>656</v>
      </c>
      <c r="C56" s="28" t="s">
        <v>630</v>
      </c>
      <c r="D56" s="134">
        <f>SUM(D50:D55)</f>
        <v>38396128.016551375</v>
      </c>
      <c r="E56" s="134">
        <f t="shared" ref="E56" si="37">SUM(E50:E55)</f>
        <v>44234181.698626667</v>
      </c>
      <c r="F56" s="134">
        <f t="shared" ref="F56" si="38">SUM(F50:F55)</f>
        <v>46344035.474570796</v>
      </c>
      <c r="G56" s="134">
        <f t="shared" ref="G56" si="39">SUM(G50:G55)</f>
        <v>52563239.02580452</v>
      </c>
      <c r="H56" s="134">
        <f t="shared" ref="H56" si="40">SUM(H50:H55)</f>
        <v>57917036.614001095</v>
      </c>
      <c r="I56" s="134">
        <f t="shared" ref="I56" si="41">SUM(I50:I55)</f>
        <v>60589903.876750685</v>
      </c>
      <c r="J56" s="134">
        <f t="shared" ref="J56" si="42">SUM(J50:J55)</f>
        <v>68915340.419115633</v>
      </c>
      <c r="K56" s="134">
        <f t="shared" ref="K56" si="43">SUM(K50:K55)</f>
        <v>73215938.577004448</v>
      </c>
      <c r="L56" s="51"/>
      <c r="M56" s="51"/>
      <c r="N56" s="134">
        <f>(38396.1280165514)*1000</f>
        <v>38396128.016551405</v>
      </c>
      <c r="O56" s="134">
        <f>(44234.1816986266)*1000</f>
        <v>44234181.6986266</v>
      </c>
      <c r="P56" s="134">
        <f>(46344.0354745709)*1000</f>
        <v>46344035.4745709</v>
      </c>
      <c r="Q56" s="134">
        <f>(52563.2390258045)*1000</f>
        <v>52563239.025804497</v>
      </c>
      <c r="R56" s="134">
        <f>(57917.0366140011)*1000</f>
        <v>57917036.614001103</v>
      </c>
      <c r="S56" s="134">
        <f>(60589.9038767506)*1000</f>
        <v>60589903.876750596</v>
      </c>
      <c r="T56" s="134">
        <f>(68915.3404191157)*1000</f>
        <v>68915340.419115707</v>
      </c>
      <c r="U56" s="134">
        <f>(73215.9385770044)*1000</f>
        <v>73215938.577004403</v>
      </c>
      <c r="V56" s="51"/>
      <c r="W56" s="51"/>
      <c r="X56" s="84"/>
      <c r="Y56" s="84"/>
      <c r="Z56" s="84"/>
      <c r="AA56" s="84"/>
      <c r="AB56" s="84"/>
      <c r="AC56" s="84"/>
      <c r="AD56" s="84"/>
      <c r="AE56" s="84"/>
    </row>
    <row r="57" spans="1:31">
      <c r="A57" s="57"/>
      <c r="B57" s="116" t="s">
        <v>83</v>
      </c>
      <c r="C57" s="82"/>
      <c r="D57" s="475"/>
      <c r="E57" s="475"/>
      <c r="F57" s="475"/>
      <c r="G57" s="475"/>
      <c r="H57" s="475"/>
      <c r="I57" s="475"/>
      <c r="J57" s="475"/>
      <c r="K57" s="475"/>
      <c r="L57" s="51"/>
      <c r="M57" s="51"/>
      <c r="N57" s="475"/>
      <c r="O57" s="475"/>
      <c r="P57" s="475"/>
      <c r="Q57" s="475"/>
      <c r="R57" s="475"/>
      <c r="S57" s="475"/>
      <c r="T57" s="475"/>
      <c r="U57" s="475"/>
      <c r="V57" s="51"/>
      <c r="W57" s="51"/>
      <c r="X57" s="117"/>
      <c r="Y57" s="117"/>
      <c r="Z57" s="117"/>
      <c r="AA57" s="117"/>
      <c r="AB57" s="117"/>
      <c r="AC57" s="117"/>
      <c r="AD57" s="117"/>
      <c r="AE57" s="117"/>
    </row>
    <row r="58" spans="1:31">
      <c r="A58" s="112" t="s">
        <v>458</v>
      </c>
      <c r="B58" s="95" t="s">
        <v>77</v>
      </c>
      <c r="C58" s="28" t="s">
        <v>630</v>
      </c>
      <c r="D58" s="134">
        <f>(59085.4058087635)*1000</f>
        <v>59085405.808763497</v>
      </c>
      <c r="E58" s="134">
        <f>(67042.9223908689)*1000</f>
        <v>67042922.390868902</v>
      </c>
      <c r="F58" s="134">
        <f>(77254.3916832525)*1000</f>
        <v>77254391.683252499</v>
      </c>
      <c r="G58" s="134">
        <f>(80945.232792418)*1000</f>
        <v>80945232.792418003</v>
      </c>
      <c r="H58" s="134">
        <f>(91821.9346911428)*1000</f>
        <v>91821934.691142797</v>
      </c>
      <c r="I58" s="134">
        <f>(101188.596732659)*1000</f>
        <v>101188596.732659</v>
      </c>
      <c r="J58" s="134">
        <f>(105866.700512394)*1000</f>
        <v>105866700.512394</v>
      </c>
      <c r="K58" s="134">
        <f>(120432.903967016)*1000</f>
        <v>120432903.967016</v>
      </c>
      <c r="L58" s="51"/>
      <c r="M58" s="51"/>
      <c r="N58" s="134">
        <f>(59085.4058087635)*1000</f>
        <v>59085405.808763497</v>
      </c>
      <c r="O58" s="134">
        <f>(67042.9223908689)*1000</f>
        <v>67042922.390868902</v>
      </c>
      <c r="P58" s="134">
        <f>(77254.3916832525)*1000</f>
        <v>77254391.683252499</v>
      </c>
      <c r="Q58" s="134">
        <f>(80945.232792418)*1000</f>
        <v>80945232.792418003</v>
      </c>
      <c r="R58" s="134">
        <f>(91821.9346911428)*1000</f>
        <v>91821934.691142797</v>
      </c>
      <c r="S58" s="134">
        <f>(101188.596732659)*1000</f>
        <v>101188596.732659</v>
      </c>
      <c r="T58" s="134">
        <f>(105866.700512394)*1000</f>
        <v>105866700.512394</v>
      </c>
      <c r="U58" s="134">
        <f>(120432.903967016)*1000</f>
        <v>120432903.967016</v>
      </c>
      <c r="V58" s="51"/>
      <c r="W58" s="51"/>
      <c r="X58" s="84"/>
      <c r="Y58" s="84"/>
      <c r="Z58" s="84"/>
      <c r="AA58" s="84"/>
      <c r="AB58" s="84"/>
      <c r="AC58" s="84"/>
      <c r="AD58" s="84"/>
      <c r="AE58" s="84"/>
    </row>
    <row r="59" spans="1:31">
      <c r="A59" s="112" t="s">
        <v>459</v>
      </c>
      <c r="B59" s="95" t="s">
        <v>78</v>
      </c>
      <c r="C59" s="28" t="s">
        <v>630</v>
      </c>
      <c r="D59" s="134">
        <f>(1699.76758128725)*1000</f>
        <v>1699767.5812872502</v>
      </c>
      <c r="E59" s="134">
        <f>(2515.24457855123)*1000</f>
        <v>2515244.57855123</v>
      </c>
      <c r="F59" s="134">
        <f>(1373.68579149116)*1000</f>
        <v>1373685.7914911599</v>
      </c>
      <c r="G59" s="134">
        <f>(3843.79780164076)*1000</f>
        <v>3843797.8016407602</v>
      </c>
      <c r="H59" s="134">
        <f>(1105.14833434726)*1000</f>
        <v>1105148.33434726</v>
      </c>
      <c r="I59" s="134">
        <f>(2820.79718056644)*1000</f>
        <v>2820797.1805664403</v>
      </c>
      <c r="J59" s="134">
        <f>(3726.41011613159)*1000</f>
        <v>3726410.1161315897</v>
      </c>
      <c r="K59" s="134">
        <f>(2413.47539549897)*1000</f>
        <v>2413475.3954989701</v>
      </c>
      <c r="L59" s="51"/>
      <c r="M59" s="51"/>
      <c r="N59" s="134">
        <f>(1699.76758128725)*1000</f>
        <v>1699767.5812872502</v>
      </c>
      <c r="O59" s="134">
        <f>(2515.24457855123)*1000</f>
        <v>2515244.57855123</v>
      </c>
      <c r="P59" s="134">
        <f>(1373.68579149116)*1000</f>
        <v>1373685.7914911599</v>
      </c>
      <c r="Q59" s="134">
        <f>(3843.79780164076)*1000</f>
        <v>3843797.8016407602</v>
      </c>
      <c r="R59" s="134">
        <f>(1105.14833434726)*1000</f>
        <v>1105148.33434726</v>
      </c>
      <c r="S59" s="134">
        <f>(2820.79718056644)*1000</f>
        <v>2820797.1805664403</v>
      </c>
      <c r="T59" s="134">
        <f>(3726.41011613159)*1000</f>
        <v>3726410.1161315897</v>
      </c>
      <c r="U59" s="134">
        <f>(2413.47539549897)*1000</f>
        <v>2413475.3954989701</v>
      </c>
      <c r="V59" s="51"/>
      <c r="W59" s="51"/>
      <c r="X59" s="84"/>
      <c r="Y59" s="84"/>
      <c r="Z59" s="84"/>
      <c r="AA59" s="84"/>
      <c r="AB59" s="84"/>
      <c r="AC59" s="84"/>
      <c r="AD59" s="84"/>
      <c r="AE59" s="84"/>
    </row>
    <row r="60" spans="1:31">
      <c r="A60" s="112" t="s">
        <v>460</v>
      </c>
      <c r="B60" s="95" t="s">
        <v>79</v>
      </c>
      <c r="C60" s="28" t="s">
        <v>630</v>
      </c>
      <c r="D60" s="134">
        <f>(-1226.44037080652)*1000</f>
        <v>-1226440.3708065199</v>
      </c>
      <c r="E60" s="134">
        <f>(-1344.33058460102)*1000</f>
        <v>-1344330.58460102</v>
      </c>
      <c r="F60" s="134">
        <f>(-1446.63540773368)*1000</f>
        <v>-1446635.40773368</v>
      </c>
      <c r="G60" s="134">
        <f>(-1595.17784894603)*1000</f>
        <v>-1595177.84894603</v>
      </c>
      <c r="H60" s="134">
        <f>(-1700.60772675006)*1000</f>
        <v>-1700607.72675006</v>
      </c>
      <c r="I60" s="134">
        <f>(-4333.72474638441)*1000</f>
        <v>-4333724.7463844093</v>
      </c>
      <c r="J60" s="134">
        <f>(-4593.08368854337)*1000</f>
        <v>-4593083.68854337</v>
      </c>
      <c r="K60" s="134">
        <f>(-4947.49828370603)*1000</f>
        <v>-4947498.2837060299</v>
      </c>
      <c r="L60" s="51"/>
      <c r="M60" s="51"/>
      <c r="N60" s="134">
        <f>(-1226.44037080652)*1000</f>
        <v>-1226440.3708065199</v>
      </c>
      <c r="O60" s="134">
        <f>(-1344.33058460102)*1000</f>
        <v>-1344330.58460102</v>
      </c>
      <c r="P60" s="134">
        <f>(-1446.63540773368)*1000</f>
        <v>-1446635.40773368</v>
      </c>
      <c r="Q60" s="134">
        <f>(-1595.17784894603)*1000</f>
        <v>-1595177.84894603</v>
      </c>
      <c r="R60" s="134">
        <f>(-1700.60772675006)*1000</f>
        <v>-1700607.72675006</v>
      </c>
      <c r="S60" s="134">
        <f>(-4333.72474638441)*1000</f>
        <v>-4333724.7463844093</v>
      </c>
      <c r="T60" s="134">
        <f>(-4593.08368854337)*1000</f>
        <v>-4593083.68854337</v>
      </c>
      <c r="U60" s="134">
        <f>(-4947.49828370603)*1000</f>
        <v>-4947498.2837060299</v>
      </c>
      <c r="V60" s="51"/>
      <c r="W60" s="51"/>
      <c r="X60" s="84"/>
      <c r="Y60" s="84"/>
      <c r="Z60" s="84"/>
      <c r="AA60" s="84"/>
      <c r="AB60" s="84"/>
      <c r="AC60" s="84"/>
      <c r="AD60" s="84"/>
      <c r="AE60" s="84"/>
    </row>
    <row r="61" spans="1:31">
      <c r="A61" s="112" t="s">
        <v>645</v>
      </c>
      <c r="B61" s="95"/>
      <c r="C61" s="28" t="s">
        <v>630</v>
      </c>
      <c r="D61" s="134"/>
      <c r="E61" s="134"/>
      <c r="F61" s="134"/>
      <c r="G61" s="134"/>
      <c r="H61" s="134"/>
      <c r="I61" s="134"/>
      <c r="J61" s="134"/>
      <c r="K61" s="134"/>
      <c r="L61" s="51"/>
      <c r="M61" s="51"/>
      <c r="N61" s="134"/>
      <c r="O61" s="134"/>
      <c r="P61" s="134"/>
      <c r="Q61" s="134"/>
      <c r="R61" s="134"/>
      <c r="S61" s="134"/>
      <c r="T61" s="134"/>
      <c r="U61" s="134"/>
      <c r="V61" s="51"/>
      <c r="W61" s="51"/>
      <c r="X61" s="84"/>
      <c r="Y61" s="84"/>
      <c r="Z61" s="84"/>
      <c r="AA61" s="84"/>
      <c r="AB61" s="84"/>
      <c r="AC61" s="84"/>
      <c r="AD61" s="84"/>
      <c r="AE61" s="84"/>
    </row>
    <row r="62" spans="1:31">
      <c r="A62" s="112" t="s">
        <v>461</v>
      </c>
      <c r="B62" s="95" t="s">
        <v>80</v>
      </c>
      <c r="C62" s="28" t="s">
        <v>630</v>
      </c>
      <c r="D62" s="134">
        <f>(7484.18937162466)*1000</f>
        <v>7484189.3716246607</v>
      </c>
      <c r="E62" s="134">
        <f>(9040.55529843343)*1000</f>
        <v>9040555.2984334305</v>
      </c>
      <c r="F62" s="134">
        <f>(3763.79072540794)*1000</f>
        <v>3763790.7254079399</v>
      </c>
      <c r="G62" s="134">
        <f>(8628.08194603012)*1000</f>
        <v>8628081.9460301213</v>
      </c>
      <c r="H62" s="134">
        <f>(9962.12143391932)*1000</f>
        <v>9962121.4339193199</v>
      </c>
      <c r="I62" s="134">
        <f>(6191.03134555302)*1000</f>
        <v>6191031.34555302</v>
      </c>
      <c r="J62" s="134">
        <f>(15432.877027033)*1000</f>
        <v>15432877.027033001</v>
      </c>
      <c r="K62" s="134">
        <f>(10061.1458529092)*1000</f>
        <v>10061145.8529092</v>
      </c>
      <c r="L62" s="51"/>
      <c r="M62" s="51"/>
      <c r="N62" s="134">
        <f>(7484.18937162466)*1000</f>
        <v>7484189.3716246607</v>
      </c>
      <c r="O62" s="134">
        <f>(9040.55529843343)*1000</f>
        <v>9040555.2984334305</v>
      </c>
      <c r="P62" s="134">
        <f>(3763.79072540794)*1000</f>
        <v>3763790.7254079399</v>
      </c>
      <c r="Q62" s="134">
        <f>(8628.08194603012)*1000</f>
        <v>8628081.9460301213</v>
      </c>
      <c r="R62" s="134">
        <f>(9962.12143391932)*1000</f>
        <v>9962121.4339193199</v>
      </c>
      <c r="S62" s="134">
        <f>(6191.03134555302)*1000</f>
        <v>6191031.34555302</v>
      </c>
      <c r="T62" s="134">
        <f>(15432.877027033)*1000</f>
        <v>15432877.027033001</v>
      </c>
      <c r="U62" s="134">
        <f>(10061.1458529092)*1000</f>
        <v>10061145.8529092</v>
      </c>
      <c r="V62" s="51"/>
      <c r="W62" s="51"/>
      <c r="X62" s="84"/>
      <c r="Y62" s="84"/>
      <c r="Z62" s="84"/>
      <c r="AA62" s="84"/>
      <c r="AB62" s="84"/>
      <c r="AC62" s="84"/>
      <c r="AD62" s="84"/>
      <c r="AE62" s="84"/>
    </row>
    <row r="63" spans="1:31">
      <c r="A63" s="112" t="s">
        <v>462</v>
      </c>
      <c r="B63" s="95" t="s">
        <v>81</v>
      </c>
      <c r="C63" s="28" t="s">
        <v>630</v>
      </c>
      <c r="D63" s="134">
        <f t="shared" ref="D63:K63" si="44">(0)*1000</f>
        <v>0</v>
      </c>
      <c r="E63" s="134">
        <f t="shared" si="44"/>
        <v>0</v>
      </c>
      <c r="F63" s="134">
        <f t="shared" si="44"/>
        <v>0</v>
      </c>
      <c r="G63" s="134">
        <f t="shared" si="44"/>
        <v>0</v>
      </c>
      <c r="H63" s="134">
        <f t="shared" si="44"/>
        <v>0</v>
      </c>
      <c r="I63" s="134">
        <f t="shared" si="44"/>
        <v>0</v>
      </c>
      <c r="J63" s="134">
        <f t="shared" si="44"/>
        <v>0</v>
      </c>
      <c r="K63" s="134">
        <f t="shared" si="44"/>
        <v>0</v>
      </c>
      <c r="L63" s="51"/>
      <c r="M63" s="51"/>
      <c r="N63" s="134">
        <f t="shared" ref="N63:U63" si="45">(0)*1000</f>
        <v>0</v>
      </c>
      <c r="O63" s="134">
        <f t="shared" si="45"/>
        <v>0</v>
      </c>
      <c r="P63" s="134">
        <f t="shared" si="45"/>
        <v>0</v>
      </c>
      <c r="Q63" s="134">
        <f t="shared" si="45"/>
        <v>0</v>
      </c>
      <c r="R63" s="134">
        <f t="shared" si="45"/>
        <v>0</v>
      </c>
      <c r="S63" s="134">
        <f t="shared" si="45"/>
        <v>0</v>
      </c>
      <c r="T63" s="134">
        <f t="shared" si="45"/>
        <v>0</v>
      </c>
      <c r="U63" s="134">
        <f t="shared" si="45"/>
        <v>0</v>
      </c>
      <c r="V63" s="51"/>
      <c r="W63" s="51"/>
      <c r="X63" s="84"/>
      <c r="Y63" s="84"/>
      <c r="Z63" s="84"/>
      <c r="AA63" s="84"/>
      <c r="AB63" s="84"/>
      <c r="AC63" s="84"/>
      <c r="AD63" s="84"/>
      <c r="AE63" s="84"/>
    </row>
    <row r="64" spans="1:31">
      <c r="A64" s="112" t="s">
        <v>463</v>
      </c>
      <c r="B64" s="95" t="s">
        <v>656</v>
      </c>
      <c r="C64" s="28" t="s">
        <v>630</v>
      </c>
      <c r="D64" s="134">
        <f>SUM(D58:D63)</f>
        <v>67042922.390868887</v>
      </c>
      <c r="E64" s="134">
        <f t="shared" ref="E64" si="46">SUM(E58:E63)</f>
        <v>77254391.683252543</v>
      </c>
      <c r="F64" s="134">
        <f t="shared" ref="F64" si="47">SUM(F58:F63)</f>
        <v>80945232.792417929</v>
      </c>
      <c r="G64" s="134">
        <f t="shared" ref="G64" si="48">SUM(G58:G63)</f>
        <v>91821934.691142857</v>
      </c>
      <c r="H64" s="134">
        <f t="shared" ref="H64" si="49">SUM(H58:H63)</f>
        <v>101188596.73265933</v>
      </c>
      <c r="I64" s="134">
        <f t="shared" ref="I64" si="50">SUM(I58:I63)</f>
        <v>105866700.51239406</v>
      </c>
      <c r="J64" s="134">
        <f t="shared" ref="J64" si="51">SUM(J58:J63)</f>
        <v>120432903.96701522</v>
      </c>
      <c r="K64" s="134">
        <f t="shared" ref="K64" si="52">SUM(K58:K63)</f>
        <v>127960026.93171814</v>
      </c>
      <c r="L64" s="51"/>
      <c r="M64" s="51"/>
      <c r="N64" s="134">
        <f>(67042.9223908689)*1000</f>
        <v>67042922.390868902</v>
      </c>
      <c r="O64" s="134">
        <f>(77254.3916832525)*1000</f>
        <v>77254391.683252499</v>
      </c>
      <c r="P64" s="134">
        <f>(80945.232792418)*1000</f>
        <v>80945232.792418003</v>
      </c>
      <c r="Q64" s="134">
        <f>(91821.9346911428)*1000</f>
        <v>91821934.691142797</v>
      </c>
      <c r="R64" s="134">
        <f>(101188.596732659)*1000</f>
        <v>101188596.732659</v>
      </c>
      <c r="S64" s="134">
        <f>(105866.700512394)*1000</f>
        <v>105866700.512394</v>
      </c>
      <c r="T64" s="134">
        <f>(120432.903967016)*1000</f>
        <v>120432903.967016</v>
      </c>
      <c r="U64" s="134">
        <f>(127960.026931718)*1000</f>
        <v>127960026.93171801</v>
      </c>
      <c r="V64" s="51"/>
      <c r="W64" s="51"/>
      <c r="X64" s="84"/>
      <c r="Y64" s="84"/>
      <c r="Z64" s="84"/>
      <c r="AA64" s="84"/>
      <c r="AB64" s="84"/>
      <c r="AC64" s="84"/>
      <c r="AD64" s="84"/>
      <c r="AE64" s="84"/>
    </row>
    <row r="65" spans="1:33">
      <c r="A65" s="57"/>
      <c r="B65" s="116" t="s">
        <v>84</v>
      </c>
      <c r="C65" s="82"/>
      <c r="D65" s="475"/>
      <c r="E65" s="475"/>
      <c r="F65" s="475"/>
      <c r="G65" s="475"/>
      <c r="H65" s="475"/>
      <c r="I65" s="475"/>
      <c r="J65" s="475"/>
      <c r="K65" s="475"/>
      <c r="L65" s="51"/>
      <c r="M65" s="51"/>
      <c r="N65" s="475"/>
      <c r="O65" s="475"/>
      <c r="P65" s="475"/>
      <c r="Q65" s="475"/>
      <c r="R65" s="475"/>
      <c r="S65" s="475"/>
      <c r="T65" s="475"/>
      <c r="U65" s="475"/>
      <c r="V65" s="51"/>
      <c r="W65" s="51"/>
      <c r="X65" s="117"/>
      <c r="Y65" s="117"/>
      <c r="Z65" s="117"/>
      <c r="AA65" s="117"/>
      <c r="AB65" s="117"/>
      <c r="AC65" s="117"/>
      <c r="AD65" s="117"/>
      <c r="AE65" s="117"/>
    </row>
    <row r="66" spans="1:33">
      <c r="A66" s="112" t="s">
        <v>646</v>
      </c>
      <c r="B66" s="95" t="s">
        <v>77</v>
      </c>
      <c r="C66" s="28" t="s">
        <v>630</v>
      </c>
      <c r="D66" s="476"/>
      <c r="E66" s="476"/>
      <c r="F66" s="476"/>
      <c r="G66" s="476"/>
      <c r="H66" s="476"/>
      <c r="I66" s="476"/>
      <c r="J66" s="476"/>
      <c r="K66" s="476"/>
      <c r="L66" s="51"/>
      <c r="M66" s="51"/>
      <c r="N66" s="476"/>
      <c r="O66" s="476"/>
      <c r="P66" s="476"/>
      <c r="Q66" s="476"/>
      <c r="R66" s="476"/>
      <c r="S66" s="476"/>
      <c r="T66" s="476"/>
      <c r="U66" s="476"/>
      <c r="V66" s="51"/>
      <c r="W66" s="51"/>
      <c r="X66" s="118"/>
      <c r="Y66" s="118"/>
      <c r="Z66" s="118"/>
      <c r="AA66" s="118"/>
      <c r="AB66" s="118"/>
      <c r="AC66" s="118"/>
      <c r="AD66" s="118"/>
      <c r="AE66" s="118"/>
    </row>
    <row r="67" spans="1:33">
      <c r="A67" s="112" t="s">
        <v>647</v>
      </c>
      <c r="B67" s="95" t="s">
        <v>78</v>
      </c>
      <c r="C67" s="28" t="s">
        <v>630</v>
      </c>
      <c r="D67" s="476"/>
      <c r="E67" s="476"/>
      <c r="F67" s="476"/>
      <c r="G67" s="476"/>
      <c r="H67" s="476"/>
      <c r="I67" s="476"/>
      <c r="J67" s="476"/>
      <c r="K67" s="476"/>
      <c r="L67" s="51"/>
      <c r="M67" s="51"/>
      <c r="N67" s="476"/>
      <c r="O67" s="476"/>
      <c r="P67" s="476"/>
      <c r="Q67" s="476"/>
      <c r="R67" s="476"/>
      <c r="S67" s="476"/>
      <c r="T67" s="476"/>
      <c r="U67" s="476"/>
      <c r="V67" s="51"/>
      <c r="W67" s="51"/>
      <c r="X67" s="118"/>
      <c r="Y67" s="118"/>
      <c r="Z67" s="118"/>
      <c r="AA67" s="118"/>
      <c r="AB67" s="118"/>
      <c r="AC67" s="118"/>
      <c r="AD67" s="118"/>
      <c r="AE67" s="118"/>
    </row>
    <row r="68" spans="1:33">
      <c r="A68" s="112" t="s">
        <v>648</v>
      </c>
      <c r="B68" s="95" t="s">
        <v>80</v>
      </c>
      <c r="C68" s="28" t="s">
        <v>630</v>
      </c>
      <c r="D68" s="476"/>
      <c r="E68" s="476"/>
      <c r="F68" s="476"/>
      <c r="G68" s="476"/>
      <c r="H68" s="476"/>
      <c r="I68" s="476"/>
      <c r="J68" s="476"/>
      <c r="K68" s="476"/>
      <c r="L68" s="51"/>
      <c r="M68" s="51"/>
      <c r="N68" s="476"/>
      <c r="O68" s="476"/>
      <c r="P68" s="476"/>
      <c r="Q68" s="476"/>
      <c r="R68" s="476"/>
      <c r="S68" s="476"/>
      <c r="T68" s="476"/>
      <c r="U68" s="476"/>
      <c r="V68" s="51"/>
      <c r="W68" s="51"/>
      <c r="X68" s="118"/>
      <c r="Y68" s="118"/>
      <c r="Z68" s="118"/>
      <c r="AA68" s="118"/>
      <c r="AB68" s="118"/>
      <c r="AC68" s="118"/>
      <c r="AD68" s="118"/>
      <c r="AE68" s="118"/>
    </row>
    <row r="69" spans="1:33">
      <c r="A69" s="112" t="s">
        <v>649</v>
      </c>
      <c r="B69" s="95" t="s">
        <v>81</v>
      </c>
      <c r="C69" s="28" t="s">
        <v>630</v>
      </c>
      <c r="D69" s="476"/>
      <c r="E69" s="476"/>
      <c r="F69" s="476"/>
      <c r="G69" s="476"/>
      <c r="H69" s="476"/>
      <c r="I69" s="476"/>
      <c r="J69" s="476"/>
      <c r="K69" s="476"/>
      <c r="L69" s="51"/>
      <c r="M69" s="51"/>
      <c r="N69" s="476"/>
      <c r="O69" s="476"/>
      <c r="P69" s="476"/>
      <c r="Q69" s="476"/>
      <c r="R69" s="476"/>
      <c r="S69" s="476"/>
      <c r="T69" s="476"/>
      <c r="U69" s="476"/>
      <c r="V69" s="51"/>
      <c r="W69" s="51"/>
      <c r="X69" s="118"/>
      <c r="Y69" s="118"/>
      <c r="Z69" s="118"/>
      <c r="AA69" s="118"/>
      <c r="AB69" s="118"/>
      <c r="AC69" s="118"/>
      <c r="AD69" s="118"/>
      <c r="AE69" s="118"/>
    </row>
    <row r="70" spans="1:33">
      <c r="A70" s="112" t="s">
        <v>650</v>
      </c>
      <c r="B70" s="95" t="s">
        <v>656</v>
      </c>
      <c r="C70" s="28" t="s">
        <v>630</v>
      </c>
      <c r="D70" s="476"/>
      <c r="E70" s="476"/>
      <c r="F70" s="476"/>
      <c r="G70" s="476"/>
      <c r="H70" s="476"/>
      <c r="I70" s="476"/>
      <c r="J70" s="476"/>
      <c r="K70" s="476"/>
      <c r="L70" s="51"/>
      <c r="M70" s="51"/>
      <c r="N70" s="476"/>
      <c r="O70" s="476"/>
      <c r="P70" s="476"/>
      <c r="Q70" s="476"/>
      <c r="R70" s="476"/>
      <c r="S70" s="476"/>
      <c r="T70" s="476"/>
      <c r="U70" s="476"/>
      <c r="V70" s="51"/>
      <c r="W70" s="51"/>
      <c r="X70" s="118"/>
      <c r="Y70" s="118"/>
      <c r="Z70" s="118"/>
      <c r="AA70" s="118"/>
      <c r="AB70" s="118"/>
      <c r="AC70" s="118"/>
      <c r="AD70" s="118"/>
      <c r="AE70" s="118"/>
    </row>
    <row r="71" spans="1:33">
      <c r="A71" s="57"/>
      <c r="B71" s="119" t="s">
        <v>85</v>
      </c>
      <c r="C71" s="28"/>
      <c r="D71" s="475"/>
      <c r="E71" s="475"/>
      <c r="F71" s="475"/>
      <c r="G71" s="475"/>
      <c r="H71" s="475"/>
      <c r="I71" s="475"/>
      <c r="J71" s="475"/>
      <c r="K71" s="475"/>
      <c r="L71" s="51"/>
      <c r="M71" s="51"/>
      <c r="N71" s="475"/>
      <c r="O71" s="475"/>
      <c r="P71" s="475"/>
      <c r="Q71" s="475"/>
      <c r="R71" s="475"/>
      <c r="S71" s="475"/>
      <c r="T71" s="475"/>
      <c r="U71" s="475"/>
      <c r="V71" s="51"/>
      <c r="W71" s="51"/>
      <c r="X71" s="117"/>
      <c r="Y71" s="117"/>
      <c r="Z71" s="117"/>
      <c r="AA71" s="117"/>
      <c r="AB71" s="117"/>
      <c r="AC71" s="117"/>
      <c r="AD71" s="117"/>
      <c r="AE71" s="117"/>
    </row>
    <row r="72" spans="1:33">
      <c r="A72" s="112" t="s">
        <v>464</v>
      </c>
      <c r="B72" s="95" t="s">
        <v>77</v>
      </c>
      <c r="C72" s="28" t="s">
        <v>630</v>
      </c>
      <c r="D72" s="134">
        <f t="shared" ref="D72:K74" si="53">(0)*1000</f>
        <v>0</v>
      </c>
      <c r="E72" s="134">
        <f t="shared" si="53"/>
        <v>0</v>
      </c>
      <c r="F72" s="134">
        <f t="shared" si="53"/>
        <v>0</v>
      </c>
      <c r="G72" s="134">
        <f t="shared" si="53"/>
        <v>0</v>
      </c>
      <c r="H72" s="134">
        <f t="shared" si="53"/>
        <v>0</v>
      </c>
      <c r="I72" s="134">
        <f t="shared" si="53"/>
        <v>0</v>
      </c>
      <c r="J72" s="134">
        <f t="shared" si="53"/>
        <v>0</v>
      </c>
      <c r="K72" s="134">
        <f t="shared" si="53"/>
        <v>0</v>
      </c>
      <c r="L72" s="51"/>
      <c r="M72" s="51"/>
      <c r="N72" s="134">
        <f>(119096.211113905)*1000</f>
        <v>119096211.113905</v>
      </c>
      <c r="O72" s="134">
        <f>(101197.41685808)*1000</f>
        <v>101197416.85808</v>
      </c>
      <c r="P72" s="134">
        <f>(82851.4467629727)*1000</f>
        <v>82851446.762972698</v>
      </c>
      <c r="Q72" s="134">
        <f>(61598.1828606089)*1000</f>
        <v>61598182.860608898</v>
      </c>
      <c r="R72" s="134">
        <f>(50643.0276321347)*1000</f>
        <v>50643027.632134698</v>
      </c>
      <c r="S72" s="134">
        <f>(46959.6473953906)*1000</f>
        <v>46959647.3953906</v>
      </c>
      <c r="T72" s="134">
        <f>(38610.6219023112)*1000</f>
        <v>38610621.902311198</v>
      </c>
      <c r="U72" s="134">
        <f>(30316.2321628616)*1000</f>
        <v>30316232.162861601</v>
      </c>
      <c r="V72" s="51"/>
      <c r="W72" s="51"/>
      <c r="X72" s="84"/>
      <c r="Y72" s="84"/>
      <c r="Z72" s="84"/>
      <c r="AA72" s="84"/>
      <c r="AB72" s="84"/>
      <c r="AC72" s="84"/>
      <c r="AD72" s="84"/>
      <c r="AE72" s="84"/>
    </row>
    <row r="73" spans="1:33">
      <c r="A73" s="112" t="s">
        <v>465</v>
      </c>
      <c r="B73" s="95" t="s">
        <v>78</v>
      </c>
      <c r="C73" s="28" t="s">
        <v>630</v>
      </c>
      <c r="D73" s="134">
        <f t="shared" si="53"/>
        <v>0</v>
      </c>
      <c r="E73" s="134">
        <f t="shared" si="53"/>
        <v>0</v>
      </c>
      <c r="F73" s="134">
        <f t="shared" si="53"/>
        <v>0</v>
      </c>
      <c r="G73" s="134">
        <f t="shared" si="53"/>
        <v>0</v>
      </c>
      <c r="H73" s="134">
        <f t="shared" si="53"/>
        <v>0</v>
      </c>
      <c r="I73" s="134">
        <f t="shared" si="53"/>
        <v>0</v>
      </c>
      <c r="J73" s="134">
        <f t="shared" si="53"/>
        <v>0</v>
      </c>
      <c r="K73" s="134">
        <f t="shared" si="53"/>
        <v>0</v>
      </c>
      <c r="L73" s="51"/>
      <c r="M73" s="51"/>
      <c r="N73" s="134">
        <f>(3672.66384173835)*1000</f>
        <v>3672663.8417383502</v>
      </c>
      <c r="O73" s="134">
        <f>(4075.09816784866)*1000</f>
        <v>4075098.1678486601</v>
      </c>
      <c r="P73" s="134">
        <f>(1585.40935714004)*1000</f>
        <v>1585409.3571400398</v>
      </c>
      <c r="Q73" s="134">
        <f>(3181.26015471539)*1000</f>
        <v>3181260.1547153899</v>
      </c>
      <c r="R73" s="134">
        <f>(667.354302572783)*1000</f>
        <v>667354.30257278297</v>
      </c>
      <c r="S73" s="134">
        <f>(1309.07676606368)*1000</f>
        <v>1309076.7660636799</v>
      </c>
      <c r="T73" s="134">
        <f>(1359.05824353201)*1000</f>
        <v>1359058.2435320101</v>
      </c>
      <c r="U73" s="134">
        <f>(607.537292543742)*1000</f>
        <v>607537.29254374199</v>
      </c>
      <c r="V73" s="51"/>
      <c r="W73" s="51"/>
      <c r="X73" s="84"/>
      <c r="Y73" s="84"/>
      <c r="Z73" s="84"/>
      <c r="AA73" s="84"/>
      <c r="AB73" s="84"/>
      <c r="AC73" s="84"/>
      <c r="AD73" s="84"/>
      <c r="AE73" s="84"/>
    </row>
    <row r="74" spans="1:33">
      <c r="A74" s="112" t="s">
        <v>466</v>
      </c>
      <c r="B74" s="95" t="s">
        <v>79</v>
      </c>
      <c r="C74" s="28" t="s">
        <v>630</v>
      </c>
      <c r="D74" s="134">
        <f t="shared" si="53"/>
        <v>0</v>
      </c>
      <c r="E74" s="134">
        <f t="shared" si="53"/>
        <v>0</v>
      </c>
      <c r="F74" s="134">
        <f t="shared" si="53"/>
        <v>0</v>
      </c>
      <c r="G74" s="134">
        <f t="shared" si="53"/>
        <v>0</v>
      </c>
      <c r="H74" s="134">
        <f t="shared" si="53"/>
        <v>0</v>
      </c>
      <c r="I74" s="134">
        <f t="shared" si="53"/>
        <v>0</v>
      </c>
      <c r="J74" s="134">
        <f t="shared" si="53"/>
        <v>0</v>
      </c>
      <c r="K74" s="134">
        <f t="shared" si="53"/>
        <v>0</v>
      </c>
      <c r="L74" s="51"/>
      <c r="M74" s="51"/>
      <c r="N74" s="134">
        <f>(-21571.4580975641)*1000</f>
        <v>-21571458.097564101</v>
      </c>
      <c r="O74" s="134">
        <f>(-22421.0682629555)*1000</f>
        <v>-22421068.262955502</v>
      </c>
      <c r="P74" s="134">
        <f>(-22838.6732595038)*1000</f>
        <v>-22838673.2595038</v>
      </c>
      <c r="Q74" s="134">
        <f>(-14136.4153831897)*1000</f>
        <v>-14136415.383189701</v>
      </c>
      <c r="R74" s="134">
        <f>(-4350.73453931687)*1000</f>
        <v>-4350734.5393168703</v>
      </c>
      <c r="S74" s="134">
        <f>(-9653.74483229085)*1000</f>
        <v>-9653744.8322908487</v>
      </c>
      <c r="T74" s="134">
        <f>(-9993.5477375244)*1000</f>
        <v>-9993547.7375244014</v>
      </c>
      <c r="U74" s="134">
        <f>(-10193.8184341844)*1000</f>
        <v>-10193818.4341844</v>
      </c>
      <c r="V74" s="51"/>
      <c r="W74" s="51"/>
      <c r="X74" s="84"/>
      <c r="Y74" s="84"/>
      <c r="Z74" s="84"/>
      <c r="AA74" s="84"/>
      <c r="AB74" s="84"/>
      <c r="AC74" s="84"/>
      <c r="AD74" s="84"/>
      <c r="AE74" s="84"/>
    </row>
    <row r="75" spans="1:33">
      <c r="A75" s="112" t="s">
        <v>651</v>
      </c>
      <c r="B75" s="95"/>
      <c r="C75" s="28" t="s">
        <v>630</v>
      </c>
      <c r="D75" s="134"/>
      <c r="E75" s="134"/>
      <c r="F75" s="134"/>
      <c r="G75" s="134"/>
      <c r="H75" s="134"/>
      <c r="I75" s="134"/>
      <c r="J75" s="134"/>
      <c r="K75" s="134"/>
      <c r="L75" s="51"/>
      <c r="M75" s="51"/>
      <c r="N75" s="134"/>
      <c r="O75" s="134"/>
      <c r="P75" s="134"/>
      <c r="Q75" s="134"/>
      <c r="R75" s="134"/>
      <c r="S75" s="134"/>
      <c r="T75" s="134"/>
      <c r="U75" s="134"/>
      <c r="V75" s="51"/>
      <c r="W75" s="51"/>
      <c r="X75" s="84"/>
      <c r="Y75" s="84"/>
      <c r="Z75" s="84"/>
      <c r="AA75" s="84"/>
      <c r="AB75" s="84"/>
      <c r="AC75" s="84"/>
      <c r="AD75" s="84"/>
      <c r="AE75" s="84"/>
    </row>
    <row r="76" spans="1:33">
      <c r="A76" s="112" t="s">
        <v>467</v>
      </c>
      <c r="B76" s="95" t="s">
        <v>80</v>
      </c>
      <c r="C76" s="28" t="s">
        <v>630</v>
      </c>
      <c r="D76" s="134">
        <f t="shared" ref="D76:K78" si="54">(0)*1000</f>
        <v>0</v>
      </c>
      <c r="E76" s="134">
        <f t="shared" si="54"/>
        <v>0</v>
      </c>
      <c r="F76" s="134">
        <f t="shared" si="54"/>
        <v>0</v>
      </c>
      <c r="G76" s="134">
        <f t="shared" si="54"/>
        <v>0</v>
      </c>
      <c r="H76" s="134">
        <f t="shared" si="54"/>
        <v>0</v>
      </c>
      <c r="I76" s="134">
        <f t="shared" si="54"/>
        <v>0</v>
      </c>
      <c r="J76" s="134">
        <f t="shared" si="54"/>
        <v>0</v>
      </c>
      <c r="K76" s="134">
        <f t="shared" si="54"/>
        <v>0</v>
      </c>
      <c r="L76" s="51"/>
      <c r="M76" s="51"/>
      <c r="N76" s="134">
        <f t="shared" ref="N76:R77" si="55">(0)*1000</f>
        <v>0</v>
      </c>
      <c r="O76" s="134">
        <f t="shared" si="55"/>
        <v>0</v>
      </c>
      <c r="P76" s="134">
        <f t="shared" si="55"/>
        <v>0</v>
      </c>
      <c r="Q76" s="134">
        <f t="shared" si="55"/>
        <v>0</v>
      </c>
      <c r="R76" s="134">
        <f t="shared" si="55"/>
        <v>0</v>
      </c>
      <c r="S76" s="134">
        <f>(-4.35742685215195)*1000</f>
        <v>-4357.4268521519498</v>
      </c>
      <c r="T76" s="134">
        <f>(340.099754542764)*1000</f>
        <v>340099.75454276399</v>
      </c>
      <c r="U76" s="134">
        <f>(0)*1000</f>
        <v>0</v>
      </c>
      <c r="V76" s="51"/>
      <c r="W76" s="51"/>
      <c r="X76" s="84"/>
      <c r="Y76" s="84"/>
      <c r="Z76" s="84"/>
      <c r="AA76" s="84"/>
      <c r="AB76" s="84"/>
      <c r="AC76" s="84"/>
      <c r="AD76" s="84"/>
      <c r="AE76" s="84"/>
    </row>
    <row r="77" spans="1:33">
      <c r="A77" s="112" t="s">
        <v>468</v>
      </c>
      <c r="B77" s="95" t="s">
        <v>81</v>
      </c>
      <c r="C77" s="28" t="s">
        <v>630</v>
      </c>
      <c r="D77" s="134">
        <f t="shared" si="54"/>
        <v>0</v>
      </c>
      <c r="E77" s="134">
        <f t="shared" si="54"/>
        <v>0</v>
      </c>
      <c r="F77" s="134">
        <f t="shared" si="54"/>
        <v>0</v>
      </c>
      <c r="G77" s="134">
        <f t="shared" si="54"/>
        <v>0</v>
      </c>
      <c r="H77" s="134">
        <f t="shared" si="54"/>
        <v>0</v>
      </c>
      <c r="I77" s="134">
        <f t="shared" si="54"/>
        <v>0</v>
      </c>
      <c r="J77" s="134">
        <f t="shared" si="54"/>
        <v>0</v>
      </c>
      <c r="K77" s="134">
        <f t="shared" si="54"/>
        <v>0</v>
      </c>
      <c r="L77" s="51"/>
      <c r="M77" s="51"/>
      <c r="N77" s="134">
        <f t="shared" si="55"/>
        <v>0</v>
      </c>
      <c r="O77" s="134">
        <f t="shared" si="55"/>
        <v>0</v>
      </c>
      <c r="P77" s="134">
        <f t="shared" si="55"/>
        <v>0</v>
      </c>
      <c r="Q77" s="134">
        <f t="shared" si="55"/>
        <v>0</v>
      </c>
      <c r="R77" s="134">
        <f t="shared" si="55"/>
        <v>0</v>
      </c>
      <c r="S77" s="134">
        <f>(0)*1000</f>
        <v>0</v>
      </c>
      <c r="T77" s="134">
        <f>(0)*1000</f>
        <v>0</v>
      </c>
      <c r="U77" s="134">
        <f>(0)*1000</f>
        <v>0</v>
      </c>
      <c r="V77" s="51"/>
      <c r="W77" s="51"/>
      <c r="X77" s="84"/>
      <c r="Y77" s="84"/>
      <c r="Z77" s="84"/>
      <c r="AA77" s="84"/>
      <c r="AB77" s="84"/>
      <c r="AC77" s="84"/>
      <c r="AD77" s="84"/>
      <c r="AE77" s="84"/>
    </row>
    <row r="78" spans="1:33">
      <c r="A78" s="112" t="s">
        <v>469</v>
      </c>
      <c r="B78" s="95" t="s">
        <v>656</v>
      </c>
      <c r="C78" s="28" t="s">
        <v>630</v>
      </c>
      <c r="D78" s="134">
        <f t="shared" si="54"/>
        <v>0</v>
      </c>
      <c r="E78" s="134">
        <f t="shared" si="54"/>
        <v>0</v>
      </c>
      <c r="F78" s="134">
        <f t="shared" si="54"/>
        <v>0</v>
      </c>
      <c r="G78" s="134">
        <f t="shared" si="54"/>
        <v>0</v>
      </c>
      <c r="H78" s="134">
        <f t="shared" si="54"/>
        <v>0</v>
      </c>
      <c r="I78" s="134">
        <f t="shared" si="54"/>
        <v>0</v>
      </c>
      <c r="J78" s="134">
        <f t="shared" si="54"/>
        <v>0</v>
      </c>
      <c r="K78" s="134">
        <f t="shared" si="54"/>
        <v>0</v>
      </c>
      <c r="L78" s="51"/>
      <c r="M78" s="51"/>
      <c r="N78" s="134">
        <f>(101197.41685808)*1000</f>
        <v>101197416.85808</v>
      </c>
      <c r="O78" s="134">
        <f>(82851.4467629727)*1000</f>
        <v>82851446.762972698</v>
      </c>
      <c r="P78" s="134">
        <f>(61598.1828606089)*1000</f>
        <v>61598182.860608898</v>
      </c>
      <c r="Q78" s="134">
        <f>(50643.0276321347)*1000</f>
        <v>50643027.632134698</v>
      </c>
      <c r="R78" s="134">
        <f>(46959.6473953906)*1000</f>
        <v>46959647.3953906</v>
      </c>
      <c r="S78" s="134">
        <f>(38610.6219023112)*1000</f>
        <v>38610621.902311198</v>
      </c>
      <c r="T78" s="134">
        <f>(30316.2321628616)*1000</f>
        <v>30316232.162861601</v>
      </c>
      <c r="U78" s="134">
        <f>(20729.951021221)*1000</f>
        <v>20729951.021221001</v>
      </c>
      <c r="V78" s="51"/>
      <c r="W78" s="51"/>
      <c r="X78" s="84"/>
      <c r="Y78" s="84"/>
      <c r="Z78" s="84"/>
      <c r="AA78" s="84"/>
      <c r="AB78" s="84"/>
      <c r="AC78" s="84"/>
      <c r="AD78" s="84"/>
      <c r="AE78" s="84"/>
    </row>
    <row r="79" spans="1:33">
      <c r="A79" s="57"/>
      <c r="B79" s="116" t="s">
        <v>86</v>
      </c>
      <c r="C79" s="82"/>
      <c r="D79" s="475"/>
      <c r="E79" s="475"/>
      <c r="F79" s="475"/>
      <c r="G79" s="475"/>
      <c r="H79" s="475"/>
      <c r="I79" s="475"/>
      <c r="J79" s="475"/>
      <c r="K79" s="475"/>
      <c r="L79" s="51"/>
      <c r="M79" s="51"/>
      <c r="N79" s="475"/>
      <c r="O79" s="475"/>
      <c r="P79" s="475"/>
      <c r="Q79" s="475"/>
      <c r="R79" s="475"/>
      <c r="S79" s="475"/>
      <c r="T79" s="475"/>
      <c r="U79" s="475"/>
      <c r="V79" s="51"/>
      <c r="W79" s="51"/>
      <c r="X79" s="117"/>
      <c r="Y79" s="117"/>
      <c r="Z79" s="117"/>
      <c r="AA79" s="117"/>
      <c r="AB79" s="117"/>
      <c r="AC79" s="117"/>
      <c r="AD79" s="117"/>
      <c r="AE79" s="117"/>
    </row>
    <row r="80" spans="1:33">
      <c r="A80" s="112" t="s">
        <v>470</v>
      </c>
      <c r="B80" s="95" t="s">
        <v>77</v>
      </c>
      <c r="C80" s="28" t="s">
        <v>630</v>
      </c>
      <c r="D80" s="134">
        <f>(27347.4202777082)*1000</f>
        <v>27347420.277708199</v>
      </c>
      <c r="E80" s="134">
        <f>(26559.9187390877)*1000</f>
        <v>26559918.739087701</v>
      </c>
      <c r="F80" s="134">
        <f>(26187.9315543937)*1000</f>
        <v>26187931.554393701</v>
      </c>
      <c r="G80" s="134">
        <f>(25606.4887709777)*1000</f>
        <v>25606488.770977698</v>
      </c>
      <c r="H80" s="134">
        <f>(28258.1638445392)*1000</f>
        <v>28258163.844539203</v>
      </c>
      <c r="I80" s="134">
        <f>(25697.8953819111)*1000</f>
        <v>25697895.381911103</v>
      </c>
      <c r="J80" s="134">
        <f>(30856.8133079505)*1000</f>
        <v>30856813.3079505</v>
      </c>
      <c r="K80" s="134">
        <f>(36523.0548892858)*1000</f>
        <v>36523054.889285795</v>
      </c>
      <c r="L80" s="51"/>
      <c r="M80" s="51"/>
      <c r="N80" s="134">
        <f>(27347.4202777082)*1000</f>
        <v>27347420.277708199</v>
      </c>
      <c r="O80" s="134">
        <f>(26559.9187390877)*1000</f>
        <v>26559918.739087701</v>
      </c>
      <c r="P80" s="134">
        <f>(26187.9315543937)*1000</f>
        <v>26187931.554393701</v>
      </c>
      <c r="Q80" s="134">
        <f>(25606.4887709777)*1000</f>
        <v>25606488.770977698</v>
      </c>
      <c r="R80" s="134">
        <f>(28258.1638445392)*1000</f>
        <v>28258163.844539203</v>
      </c>
      <c r="S80" s="134">
        <f>(25697.8953819111)*1000</f>
        <v>25697895.381911103</v>
      </c>
      <c r="T80" s="134">
        <f>(30856.8133079505)*1000</f>
        <v>30856813.3079505</v>
      </c>
      <c r="U80" s="134">
        <f>(36523.0548892858)*1000</f>
        <v>36523054.889285795</v>
      </c>
      <c r="V80" s="51"/>
      <c r="W80" s="51"/>
      <c r="X80" s="499">
        <f>(1955.55396543175)*1000</f>
        <v>1955553.9654317498</v>
      </c>
      <c r="Y80" s="499">
        <f>(3892.29502729266)*1000</f>
        <v>3892295.02729266</v>
      </c>
      <c r="Z80" s="499">
        <f>(5756.83712376193)*1000</f>
        <v>5756837.1237619305</v>
      </c>
      <c r="AA80" s="499">
        <f>(7702.33726815424)*1000</f>
        <v>7702337.2681542393</v>
      </c>
      <c r="AB80" s="499">
        <f>(9368.3688429467)*1000</f>
        <v>9368368.8429467008</v>
      </c>
      <c r="AC80" s="499">
        <f>(16405.1265388544)*1000</f>
        <v>16405126.538854402</v>
      </c>
      <c r="AD80" s="499">
        <f>(17309.7840317896)*1000</f>
        <v>17309784.031789601</v>
      </c>
      <c r="AE80" s="499">
        <f>(18472.9987520099)*1000</f>
        <v>18472998.752009898</v>
      </c>
      <c r="AG80" s="57" t="s">
        <v>1023</v>
      </c>
    </row>
    <row r="81" spans="1:33">
      <c r="A81" s="112" t="s">
        <v>471</v>
      </c>
      <c r="B81" s="95" t="s">
        <v>78</v>
      </c>
      <c r="C81" s="28" t="s">
        <v>630</v>
      </c>
      <c r="D81" s="134">
        <f>(775.27535747816)*1000</f>
        <v>775275.35747815995</v>
      </c>
      <c r="E81" s="134">
        <f>(989.404428164272)*1000</f>
        <v>989404.42816427199</v>
      </c>
      <c r="F81" s="134">
        <f>(467.456589371727)*1000</f>
        <v>467456.58937172696</v>
      </c>
      <c r="G81" s="134">
        <f>(1236.1169221054)*1000</f>
        <v>1236116.9221053999</v>
      </c>
      <c r="H81" s="134">
        <f>(352.237414686648)*1000</f>
        <v>352237.414686648</v>
      </c>
      <c r="I81" s="134">
        <f>(716.370749080563)*1000</f>
        <v>716370.74908056296</v>
      </c>
      <c r="J81" s="134">
        <f>(1086.13133974898)*1000</f>
        <v>1086131.33974898</v>
      </c>
      <c r="K81" s="134">
        <f>(731.922019981281)*1000</f>
        <v>731922.01998128102</v>
      </c>
      <c r="L81" s="51"/>
      <c r="M81" s="51"/>
      <c r="N81" s="134">
        <f>(775.27535747816)*1000</f>
        <v>775275.35747815995</v>
      </c>
      <c r="O81" s="134">
        <f>(989.404428164272)*1000</f>
        <v>989404.42816427199</v>
      </c>
      <c r="P81" s="134">
        <f>(467.456589371727)*1000</f>
        <v>467456.58937172696</v>
      </c>
      <c r="Q81" s="134">
        <f>(1236.1169221054)*1000</f>
        <v>1236116.9221053999</v>
      </c>
      <c r="R81" s="134">
        <f>(352.237414686648)*1000</f>
        <v>352237.414686648</v>
      </c>
      <c r="S81" s="134">
        <f>(716.370749080563)*1000</f>
        <v>716370.74908056296</v>
      </c>
      <c r="T81" s="134">
        <f>(1086.13133974898)*1000</f>
        <v>1086131.33974898</v>
      </c>
      <c r="U81" s="134">
        <f>(731.922019981281)*1000</f>
        <v>731922.01998128102</v>
      </c>
      <c r="V81" s="51"/>
      <c r="W81" s="51"/>
      <c r="X81" s="499">
        <f t="shared" ref="X81:AB82" si="56">(0)*1000</f>
        <v>0</v>
      </c>
      <c r="Y81" s="499">
        <f t="shared" si="56"/>
        <v>0</v>
      </c>
      <c r="Z81" s="499">
        <f t="shared" si="56"/>
        <v>0</v>
      </c>
      <c r="AA81" s="499">
        <f t="shared" si="56"/>
        <v>0</v>
      </c>
      <c r="AB81" s="499">
        <f t="shared" si="56"/>
        <v>0</v>
      </c>
      <c r="AC81" s="499">
        <f>(515.746911525695)*1000</f>
        <v>515746.91152569506</v>
      </c>
      <c r="AD81" s="499">
        <f>(609.283962532629)*1000</f>
        <v>609283.96253262891</v>
      </c>
      <c r="AE81" s="499">
        <f>(370.196359151635)*1000</f>
        <v>370196.35915163503</v>
      </c>
      <c r="AG81" s="57" t="s">
        <v>1023</v>
      </c>
    </row>
    <row r="82" spans="1:33">
      <c r="A82" s="112" t="s">
        <v>472</v>
      </c>
      <c r="B82" s="95" t="s">
        <v>79</v>
      </c>
      <c r="C82" s="28" t="s">
        <v>630</v>
      </c>
      <c r="D82" s="134">
        <f>(-3460.79120780851)*1000</f>
        <v>-3460791.2078085099</v>
      </c>
      <c r="E82" s="134">
        <f>(-3684.35712599184)*1000</f>
        <v>-3684357.1259918399</v>
      </c>
      <c r="F82" s="134">
        <f>(-3803.87212794586)*1000</f>
        <v>-3803872.1279458599</v>
      </c>
      <c r="G82" s="134">
        <f>(-3872.284376961)*1000</f>
        <v>-3872284.3769609998</v>
      </c>
      <c r="H82" s="134">
        <f>(-3802.46027318106)*1000</f>
        <v>-3802460.2731810599</v>
      </c>
      <c r="I82" s="134">
        <f>(-5282.85322619833)*1000</f>
        <v>-5282853.2261983296</v>
      </c>
      <c r="J82" s="134">
        <f>(-6811.16818478649)*1000</f>
        <v>-6811168.1847864902</v>
      </c>
      <c r="K82" s="134">
        <f>(-8496.93861468126)*1000</f>
        <v>-8496938.6146812588</v>
      </c>
      <c r="L82" s="51"/>
      <c r="M82" s="51"/>
      <c r="N82" s="134">
        <f>(-3460.79120780851)*1000</f>
        <v>-3460791.2078085099</v>
      </c>
      <c r="O82" s="134">
        <f>(-3684.35712599184)*1000</f>
        <v>-3684357.1259918399</v>
      </c>
      <c r="P82" s="134">
        <f>(-3803.87212794586)*1000</f>
        <v>-3803872.1279458599</v>
      </c>
      <c r="Q82" s="134">
        <f>(-3872.284376961)*1000</f>
        <v>-3872284.3769609998</v>
      </c>
      <c r="R82" s="134">
        <f>(-3802.46027318106)*1000</f>
        <v>-3802460.2731810599</v>
      </c>
      <c r="S82" s="134">
        <f>(-5282.85322619833)*1000</f>
        <v>-5282853.2261983296</v>
      </c>
      <c r="T82" s="134">
        <f>(-6811.16818478649)*1000</f>
        <v>-6811168.1847864902</v>
      </c>
      <c r="U82" s="134">
        <f>(-8496.93861468126)*1000</f>
        <v>-8496938.6146812588</v>
      </c>
      <c r="V82" s="51"/>
      <c r="W82" s="51"/>
      <c r="X82" s="499">
        <f t="shared" si="56"/>
        <v>0</v>
      </c>
      <c r="Y82" s="499">
        <f t="shared" si="56"/>
        <v>0</v>
      </c>
      <c r="Z82" s="499">
        <f t="shared" si="56"/>
        <v>0</v>
      </c>
      <c r="AA82" s="499">
        <f t="shared" si="56"/>
        <v>0</v>
      </c>
      <c r="AB82" s="499">
        <f t="shared" si="56"/>
        <v>0</v>
      </c>
      <c r="AC82" s="499">
        <f>(0)*1000</f>
        <v>0</v>
      </c>
      <c r="AD82" s="499">
        <f>(0)*1000</f>
        <v>0</v>
      </c>
      <c r="AE82" s="499">
        <f>(0)*1000</f>
        <v>0</v>
      </c>
      <c r="AG82" s="57" t="s">
        <v>1023</v>
      </c>
    </row>
    <row r="83" spans="1:33">
      <c r="A83" s="112" t="s">
        <v>652</v>
      </c>
      <c r="B83" s="95"/>
      <c r="C83" s="28" t="s">
        <v>630</v>
      </c>
      <c r="D83" s="134"/>
      <c r="E83" s="134"/>
      <c r="F83" s="134"/>
      <c r="G83" s="134"/>
      <c r="H83" s="134"/>
      <c r="I83" s="134"/>
      <c r="J83" s="134"/>
      <c r="K83" s="134"/>
      <c r="L83" s="51"/>
      <c r="M83" s="51"/>
      <c r="N83" s="134"/>
      <c r="O83" s="134"/>
      <c r="P83" s="134"/>
      <c r="Q83" s="134"/>
      <c r="R83" s="134"/>
      <c r="S83" s="134"/>
      <c r="T83" s="134"/>
      <c r="U83" s="134"/>
      <c r="V83" s="51"/>
      <c r="W83" s="51"/>
      <c r="X83" s="499"/>
      <c r="Y83" s="499"/>
      <c r="Z83" s="499"/>
      <c r="AA83" s="499"/>
      <c r="AB83" s="499"/>
      <c r="AC83" s="499"/>
      <c r="AD83" s="499"/>
      <c r="AE83" s="499"/>
      <c r="AG83" s="57" t="s">
        <v>1023</v>
      </c>
    </row>
    <row r="84" spans="1:33">
      <c r="A84" s="112" t="s">
        <v>473</v>
      </c>
      <c r="B84" s="95" t="s">
        <v>80</v>
      </c>
      <c r="C84" s="28" t="s">
        <v>630</v>
      </c>
      <c r="D84" s="134">
        <f>(1898.01431170986)*1000</f>
        <v>1898014.3117098601</v>
      </c>
      <c r="E84" s="134">
        <f>(2322.96551313359)*1000</f>
        <v>2322965.5131335896</v>
      </c>
      <c r="F84" s="134">
        <f>(2754.97275515817)*1000</f>
        <v>2754972.7551581701</v>
      </c>
      <c r="G84" s="134">
        <f>(5287.84252841709)*1000</f>
        <v>5287842.52841709</v>
      </c>
      <c r="H84" s="134">
        <f>(889.954395866307)*1000</f>
        <v>889954.39586630696</v>
      </c>
      <c r="I84" s="134">
        <f>(9725.40040315714)*1000</f>
        <v>9725400.4031571411</v>
      </c>
      <c r="J84" s="134">
        <f>(11391.2784263728)*1000</f>
        <v>11391278.4263728</v>
      </c>
      <c r="K84" s="134">
        <f>(8559.74108783694)*1000</f>
        <v>8559741.0878369398</v>
      </c>
      <c r="L84" s="51"/>
      <c r="M84" s="51"/>
      <c r="N84" s="134">
        <f>(1898.01431170986)*1000</f>
        <v>1898014.3117098601</v>
      </c>
      <c r="O84" s="134">
        <f>(2322.96551313359)*1000</f>
        <v>2322965.5131335896</v>
      </c>
      <c r="P84" s="134">
        <f>(2754.97275515817)*1000</f>
        <v>2754972.7551581701</v>
      </c>
      <c r="Q84" s="134">
        <f>(5287.84252841709)*1000</f>
        <v>5287842.52841709</v>
      </c>
      <c r="R84" s="134">
        <f>(889.954395866307)*1000</f>
        <v>889954.39586630696</v>
      </c>
      <c r="S84" s="134">
        <f>(9725.40040315714)*1000</f>
        <v>9725400.4031571411</v>
      </c>
      <c r="T84" s="134">
        <f>(11391.2784263728)*1000</f>
        <v>11391278.4263728</v>
      </c>
      <c r="U84" s="134">
        <f>(8559.74108783694)*1000</f>
        <v>8559741.0878369398</v>
      </c>
      <c r="V84" s="51"/>
      <c r="W84" s="51"/>
      <c r="X84" s="499">
        <f>(2076)*1000</f>
        <v>2076000</v>
      </c>
      <c r="Y84" s="499">
        <f>(2103.082)*1000</f>
        <v>2103082</v>
      </c>
      <c r="Z84" s="499">
        <f>(2291)*1000</f>
        <v>2291000</v>
      </c>
      <c r="AA84" s="499">
        <f>(2117.7705)*1000</f>
        <v>2117770.5</v>
      </c>
      <c r="AB84" s="499">
        <f>(2117.7705)*1000</f>
        <v>2117770.5</v>
      </c>
      <c r="AC84" s="499">
        <f>(1399)*1000</f>
        <v>1399000</v>
      </c>
      <c r="AD84" s="499">
        <f>(1800.84609348781)*1000</f>
        <v>1800846.0934878101</v>
      </c>
      <c r="AE84" s="499">
        <f>(-144.448226464853)*1000</f>
        <v>-144448.22646485301</v>
      </c>
      <c r="AG84" s="57" t="s">
        <v>1023</v>
      </c>
    </row>
    <row r="85" spans="1:33">
      <c r="A85" s="112" t="s">
        <v>474</v>
      </c>
      <c r="B85" s="95" t="s">
        <v>81</v>
      </c>
      <c r="C85" s="28" t="s">
        <v>630</v>
      </c>
      <c r="D85" s="134">
        <f t="shared" ref="D85:K85" si="57">(0)*1000</f>
        <v>0</v>
      </c>
      <c r="E85" s="134">
        <f t="shared" si="57"/>
        <v>0</v>
      </c>
      <c r="F85" s="134">
        <f t="shared" si="57"/>
        <v>0</v>
      </c>
      <c r="G85" s="134">
        <f t="shared" si="57"/>
        <v>0</v>
      </c>
      <c r="H85" s="134">
        <f t="shared" si="57"/>
        <v>0</v>
      </c>
      <c r="I85" s="134">
        <f t="shared" si="57"/>
        <v>0</v>
      </c>
      <c r="J85" s="134">
        <f t="shared" si="57"/>
        <v>0</v>
      </c>
      <c r="K85" s="134">
        <f t="shared" si="57"/>
        <v>0</v>
      </c>
      <c r="L85" s="51"/>
      <c r="M85" s="51"/>
      <c r="N85" s="134">
        <f t="shared" ref="N85:U85" si="58">(0)*1000</f>
        <v>0</v>
      </c>
      <c r="O85" s="134">
        <f t="shared" si="58"/>
        <v>0</v>
      </c>
      <c r="P85" s="134">
        <f t="shared" si="58"/>
        <v>0</v>
      </c>
      <c r="Q85" s="134">
        <f t="shared" si="58"/>
        <v>0</v>
      </c>
      <c r="R85" s="134">
        <f t="shared" si="58"/>
        <v>0</v>
      </c>
      <c r="S85" s="134">
        <f t="shared" si="58"/>
        <v>0</v>
      </c>
      <c r="T85" s="134">
        <f t="shared" si="58"/>
        <v>0</v>
      </c>
      <c r="U85" s="134">
        <f t="shared" si="58"/>
        <v>0</v>
      </c>
      <c r="V85" s="51"/>
      <c r="W85" s="51"/>
      <c r="X85" s="499">
        <f t="shared" ref="X85:AE85" si="59">(0)*1000</f>
        <v>0</v>
      </c>
      <c r="Y85" s="499">
        <f t="shared" si="59"/>
        <v>0</v>
      </c>
      <c r="Z85" s="499">
        <f t="shared" si="59"/>
        <v>0</v>
      </c>
      <c r="AA85" s="499">
        <f t="shared" si="59"/>
        <v>0</v>
      </c>
      <c r="AB85" s="499">
        <f t="shared" si="59"/>
        <v>0</v>
      </c>
      <c r="AC85" s="499">
        <f t="shared" si="59"/>
        <v>0</v>
      </c>
      <c r="AD85" s="499">
        <f t="shared" si="59"/>
        <v>0</v>
      </c>
      <c r="AE85" s="499">
        <f t="shared" si="59"/>
        <v>0</v>
      </c>
      <c r="AG85" s="57" t="s">
        <v>1023</v>
      </c>
    </row>
    <row r="86" spans="1:33">
      <c r="A86" s="112" t="s">
        <v>475</v>
      </c>
      <c r="B86" s="95" t="s">
        <v>656</v>
      </c>
      <c r="C86" s="28" t="s">
        <v>630</v>
      </c>
      <c r="D86" s="134">
        <f>SUM(D80:D85)</f>
        <v>26559918.739087708</v>
      </c>
      <c r="E86" s="134">
        <f t="shared" ref="E86" si="60">SUM(E80:E85)</f>
        <v>26187931.554393724</v>
      </c>
      <c r="F86" s="134">
        <f t="shared" ref="F86" si="61">SUM(F80:F85)</f>
        <v>25606488.770977739</v>
      </c>
      <c r="G86" s="134">
        <f t="shared" ref="G86" si="62">SUM(G80:G85)</f>
        <v>28258163.844539188</v>
      </c>
      <c r="H86" s="134">
        <f t="shared" ref="H86" si="63">SUM(H80:H85)</f>
        <v>25697895.381911099</v>
      </c>
      <c r="I86" s="134">
        <f t="shared" ref="I86" si="64">SUM(I80:I85)</f>
        <v>30856813.307950478</v>
      </c>
      <c r="J86" s="134">
        <f t="shared" ref="J86" si="65">SUM(J80:J85)</f>
        <v>36523054.889285788</v>
      </c>
      <c r="K86" s="134">
        <f t="shared" ref="K86" si="66">SUM(K80:K85)</f>
        <v>37317779.38242276</v>
      </c>
      <c r="L86" s="51"/>
      <c r="M86" s="51"/>
      <c r="N86" s="134">
        <f>(26559.9187390877)*1000</f>
        <v>26559918.739087701</v>
      </c>
      <c r="O86" s="134">
        <f>(26187.9315543937)*1000</f>
        <v>26187931.554393701</v>
      </c>
      <c r="P86" s="134">
        <f>(25606.4887709777)*1000</f>
        <v>25606488.770977698</v>
      </c>
      <c r="Q86" s="134">
        <f>(28258.1638445392)*1000</f>
        <v>28258163.844539203</v>
      </c>
      <c r="R86" s="134">
        <f>(25697.8953819111)*1000</f>
        <v>25697895.381911103</v>
      </c>
      <c r="S86" s="134">
        <f>(30856.8133079505)*1000</f>
        <v>30856813.3079505</v>
      </c>
      <c r="T86" s="134">
        <f>(36523.0548892858)*1000</f>
        <v>36523054.889285795</v>
      </c>
      <c r="U86" s="134">
        <f>(37317.7793824227)*1000</f>
        <v>37317779.382422701</v>
      </c>
      <c r="V86" s="51"/>
      <c r="W86" s="51"/>
      <c r="X86" s="499">
        <f>(3892.29502729266)*1000</f>
        <v>3892295.02729266</v>
      </c>
      <c r="Y86" s="499">
        <f>(5756.83712376193)*1000</f>
        <v>5756837.1237619305</v>
      </c>
      <c r="Z86" s="499">
        <f>(7702.33726815424)*1000</f>
        <v>7702337.2681542393</v>
      </c>
      <c r="AA86" s="499">
        <f>(9368.3688429467)*1000</f>
        <v>9368368.8429467008</v>
      </c>
      <c r="AB86" s="499">
        <f>(10934.0139899153)*1000</f>
        <v>10934013.9899153</v>
      </c>
      <c r="AC86" s="499">
        <f>(17309.7840317896)*1000</f>
        <v>17309784.031789601</v>
      </c>
      <c r="AD86" s="499">
        <f>(18472.9987520099)*1000</f>
        <v>18472998.752009898</v>
      </c>
      <c r="AE86" s="499">
        <f>(17315.3949258266)*1000</f>
        <v>17315394.925826602</v>
      </c>
      <c r="AG86" s="57" t="s">
        <v>1023</v>
      </c>
    </row>
    <row r="87" spans="1:33">
      <c r="A87" s="57"/>
      <c r="B87" s="116" t="s">
        <v>87</v>
      </c>
      <c r="C87" s="82"/>
      <c r="D87" s="475"/>
      <c r="E87" s="475"/>
      <c r="F87" s="475"/>
      <c r="G87" s="475"/>
      <c r="H87" s="475"/>
      <c r="I87" s="475"/>
      <c r="J87" s="475"/>
      <c r="K87" s="475"/>
      <c r="L87" s="51"/>
      <c r="M87" s="51"/>
      <c r="N87" s="475"/>
      <c r="O87" s="475"/>
      <c r="P87" s="475"/>
      <c r="Q87" s="475"/>
      <c r="R87" s="475"/>
      <c r="S87" s="475"/>
      <c r="T87" s="475"/>
      <c r="U87" s="475"/>
      <c r="V87" s="51"/>
      <c r="W87" s="51"/>
      <c r="X87" s="117"/>
      <c r="Y87" s="117"/>
      <c r="Z87" s="117"/>
      <c r="AA87" s="117"/>
      <c r="AB87" s="117"/>
      <c r="AC87" s="117"/>
      <c r="AD87" s="117"/>
      <c r="AE87" s="117"/>
    </row>
    <row r="88" spans="1:33">
      <c r="A88" s="112" t="s">
        <v>476</v>
      </c>
      <c r="B88" s="95" t="s">
        <v>77</v>
      </c>
      <c r="C88" s="28" t="s">
        <v>630</v>
      </c>
      <c r="D88" s="134">
        <f>(112185.074311567)*1000</f>
        <v>112185074.31156701</v>
      </c>
      <c r="E88" s="134">
        <f>(87114.2127923234)*1000</f>
        <v>87114212.792323396</v>
      </c>
      <c r="F88" s="134">
        <f>(61924.631533537)*1000</f>
        <v>61924631.533537</v>
      </c>
      <c r="G88" s="134">
        <f>(30733.1601919758)*1000</f>
        <v>30733160.191975798</v>
      </c>
      <c r="H88" s="134">
        <f>(7272.16136269032)*1000</f>
        <v>7272161.3626903202</v>
      </c>
      <c r="I88" s="134">
        <f>(-5597.43040426246)*1000</f>
        <v>-5597430.4042624598</v>
      </c>
      <c r="J88" s="134">
        <f>(47037.7376238331)*1000</f>
        <v>47037737.623833098</v>
      </c>
      <c r="K88" s="134">
        <f>(53927.138245362)*1000</f>
        <v>53927138.245362006</v>
      </c>
      <c r="L88" s="51"/>
      <c r="M88" s="51"/>
      <c r="N88" s="134">
        <f>(112185.074311567)*1000</f>
        <v>112185074.31156701</v>
      </c>
      <c r="O88" s="134">
        <f>(87114.2127923234)*1000</f>
        <v>87114212.792323396</v>
      </c>
      <c r="P88" s="134">
        <f>(61924.631533537)*1000</f>
        <v>61924631.533537</v>
      </c>
      <c r="Q88" s="134">
        <f>(30733.1601919758)*1000</f>
        <v>30733160.191975798</v>
      </c>
      <c r="R88" s="134">
        <f>(7272.16136269032)*1000</f>
        <v>7272161.3626903202</v>
      </c>
      <c r="S88" s="134">
        <f>(-5597.43040426246)*1000</f>
        <v>-5597430.4042624598</v>
      </c>
      <c r="T88" s="134">
        <f>(47037.7376238331)*1000</f>
        <v>47037737.623833098</v>
      </c>
      <c r="U88" s="134">
        <f>(53927.138245362)*1000</f>
        <v>53927138.245362006</v>
      </c>
      <c r="V88" s="51"/>
      <c r="W88" s="51"/>
      <c r="X88" s="84"/>
      <c r="Y88" s="84"/>
      <c r="Z88" s="84"/>
      <c r="AA88" s="84"/>
      <c r="AB88" s="84"/>
      <c r="AC88" s="84"/>
      <c r="AD88" s="84"/>
      <c r="AE88" s="84"/>
    </row>
    <row r="89" spans="1:33">
      <c r="A89" s="112" t="s">
        <v>477</v>
      </c>
      <c r="B89" s="95" t="s">
        <v>78</v>
      </c>
      <c r="C89" s="28" t="s">
        <v>630</v>
      </c>
      <c r="D89" s="134">
        <f>(3385.1597300319)*1000</f>
        <v>3385159.7300319001</v>
      </c>
      <c r="E89" s="134">
        <f>(3407.83249550015)*1000</f>
        <v>3407832.4955001497</v>
      </c>
      <c r="F89" s="134">
        <f>(1136.34700859763)*1000</f>
        <v>1136347.0085976301</v>
      </c>
      <c r="G89" s="134">
        <f>(1471.376972118)*1000</f>
        <v>1471376.9721179998</v>
      </c>
      <c r="H89" s="134">
        <f>(71.2686260994038)*1000</f>
        <v>71268.626099403802</v>
      </c>
      <c r="I89" s="134">
        <f>(93.8637607507225)*1000</f>
        <v>93863.760750722504</v>
      </c>
      <c r="J89" s="134">
        <f>(1971.22858006309)*1000</f>
        <v>1971228.58006309</v>
      </c>
      <c r="K89" s="134">
        <f>(1260.34929583505)*1000</f>
        <v>1260349.2958350501</v>
      </c>
      <c r="L89" s="51"/>
      <c r="M89" s="51"/>
      <c r="N89" s="134">
        <f>(3385.1597300319)*1000</f>
        <v>3385159.7300319001</v>
      </c>
      <c r="O89" s="134">
        <f>(3407.83249550015)*1000</f>
        <v>3407832.4955001497</v>
      </c>
      <c r="P89" s="134">
        <f>(1136.34700859763)*1000</f>
        <v>1136347.0085976301</v>
      </c>
      <c r="Q89" s="134">
        <f>(1471.376972118)*1000</f>
        <v>1471376.9721179998</v>
      </c>
      <c r="R89" s="134">
        <f>(71.2686260994038)*1000</f>
        <v>71268.626099403802</v>
      </c>
      <c r="S89" s="134">
        <f>(93.8637607507225)*1000</f>
        <v>93863.760750722504</v>
      </c>
      <c r="T89" s="134">
        <f>(1971.22858006309)*1000</f>
        <v>1971228.58006309</v>
      </c>
      <c r="U89" s="134">
        <f>(1260.34929583505)*1000</f>
        <v>1260349.2958350501</v>
      </c>
      <c r="V89" s="51"/>
      <c r="W89" s="51"/>
      <c r="X89" s="84"/>
      <c r="Y89" s="84"/>
      <c r="Z89" s="84"/>
      <c r="AA89" s="84"/>
      <c r="AB89" s="84"/>
      <c r="AC89" s="84"/>
      <c r="AD89" s="84"/>
      <c r="AE89" s="84"/>
    </row>
    <row r="90" spans="1:33">
      <c r="A90" s="112" t="s">
        <v>478</v>
      </c>
      <c r="B90" s="95" t="s">
        <v>79</v>
      </c>
      <c r="C90" s="28" t="s">
        <v>630</v>
      </c>
      <c r="D90" s="134">
        <f>(-32745.012255883)*1000</f>
        <v>-32745012.255883001</v>
      </c>
      <c r="E90" s="134">
        <f>(-33119.7853057228)*1000</f>
        <v>-33119785.305722799</v>
      </c>
      <c r="F90" s="134">
        <f>(-34849.5206408727)*1000</f>
        <v>-34849520.640872702</v>
      </c>
      <c r="G90" s="134">
        <f>(-27565.9421869358)*1000</f>
        <v>-27565942.186935801</v>
      </c>
      <c r="H90" s="134">
        <f>(-24498.0203748401)*1000</f>
        <v>-24498020.374840099</v>
      </c>
      <c r="I90" s="134">
        <f>(-692.195308004259)*1000</f>
        <v>-692195.30800425902</v>
      </c>
      <c r="J90" s="134">
        <f>(-11749.4291178462)*1000</f>
        <v>-11749429.1178462</v>
      </c>
      <c r="K90" s="134">
        <f>(-15385.2116546768)*1000</f>
        <v>-15385211.654676799</v>
      </c>
      <c r="L90" s="51"/>
      <c r="M90" s="51"/>
      <c r="N90" s="134">
        <f>(-32745.012255883)*1000</f>
        <v>-32745012.255883001</v>
      </c>
      <c r="O90" s="134">
        <f>(-33119.7853057228)*1000</f>
        <v>-33119785.305722799</v>
      </c>
      <c r="P90" s="134">
        <f>(-34849.5206408727)*1000</f>
        <v>-34849520.640872702</v>
      </c>
      <c r="Q90" s="134">
        <f>(-27565.9421869358)*1000</f>
        <v>-27565942.186935801</v>
      </c>
      <c r="R90" s="134">
        <f>(-24498.0203748401)*1000</f>
        <v>-24498020.374840099</v>
      </c>
      <c r="S90" s="134">
        <f>(-692.195308004259)*1000</f>
        <v>-692195.30800425902</v>
      </c>
      <c r="T90" s="134">
        <f>(-11749.4291178462)*1000</f>
        <v>-11749429.1178462</v>
      </c>
      <c r="U90" s="134">
        <f>(-15385.2116546768)*1000</f>
        <v>-15385211.654676799</v>
      </c>
      <c r="V90" s="51"/>
      <c r="W90" s="51"/>
      <c r="X90" s="84"/>
      <c r="Y90" s="84"/>
      <c r="Z90" s="84"/>
      <c r="AA90" s="84"/>
      <c r="AB90" s="84"/>
      <c r="AC90" s="84"/>
      <c r="AD90" s="84"/>
      <c r="AE90" s="84"/>
    </row>
    <row r="91" spans="1:33">
      <c r="A91" s="112" t="s">
        <v>653</v>
      </c>
      <c r="B91" s="95"/>
      <c r="C91" s="28" t="s">
        <v>630</v>
      </c>
      <c r="D91" s="134"/>
      <c r="E91" s="134"/>
      <c r="F91" s="134"/>
      <c r="G91" s="134"/>
      <c r="H91" s="134"/>
      <c r="I91" s="134"/>
      <c r="J91" s="134"/>
      <c r="K91" s="134"/>
      <c r="L91" s="51"/>
      <c r="M91" s="51"/>
      <c r="N91" s="134"/>
      <c r="O91" s="134"/>
      <c r="P91" s="134"/>
      <c r="Q91" s="134"/>
      <c r="R91" s="134"/>
      <c r="S91" s="134"/>
      <c r="T91" s="134"/>
      <c r="U91" s="134"/>
      <c r="V91" s="51"/>
      <c r="W91" s="51"/>
      <c r="X91" s="84"/>
      <c r="Y91" s="84"/>
      <c r="Z91" s="84"/>
      <c r="AA91" s="84"/>
      <c r="AB91" s="84"/>
      <c r="AC91" s="84"/>
      <c r="AD91" s="84"/>
      <c r="AE91" s="84"/>
    </row>
    <row r="92" spans="1:33">
      <c r="A92" s="112" t="s">
        <v>479</v>
      </c>
      <c r="B92" s="95" t="s">
        <v>80</v>
      </c>
      <c r="C92" s="28" t="s">
        <v>630</v>
      </c>
      <c r="D92" s="134">
        <f>(4288.99100660743)*1000</f>
        <v>4288991.0066074301</v>
      </c>
      <c r="E92" s="134">
        <f>(4522.37155143621)*1000</f>
        <v>4522371.5514362101</v>
      </c>
      <c r="F92" s="134">
        <f>(2521.70229071389)*1000</f>
        <v>2521702.29071389</v>
      </c>
      <c r="G92" s="134">
        <f>(2633.5663855323)*1000</f>
        <v>2633566.3855323</v>
      </c>
      <c r="H92" s="134">
        <f>(11557.1599817879)*1000</f>
        <v>11557159.9817879</v>
      </c>
      <c r="I92" s="134">
        <f>(53233.4995753491)*1000</f>
        <v>53233499.5753491</v>
      </c>
      <c r="J92" s="134">
        <f>(16667.601159312)*1000</f>
        <v>16667601.159311999</v>
      </c>
      <c r="K92" s="134">
        <f>(10767.3048382185)*1000</f>
        <v>10767304.838218501</v>
      </c>
      <c r="L92" s="51"/>
      <c r="M92" s="51"/>
      <c r="N92" s="134">
        <f>(4288.99100660743)*1000</f>
        <v>4288991.0066074301</v>
      </c>
      <c r="O92" s="134">
        <f>(4522.37155143621)*1000</f>
        <v>4522371.5514362101</v>
      </c>
      <c r="P92" s="134">
        <f>(2521.70229071389)*1000</f>
        <v>2521702.29071389</v>
      </c>
      <c r="Q92" s="134">
        <f>(2633.5663855323)*1000</f>
        <v>2633566.3855323</v>
      </c>
      <c r="R92" s="134">
        <f>(11557.1599817879)*1000</f>
        <v>11557159.9817879</v>
      </c>
      <c r="S92" s="134">
        <f>(53233.4995753491)*1000</f>
        <v>53233499.5753491</v>
      </c>
      <c r="T92" s="134">
        <f>(16667.601159312)*1000</f>
        <v>16667601.159311999</v>
      </c>
      <c r="U92" s="134">
        <f>(10767.3048382185)*1000</f>
        <v>10767304.838218501</v>
      </c>
      <c r="V92" s="51"/>
      <c r="W92" s="51"/>
      <c r="X92" s="84"/>
      <c r="Y92" s="84"/>
      <c r="Z92" s="84"/>
      <c r="AA92" s="84"/>
      <c r="AB92" s="84"/>
      <c r="AC92" s="84"/>
      <c r="AD92" s="84"/>
      <c r="AE92" s="84"/>
    </row>
    <row r="93" spans="1:33">
      <c r="A93" s="112" t="s">
        <v>480</v>
      </c>
      <c r="B93" s="95" t="s">
        <v>81</v>
      </c>
      <c r="C93" s="28" t="s">
        <v>630</v>
      </c>
      <c r="D93" s="134">
        <f t="shared" ref="D93:K93" si="67">(0)*1000</f>
        <v>0</v>
      </c>
      <c r="E93" s="134">
        <f t="shared" si="67"/>
        <v>0</v>
      </c>
      <c r="F93" s="134">
        <f t="shared" si="67"/>
        <v>0</v>
      </c>
      <c r="G93" s="134">
        <f t="shared" si="67"/>
        <v>0</v>
      </c>
      <c r="H93" s="134">
        <f t="shared" si="67"/>
        <v>0</v>
      </c>
      <c r="I93" s="134">
        <f t="shared" si="67"/>
        <v>0</v>
      </c>
      <c r="J93" s="134">
        <f t="shared" si="67"/>
        <v>0</v>
      </c>
      <c r="K93" s="134">
        <f t="shared" si="67"/>
        <v>0</v>
      </c>
      <c r="L93" s="51"/>
      <c r="M93" s="51"/>
      <c r="N93" s="134">
        <f t="shared" ref="N93:U93" si="68">(0)*1000</f>
        <v>0</v>
      </c>
      <c r="O93" s="134">
        <f t="shared" si="68"/>
        <v>0</v>
      </c>
      <c r="P93" s="134">
        <f t="shared" si="68"/>
        <v>0</v>
      </c>
      <c r="Q93" s="134">
        <f t="shared" si="68"/>
        <v>0</v>
      </c>
      <c r="R93" s="134">
        <f t="shared" si="68"/>
        <v>0</v>
      </c>
      <c r="S93" s="134">
        <f t="shared" si="68"/>
        <v>0</v>
      </c>
      <c r="T93" s="134">
        <f t="shared" si="68"/>
        <v>0</v>
      </c>
      <c r="U93" s="134">
        <f t="shared" si="68"/>
        <v>0</v>
      </c>
      <c r="V93" s="51"/>
      <c r="W93" s="51"/>
      <c r="X93" s="84"/>
      <c r="Y93" s="84"/>
      <c r="Z93" s="84"/>
      <c r="AA93" s="84"/>
      <c r="AB93" s="84"/>
      <c r="AC93" s="84"/>
      <c r="AD93" s="84"/>
      <c r="AE93" s="84"/>
    </row>
    <row r="94" spans="1:33">
      <c r="A94" s="112" t="s">
        <v>481</v>
      </c>
      <c r="B94" s="95" t="s">
        <v>656</v>
      </c>
      <c r="C94" s="28" t="s">
        <v>630</v>
      </c>
      <c r="D94" s="134">
        <f>SUM(D88:D93)</f>
        <v>87114212.792323336</v>
      </c>
      <c r="E94" s="134">
        <f t="shared" ref="E94" si="69">SUM(E88:E93)</f>
        <v>61924631.533536948</v>
      </c>
      <c r="F94" s="134">
        <f t="shared" ref="F94" si="70">SUM(F88:F93)</f>
        <v>30733160.191975817</v>
      </c>
      <c r="G94" s="134">
        <f t="shared" ref="G94" si="71">SUM(G88:G93)</f>
        <v>7272161.3626902988</v>
      </c>
      <c r="H94" s="134">
        <f t="shared" ref="H94" si="72">SUM(H88:H93)</f>
        <v>-5597430.4042624738</v>
      </c>
      <c r="I94" s="134">
        <f t="shared" ref="I94" si="73">SUM(I88:I93)</f>
        <v>47037737.623833105</v>
      </c>
      <c r="J94" s="134">
        <f t="shared" ref="J94" si="74">SUM(J88:J93)</f>
        <v>53927138.245361984</v>
      </c>
      <c r="K94" s="134">
        <f t="shared" ref="K94" si="75">SUM(K88:K93)</f>
        <v>50569580.724738754</v>
      </c>
      <c r="L94" s="51"/>
      <c r="M94" s="51"/>
      <c r="N94" s="134">
        <f>(87114.2127923234)*1000</f>
        <v>87114212.792323396</v>
      </c>
      <c r="O94" s="134">
        <f>(61924.631533537)*1000</f>
        <v>61924631.533537</v>
      </c>
      <c r="P94" s="134">
        <f>(30733.1601919758)*1000</f>
        <v>30733160.191975798</v>
      </c>
      <c r="Q94" s="134">
        <f>(7272.16136269032)*1000</f>
        <v>7272161.3626903202</v>
      </c>
      <c r="R94" s="134">
        <f>(-5597.43040426246)*1000</f>
        <v>-5597430.4042624598</v>
      </c>
      <c r="S94" s="134">
        <f>(47037.7376238331)*1000</f>
        <v>47037737.623833098</v>
      </c>
      <c r="T94" s="134">
        <f>(53927.138245362)*1000</f>
        <v>53927138.245362006</v>
      </c>
      <c r="U94" s="134">
        <f>(50569.5807247388)*1000</f>
        <v>50569580.724738799</v>
      </c>
      <c r="V94" s="51"/>
      <c r="W94" s="51"/>
      <c r="X94" s="84"/>
      <c r="Y94" s="84"/>
      <c r="Z94" s="84"/>
      <c r="AA94" s="84"/>
      <c r="AB94" s="84"/>
      <c r="AC94" s="84"/>
      <c r="AD94" s="84"/>
      <c r="AE94" s="84"/>
    </row>
    <row r="95" spans="1:33">
      <c r="A95" s="57"/>
      <c r="B95" s="57"/>
      <c r="C95" s="57"/>
      <c r="D95" s="171"/>
      <c r="E95" s="171"/>
      <c r="F95" s="171"/>
      <c r="G95" s="171"/>
      <c r="H95" s="171"/>
      <c r="I95" s="171"/>
      <c r="J95" s="171"/>
      <c r="K95" s="171"/>
      <c r="L95" s="51"/>
      <c r="M95" s="51"/>
      <c r="N95" s="171"/>
      <c r="O95" s="171"/>
      <c r="P95" s="171"/>
      <c r="Q95" s="171"/>
      <c r="R95" s="171"/>
      <c r="S95" s="171"/>
      <c r="T95" s="171"/>
      <c r="U95" s="171"/>
      <c r="V95" s="51"/>
      <c r="W95" s="51"/>
      <c r="X95" s="51"/>
      <c r="Y95" s="51"/>
      <c r="Z95" s="51"/>
      <c r="AA95" s="51"/>
      <c r="AB95" s="51"/>
      <c r="AC95" s="51"/>
      <c r="AD95" s="51"/>
      <c r="AE95" s="51"/>
    </row>
    <row r="96" spans="1:33" ht="15.75">
      <c r="A96" s="112"/>
      <c r="B96" s="79" t="s">
        <v>587</v>
      </c>
      <c r="C96" s="28"/>
      <c r="D96" s="474"/>
      <c r="E96" s="474"/>
      <c r="F96" s="474"/>
      <c r="G96" s="474"/>
      <c r="H96" s="474"/>
      <c r="I96" s="474"/>
      <c r="J96" s="474"/>
      <c r="K96" s="474"/>
      <c r="L96" s="115"/>
      <c r="M96" s="115"/>
      <c r="N96" s="474"/>
      <c r="O96" s="474"/>
      <c r="P96" s="474"/>
      <c r="Q96" s="474"/>
      <c r="R96" s="474"/>
      <c r="S96" s="474"/>
      <c r="T96" s="474"/>
      <c r="U96" s="474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</row>
    <row r="97" spans="1:33">
      <c r="A97" s="112" t="s">
        <v>482</v>
      </c>
      <c r="B97" s="95" t="s">
        <v>1018</v>
      </c>
      <c r="C97" s="28" t="s">
        <v>630</v>
      </c>
      <c r="D97" s="134">
        <f>(437019.19052184)*1000</f>
        <v>437019190.52183998</v>
      </c>
      <c r="E97" s="134">
        <f>(454263.858502694)*1000</f>
        <v>454263858.50269401</v>
      </c>
      <c r="F97" s="134">
        <f>(474730.10623841)*1000</f>
        <v>474730106.23841</v>
      </c>
      <c r="G97" s="134">
        <f>(516282.702262938)*1000</f>
        <v>516282702.26293802</v>
      </c>
      <c r="H97" s="134">
        <f>(538645.183106694)*1000</f>
        <v>538645183.10669398</v>
      </c>
      <c r="I97" s="134">
        <f>(581105.400000791)*1000</f>
        <v>581105400.00079095</v>
      </c>
      <c r="J97" s="134">
        <f>(636550.101353431)*1000</f>
        <v>636550101.35343099</v>
      </c>
      <c r="K97" s="134">
        <f>(691917.887459329)*1000</f>
        <v>691917887.45932901</v>
      </c>
      <c r="L97" s="51"/>
      <c r="M97" s="51"/>
      <c r="N97" s="134">
        <f>(455684.589202866)*1000</f>
        <v>455684589.20286602</v>
      </c>
      <c r="O97" s="134">
        <f>(473665.78914837)*1000</f>
        <v>473665789.14836997</v>
      </c>
      <c r="P97" s="134">
        <f>(495006.164798321)*1000</f>
        <v>495006164.79832101</v>
      </c>
      <c r="Q97" s="134">
        <f>(538333.501584469)*1000</f>
        <v>538333501.58446896</v>
      </c>
      <c r="R97" s="134">
        <f>(561651.099799495)*1000</f>
        <v>561651099.79949498</v>
      </c>
      <c r="S97" s="134">
        <f>(606070.627205779)*1000</f>
        <v>606070627.20577896</v>
      </c>
      <c r="T97" s="134">
        <f>(664034.276892893)*1000</f>
        <v>664034276.89289308</v>
      </c>
      <c r="U97" s="134">
        <f>(721934.476870945)*1000</f>
        <v>721934476.87094498</v>
      </c>
      <c r="V97" s="51"/>
      <c r="W97" s="51"/>
      <c r="X97" s="84"/>
      <c r="Y97" s="84"/>
      <c r="Z97" s="84"/>
      <c r="AA97" s="84"/>
      <c r="AB97" s="84"/>
      <c r="AC97" s="84"/>
      <c r="AD97" s="84"/>
      <c r="AE97" s="84"/>
    </row>
    <row r="98" spans="1:33">
      <c r="A98" s="112" t="s">
        <v>483</v>
      </c>
      <c r="B98" s="95" t="s">
        <v>1019</v>
      </c>
      <c r="C98" s="28" t="s">
        <v>630</v>
      </c>
      <c r="D98" s="134">
        <f>(196169.399142466)*1000</f>
        <v>196169399.14246598</v>
      </c>
      <c r="E98" s="134">
        <f>(203917.75712328)*1000</f>
        <v>203917757.12327999</v>
      </c>
      <c r="F98" s="134">
        <f>(213108.394738419)*1000</f>
        <v>213108394.738419</v>
      </c>
      <c r="G98" s="134">
        <f>(231768.992324446)*1000</f>
        <v>231768992.32444602</v>
      </c>
      <c r="H98" s="134">
        <f>(241815.621722281)*1000</f>
        <v>241815621.72228101</v>
      </c>
      <c r="I98" s="134">
        <f>(260877.416144149)*1000</f>
        <v>260877416.14414901</v>
      </c>
      <c r="J98" s="134">
        <f>(285768.374699586)*1000</f>
        <v>285768374.69958603</v>
      </c>
      <c r="K98" s="134">
        <f>(310624.80345917)*1000</f>
        <v>310624803.45916998</v>
      </c>
      <c r="L98" s="51"/>
      <c r="M98" s="51"/>
      <c r="N98" s="134">
        <f>(204548.913391)*1000</f>
        <v>204548913.391</v>
      </c>
      <c r="O98" s="134">
        <f>(212627.924908754)*1000</f>
        <v>212627924.90875402</v>
      </c>
      <c r="P98" s="134">
        <f>(222210.987429332)*1000</f>
        <v>222210987.42933199</v>
      </c>
      <c r="Q98" s="134">
        <f>(241668.324787897)*1000</f>
        <v>241668324.78789699</v>
      </c>
      <c r="R98" s="134">
        <f>(252143.737934654)*1000</f>
        <v>252143737.934654</v>
      </c>
      <c r="S98" s="134">
        <f>(272085.131589023)*1000</f>
        <v>272085131.58902299</v>
      </c>
      <c r="T98" s="134">
        <f>(298106.929288095)*1000</f>
        <v>298106929.288095</v>
      </c>
      <c r="U98" s="134">
        <f>(324100.242316133)*1000</f>
        <v>324100242.31613302</v>
      </c>
      <c r="V98" s="51"/>
      <c r="W98" s="51"/>
      <c r="X98" s="84"/>
      <c r="Y98" s="84"/>
      <c r="Z98" s="84"/>
      <c r="AA98" s="84"/>
      <c r="AB98" s="84"/>
      <c r="AC98" s="84"/>
      <c r="AD98" s="84"/>
      <c r="AE98" s="84"/>
    </row>
    <row r="99" spans="1:33">
      <c r="A99" s="112" t="s">
        <v>484</v>
      </c>
      <c r="B99" s="95" t="s">
        <v>88</v>
      </c>
      <c r="C99" s="28" t="s">
        <v>630</v>
      </c>
      <c r="D99" s="134">
        <f>(99931.468323778)*1000</f>
        <v>99931468.323778003</v>
      </c>
      <c r="E99" s="134">
        <f>(103874.739075859)*1000</f>
        <v>103874739.07585901</v>
      </c>
      <c r="F99" s="134">
        <f>(108554.675865056)*1000</f>
        <v>108554675.86505599</v>
      </c>
      <c r="G99" s="134">
        <f>(118056.345410591)*1000</f>
        <v>118056345.41059101</v>
      </c>
      <c r="H99" s="134">
        <f>(123169.886405005)*1000</f>
        <v>123169886.40500501</v>
      </c>
      <c r="I99" s="134">
        <f>(132911.07296504)*1000</f>
        <v>132911072.96503998</v>
      </c>
      <c r="J99" s="134">
        <f>(145622.480723576)*1000</f>
        <v>145622480.72357601</v>
      </c>
      <c r="K99" s="134">
        <f>(158319.973983484)*1000</f>
        <v>158319973.983484</v>
      </c>
      <c r="L99" s="51"/>
      <c r="M99" s="51"/>
      <c r="N99" s="134">
        <f>(99931.468323778)*1000</f>
        <v>99931468.323778003</v>
      </c>
      <c r="O99" s="134">
        <f>(103874.739075859)*1000</f>
        <v>103874739.07585901</v>
      </c>
      <c r="P99" s="134">
        <f>(108554.675865056)*1000</f>
        <v>108554675.86505599</v>
      </c>
      <c r="Q99" s="134">
        <f>(118056.345410591)*1000</f>
        <v>118056345.41059101</v>
      </c>
      <c r="R99" s="134">
        <f>(123169.886405005)*1000</f>
        <v>123169886.40500501</v>
      </c>
      <c r="S99" s="134">
        <f>(132911.07296504)*1000</f>
        <v>132911072.96503998</v>
      </c>
      <c r="T99" s="134">
        <f>(145622.480723576)*1000</f>
        <v>145622480.72357601</v>
      </c>
      <c r="U99" s="134">
        <f>(158319.973983484)*1000</f>
        <v>158319973.983484</v>
      </c>
      <c r="V99" s="51"/>
      <c r="W99" s="51"/>
      <c r="X99" s="84"/>
      <c r="Y99" s="84"/>
      <c r="Z99" s="84"/>
      <c r="AA99" s="84"/>
      <c r="AB99" s="84"/>
      <c r="AC99" s="84"/>
      <c r="AD99" s="84"/>
      <c r="AE99" s="84"/>
    </row>
    <row r="100" spans="1:33">
      <c r="A100" s="112" t="s">
        <v>485</v>
      </c>
      <c r="B100" s="95" t="s">
        <v>607</v>
      </c>
      <c r="C100" s="28" t="s">
        <v>630</v>
      </c>
      <c r="D100" s="134">
        <f>(143838.54548343)*1000</f>
        <v>143838545.48343</v>
      </c>
      <c r="E100" s="134">
        <f>(165746.94144657)*1000</f>
        <v>165746941.44657001</v>
      </c>
      <c r="F100" s="134">
        <f>(173665.528492308)*1000</f>
        <v>173665528.49230799</v>
      </c>
      <c r="G100" s="134">
        <f>(197001.160725764)*1000</f>
        <v>197001160.72576401</v>
      </c>
      <c r="H100" s="134">
        <f>(217097.048494972)*1000</f>
        <v>217097048.49497199</v>
      </c>
      <c r="I100" s="134">
        <f>(227133.777493368)*1000</f>
        <v>227133777.493368</v>
      </c>
      <c r="J100" s="134">
        <f>(258385.122801874)*1000</f>
        <v>258385122.80187401</v>
      </c>
      <c r="K100" s="134">
        <f>(274534.335579406)*1000</f>
        <v>274534335.57940602</v>
      </c>
      <c r="L100" s="51"/>
      <c r="M100" s="51"/>
      <c r="N100" s="134">
        <f>(143838.54548343)*1000</f>
        <v>143838545.48343</v>
      </c>
      <c r="O100" s="134">
        <f>(165746.94144657)*1000</f>
        <v>165746941.44657001</v>
      </c>
      <c r="P100" s="134">
        <f>(173665.528492308)*1000</f>
        <v>173665528.49230799</v>
      </c>
      <c r="Q100" s="134">
        <f>(197001.160725764)*1000</f>
        <v>197001160.72576401</v>
      </c>
      <c r="R100" s="134">
        <f>(217097.048494972)*1000</f>
        <v>217097048.49497199</v>
      </c>
      <c r="S100" s="134">
        <f>(227133.777493368)*1000</f>
        <v>227133777.493368</v>
      </c>
      <c r="T100" s="134">
        <f>(258385.122801874)*1000</f>
        <v>258385122.80187401</v>
      </c>
      <c r="U100" s="134">
        <f>(274534.335579406)*1000</f>
        <v>274534335.57940602</v>
      </c>
      <c r="V100" s="51"/>
      <c r="W100" s="51"/>
      <c r="X100" s="84"/>
      <c r="Y100" s="84"/>
      <c r="Z100" s="84"/>
      <c r="AA100" s="84"/>
      <c r="AB100" s="84"/>
      <c r="AC100" s="84"/>
      <c r="AD100" s="84"/>
      <c r="AE100" s="84"/>
    </row>
    <row r="101" spans="1:33">
      <c r="A101" s="112" t="s">
        <v>486</v>
      </c>
      <c r="B101" s="95" t="s">
        <v>608</v>
      </c>
      <c r="C101" s="28" t="s">
        <v>630</v>
      </c>
      <c r="D101" s="134">
        <f>(38396.1280165514)*1000</f>
        <v>38396128.016551405</v>
      </c>
      <c r="E101" s="134">
        <f>(44234.1816986266)*1000</f>
        <v>44234181.6986266</v>
      </c>
      <c r="F101" s="134">
        <f>(46344.0354745709)*1000</f>
        <v>46344035.4745709</v>
      </c>
      <c r="G101" s="134">
        <f>(52563.2390258045)*1000</f>
        <v>52563239.025804497</v>
      </c>
      <c r="H101" s="134">
        <f>(57917.0366140011)*1000</f>
        <v>57917036.614001103</v>
      </c>
      <c r="I101" s="134">
        <f>(60589.9038767506)*1000</f>
        <v>60589903.876750596</v>
      </c>
      <c r="J101" s="134">
        <f>(68915.3404191157)*1000</f>
        <v>68915340.419115707</v>
      </c>
      <c r="K101" s="134">
        <f>(73215.9385770044)*1000</f>
        <v>73215938.577004403</v>
      </c>
      <c r="L101" s="51"/>
      <c r="M101" s="51"/>
      <c r="N101" s="134">
        <f>(38396.1280165514)*1000</f>
        <v>38396128.016551405</v>
      </c>
      <c r="O101" s="134">
        <f>(44234.1816986266)*1000</f>
        <v>44234181.6986266</v>
      </c>
      <c r="P101" s="134">
        <f>(46344.0354745709)*1000</f>
        <v>46344035.4745709</v>
      </c>
      <c r="Q101" s="134">
        <f>(52563.2390258045)*1000</f>
        <v>52563239.025804497</v>
      </c>
      <c r="R101" s="134">
        <f>(57917.0366140011)*1000</f>
        <v>57917036.614001103</v>
      </c>
      <c r="S101" s="134">
        <f>(60589.9038767506)*1000</f>
        <v>60589903.876750596</v>
      </c>
      <c r="T101" s="134">
        <f>(68915.3404191157)*1000</f>
        <v>68915340.419115707</v>
      </c>
      <c r="U101" s="134">
        <f>(73215.9385770044)*1000</f>
        <v>73215938.577004403</v>
      </c>
      <c r="V101" s="51"/>
      <c r="W101" s="51"/>
      <c r="X101" s="84"/>
      <c r="Y101" s="84"/>
      <c r="Z101" s="84"/>
      <c r="AA101" s="84"/>
      <c r="AB101" s="84"/>
      <c r="AC101" s="84"/>
      <c r="AD101" s="84"/>
      <c r="AE101" s="84"/>
    </row>
    <row r="102" spans="1:33">
      <c r="A102" s="112" t="s">
        <v>487</v>
      </c>
      <c r="B102" s="95" t="s">
        <v>89</v>
      </c>
      <c r="C102" s="28" t="s">
        <v>630</v>
      </c>
      <c r="D102" s="134">
        <f>(67042.9223908689)*1000</f>
        <v>67042922.390868902</v>
      </c>
      <c r="E102" s="134">
        <f>(77254.3916832525)*1000</f>
        <v>77254391.683252499</v>
      </c>
      <c r="F102" s="134">
        <f>(80945.232792418)*1000</f>
        <v>80945232.792418003</v>
      </c>
      <c r="G102" s="134">
        <f>(91821.9346911428)*1000</f>
        <v>91821934.691142797</v>
      </c>
      <c r="H102" s="134">
        <f>(101188.596732659)*1000</f>
        <v>101188596.732659</v>
      </c>
      <c r="I102" s="134">
        <f>(105866.700512394)*1000</f>
        <v>105866700.512394</v>
      </c>
      <c r="J102" s="134">
        <f>(120432.903967016)*1000</f>
        <v>120432903.967016</v>
      </c>
      <c r="K102" s="134">
        <f>(127960.026931718)*1000</f>
        <v>127960026.93171801</v>
      </c>
      <c r="L102" s="51"/>
      <c r="M102" s="51"/>
      <c r="N102" s="134">
        <f>(67042.9223908689)*1000</f>
        <v>67042922.390868902</v>
      </c>
      <c r="O102" s="134">
        <f>(77254.3916832525)*1000</f>
        <v>77254391.683252499</v>
      </c>
      <c r="P102" s="134">
        <f>(80945.232792418)*1000</f>
        <v>80945232.792418003</v>
      </c>
      <c r="Q102" s="134">
        <f>(91821.9346911428)*1000</f>
        <v>91821934.691142797</v>
      </c>
      <c r="R102" s="134">
        <f>(101188.596732659)*1000</f>
        <v>101188596.732659</v>
      </c>
      <c r="S102" s="134">
        <f>(105866.700512394)*1000</f>
        <v>105866700.512394</v>
      </c>
      <c r="T102" s="134">
        <f>(120432.903967016)*1000</f>
        <v>120432903.967016</v>
      </c>
      <c r="U102" s="134">
        <f>(127960.026931718)*1000</f>
        <v>127960026.93171801</v>
      </c>
      <c r="V102" s="51"/>
      <c r="W102" s="51"/>
      <c r="X102" s="84"/>
      <c r="Y102" s="84"/>
      <c r="Z102" s="84"/>
      <c r="AA102" s="84"/>
      <c r="AB102" s="84"/>
      <c r="AC102" s="84"/>
      <c r="AD102" s="84"/>
      <c r="AE102" s="84"/>
    </row>
    <row r="103" spans="1:33">
      <c r="A103" s="112" t="s">
        <v>488</v>
      </c>
      <c r="B103" s="95" t="s">
        <v>90</v>
      </c>
      <c r="C103" s="28" t="s">
        <v>630</v>
      </c>
      <c r="D103" s="476"/>
      <c r="E103" s="476"/>
      <c r="F103" s="476"/>
      <c r="G103" s="476"/>
      <c r="H103" s="476"/>
      <c r="I103" s="476"/>
      <c r="J103" s="476"/>
      <c r="K103" s="476"/>
      <c r="L103" s="51"/>
      <c r="M103" s="51"/>
      <c r="N103" s="476"/>
      <c r="O103" s="476"/>
      <c r="P103" s="476"/>
      <c r="Q103" s="476"/>
      <c r="R103" s="476"/>
      <c r="S103" s="476"/>
      <c r="T103" s="476"/>
      <c r="U103" s="476"/>
      <c r="V103" s="51"/>
      <c r="W103" s="51"/>
      <c r="X103" s="118"/>
      <c r="Y103" s="118"/>
      <c r="Z103" s="118"/>
      <c r="AA103" s="118"/>
      <c r="AB103" s="118"/>
      <c r="AC103" s="118"/>
      <c r="AD103" s="118"/>
      <c r="AE103" s="118"/>
    </row>
    <row r="104" spans="1:33">
      <c r="A104" s="112" t="s">
        <v>489</v>
      </c>
      <c r="B104" s="95" t="s">
        <v>91</v>
      </c>
      <c r="C104" s="28" t="s">
        <v>630</v>
      </c>
      <c r="D104" s="134">
        <f t="shared" ref="D104:K104" si="76">(0)*1000</f>
        <v>0</v>
      </c>
      <c r="E104" s="134">
        <f t="shared" si="76"/>
        <v>0</v>
      </c>
      <c r="F104" s="134">
        <f t="shared" si="76"/>
        <v>0</v>
      </c>
      <c r="G104" s="134">
        <f t="shared" si="76"/>
        <v>0</v>
      </c>
      <c r="H104" s="134">
        <f t="shared" si="76"/>
        <v>0</v>
      </c>
      <c r="I104" s="134">
        <f t="shared" si="76"/>
        <v>0</v>
      </c>
      <c r="J104" s="134">
        <f t="shared" si="76"/>
        <v>0</v>
      </c>
      <c r="K104" s="134">
        <f t="shared" si="76"/>
        <v>0</v>
      </c>
      <c r="L104" s="51"/>
      <c r="M104" s="51"/>
      <c r="N104" s="134">
        <f>(101197.41685808)*1000</f>
        <v>101197416.85808</v>
      </c>
      <c r="O104" s="134">
        <f>(82851.4467629727)*1000</f>
        <v>82851446.762972698</v>
      </c>
      <c r="P104" s="134">
        <f>(61598.1828606089)*1000</f>
        <v>61598182.860608898</v>
      </c>
      <c r="Q104" s="134">
        <f>(50643.0276321347)*1000</f>
        <v>50643027.632134698</v>
      </c>
      <c r="R104" s="134">
        <f>(46959.6473953906)*1000</f>
        <v>46959647.3953906</v>
      </c>
      <c r="S104" s="134">
        <f>(38610.6219023112)*1000</f>
        <v>38610621.902311198</v>
      </c>
      <c r="T104" s="134">
        <f>(30316.2321628616)*1000</f>
        <v>30316232.162861601</v>
      </c>
      <c r="U104" s="134">
        <f>(20729.951021221)*1000</f>
        <v>20729951.021221001</v>
      </c>
      <c r="V104" s="51"/>
      <c r="W104" s="51"/>
      <c r="X104" s="84"/>
      <c r="Y104" s="84"/>
      <c r="Z104" s="84"/>
      <c r="AA104" s="84"/>
      <c r="AB104" s="84"/>
      <c r="AC104" s="84"/>
      <c r="AD104" s="84"/>
      <c r="AE104" s="84"/>
    </row>
    <row r="105" spans="1:33">
      <c r="A105" s="112" t="s">
        <v>490</v>
      </c>
      <c r="B105" s="95" t="s">
        <v>92</v>
      </c>
      <c r="C105" s="28" t="s">
        <v>630</v>
      </c>
      <c r="D105" s="134">
        <f>(26559.9187390877)*1000</f>
        <v>26559918.739087701</v>
      </c>
      <c r="E105" s="134">
        <f>(26187.9315543937)*1000</f>
        <v>26187931.554393701</v>
      </c>
      <c r="F105" s="134">
        <f>(25606.4887709777)*1000</f>
        <v>25606488.770977698</v>
      </c>
      <c r="G105" s="134">
        <f>(28258.1638445392)*1000</f>
        <v>28258163.844539203</v>
      </c>
      <c r="H105" s="134">
        <f>(25697.8953819111)*1000</f>
        <v>25697895.381911103</v>
      </c>
      <c r="I105" s="134">
        <f>(30856.8133079505)*1000</f>
        <v>30856813.3079505</v>
      </c>
      <c r="J105" s="134">
        <f>(36523.0548892858)*1000</f>
        <v>36523054.889285795</v>
      </c>
      <c r="K105" s="134">
        <f>(37317.7793824227)*1000</f>
        <v>37317779.382422701</v>
      </c>
      <c r="L105" s="51"/>
      <c r="M105" s="51"/>
      <c r="N105" s="134">
        <f>(26559.9187390877)*1000</f>
        <v>26559918.739087701</v>
      </c>
      <c r="O105" s="134">
        <f>(26187.9315543937)*1000</f>
        <v>26187931.554393701</v>
      </c>
      <c r="P105" s="134">
        <f>(25606.4887709777)*1000</f>
        <v>25606488.770977698</v>
      </c>
      <c r="Q105" s="134">
        <f>(28258.1638445392)*1000</f>
        <v>28258163.844539203</v>
      </c>
      <c r="R105" s="134">
        <f>(25697.8953819111)*1000</f>
        <v>25697895.381911103</v>
      </c>
      <c r="S105" s="134">
        <f>(30856.8133079505)*1000</f>
        <v>30856813.3079505</v>
      </c>
      <c r="T105" s="134">
        <f>(36523.0548892858)*1000</f>
        <v>36523054.889285795</v>
      </c>
      <c r="U105" s="134">
        <f>(37317.7793824227)*1000</f>
        <v>37317779.382422701</v>
      </c>
      <c r="V105" s="51"/>
      <c r="W105" s="51"/>
      <c r="X105" s="84"/>
      <c r="Y105" s="84"/>
      <c r="Z105" s="84"/>
      <c r="AA105" s="84"/>
      <c r="AB105" s="84"/>
      <c r="AC105" s="84"/>
      <c r="AD105" s="84"/>
      <c r="AE105" s="84"/>
    </row>
    <row r="106" spans="1:33">
      <c r="A106" s="112" t="s">
        <v>491</v>
      </c>
      <c r="B106" s="95" t="s">
        <v>93</v>
      </c>
      <c r="C106" s="28" t="s">
        <v>630</v>
      </c>
      <c r="D106" s="134">
        <f>(87114.2127923234)*1000</f>
        <v>87114212.792323396</v>
      </c>
      <c r="E106" s="134">
        <f>(61924.631533537)*1000</f>
        <v>61924631.533537</v>
      </c>
      <c r="F106" s="134">
        <f>(30733.1601919758)*1000</f>
        <v>30733160.191975798</v>
      </c>
      <c r="G106" s="134">
        <f>(7272.16136269032)*1000</f>
        <v>7272161.3626903202</v>
      </c>
      <c r="H106" s="134">
        <f>(-5597.43040426246)*1000</f>
        <v>-5597430.4042624598</v>
      </c>
      <c r="I106" s="134">
        <f>(47037.7376238331)*1000</f>
        <v>47037737.623833098</v>
      </c>
      <c r="J106" s="134">
        <f>(53927.138245362)*1000</f>
        <v>53927138.245362006</v>
      </c>
      <c r="K106" s="134">
        <f>(50569.5807247388)*1000</f>
        <v>50569580.724738799</v>
      </c>
      <c r="L106" s="51"/>
      <c r="M106" s="51"/>
      <c r="N106" s="134">
        <f>(87114.2127923234)*1000</f>
        <v>87114212.792323396</v>
      </c>
      <c r="O106" s="134">
        <f>(61924.631533537)*1000</f>
        <v>61924631.533537</v>
      </c>
      <c r="P106" s="134">
        <f>(30733.1601919758)*1000</f>
        <v>30733160.191975798</v>
      </c>
      <c r="Q106" s="134">
        <f>(7272.16136269032)*1000</f>
        <v>7272161.3626903202</v>
      </c>
      <c r="R106" s="134">
        <f>(-5597.43040426246)*1000</f>
        <v>-5597430.4042624598</v>
      </c>
      <c r="S106" s="134">
        <f>(47037.7376238331)*1000</f>
        <v>47037737.623833098</v>
      </c>
      <c r="T106" s="134">
        <f>(53927.138245362)*1000</f>
        <v>53927138.245362006</v>
      </c>
      <c r="U106" s="134">
        <f>(50569.5807247388)*1000</f>
        <v>50569580.724738799</v>
      </c>
      <c r="V106" s="51"/>
      <c r="W106" s="51"/>
      <c r="X106" s="84"/>
      <c r="Y106" s="84"/>
      <c r="Z106" s="84"/>
      <c r="AA106" s="84"/>
      <c r="AB106" s="84"/>
      <c r="AC106" s="84"/>
      <c r="AD106" s="84"/>
      <c r="AE106" s="84"/>
    </row>
    <row r="107" spans="1:33">
      <c r="A107" s="112" t="s">
        <v>492</v>
      </c>
      <c r="B107" s="120"/>
      <c r="C107" s="120"/>
      <c r="D107" s="475"/>
      <c r="E107" s="475"/>
      <c r="F107" s="475"/>
      <c r="G107" s="475"/>
      <c r="H107" s="475"/>
      <c r="I107" s="475"/>
      <c r="J107" s="475"/>
      <c r="K107" s="475"/>
      <c r="L107" s="51"/>
      <c r="M107" s="51"/>
      <c r="N107" s="475"/>
      <c r="O107" s="475"/>
      <c r="P107" s="475"/>
      <c r="Q107" s="475"/>
      <c r="R107" s="475"/>
      <c r="S107" s="475"/>
      <c r="T107" s="475"/>
      <c r="U107" s="475"/>
      <c r="V107" s="51"/>
      <c r="W107" s="51"/>
      <c r="X107" s="117"/>
      <c r="Y107" s="117"/>
      <c r="Z107" s="117"/>
      <c r="AA107" s="117"/>
      <c r="AB107" s="117"/>
      <c r="AC107" s="117"/>
      <c r="AD107" s="117"/>
      <c r="AE107" s="117"/>
    </row>
    <row r="108" spans="1:33">
      <c r="A108" s="112" t="s">
        <v>654</v>
      </c>
      <c r="B108" s="81"/>
      <c r="C108" s="82"/>
      <c r="D108" s="475"/>
      <c r="E108" s="475"/>
      <c r="F108" s="475"/>
      <c r="G108" s="475"/>
      <c r="H108" s="475"/>
      <c r="I108" s="475"/>
      <c r="J108" s="475"/>
      <c r="K108" s="475"/>
      <c r="L108" s="51"/>
      <c r="M108" s="51"/>
      <c r="N108" s="475"/>
      <c r="O108" s="475"/>
      <c r="P108" s="475"/>
      <c r="Q108" s="475"/>
      <c r="R108" s="475"/>
      <c r="S108" s="475"/>
      <c r="T108" s="475"/>
      <c r="U108" s="475"/>
      <c r="V108" s="51"/>
      <c r="W108" s="51"/>
      <c r="X108" s="117"/>
      <c r="Y108" s="117"/>
      <c r="Z108" s="117"/>
      <c r="AA108" s="117"/>
      <c r="AB108" s="117"/>
      <c r="AC108" s="117"/>
      <c r="AD108" s="117"/>
      <c r="AE108" s="117"/>
    </row>
    <row r="109" spans="1:33">
      <c r="A109" s="112" t="s">
        <v>655</v>
      </c>
      <c r="B109" s="95" t="s">
        <v>1017</v>
      </c>
      <c r="C109" s="28" t="s">
        <v>630</v>
      </c>
      <c r="D109" s="134">
        <f>(429.125125571419)*1000</f>
        <v>429125.12557141902</v>
      </c>
      <c r="E109" s="134">
        <f>(622.600553330142)*1000</f>
        <v>622600.55333014205</v>
      </c>
      <c r="F109" s="134">
        <f>(459.794802179723)*1000</f>
        <v>459794.80217972299</v>
      </c>
      <c r="G109" s="134">
        <f>(456.278056670461)*1000</f>
        <v>456278.05667046102</v>
      </c>
      <c r="H109" s="134">
        <f>(174.71675440899)*1000</f>
        <v>174716.75440899</v>
      </c>
      <c r="I109" s="134">
        <f>(518.82602788893)*1000</f>
        <v>518826.02788892994</v>
      </c>
      <c r="J109" s="134">
        <f>(644.387970256728)*1000</f>
        <v>644387.970256728</v>
      </c>
      <c r="K109" s="134">
        <f>(528.725229090142)*1000</f>
        <v>528725.22909014195</v>
      </c>
      <c r="L109" s="51"/>
      <c r="M109" s="51"/>
      <c r="N109" s="134">
        <f>(12062)*1000</f>
        <v>12062000</v>
      </c>
      <c r="O109" s="134">
        <f>(17500.27539)*1000</f>
        <v>17500275.390000001</v>
      </c>
      <c r="P109" s="134">
        <f>(12924.07406)*1000</f>
        <v>12924074.060000001</v>
      </c>
      <c r="Q109" s="134">
        <f>(12825.22414)*1000</f>
        <v>12825224.140000001</v>
      </c>
      <c r="R109" s="134">
        <f>(4911)*1000</f>
        <v>4911000</v>
      </c>
      <c r="S109" s="134">
        <f>(14583.34452)*1000</f>
        <v>14583344.520000001</v>
      </c>
      <c r="T109" s="134">
        <f>(18112.68377)*1000</f>
        <v>18112683.77</v>
      </c>
      <c r="U109" s="134">
        <f>(14861.59475)*1000</f>
        <v>14861594.75</v>
      </c>
      <c r="V109" s="51"/>
      <c r="W109" s="51"/>
      <c r="X109" s="84"/>
      <c r="Y109" s="84"/>
      <c r="Z109" s="84"/>
      <c r="AA109" s="84"/>
      <c r="AB109" s="84"/>
      <c r="AC109" s="509">
        <f>(1538.905)*1000</f>
        <v>1538905</v>
      </c>
      <c r="AD109" s="509">
        <f>(1383.50609)*1000</f>
        <v>1383506.09</v>
      </c>
      <c r="AE109" s="509">
        <f>(3798.03441)*1000</f>
        <v>3798034.41</v>
      </c>
      <c r="AG109" s="57" t="s">
        <v>1023</v>
      </c>
    </row>
    <row r="110" spans="1:33">
      <c r="A110" s="112"/>
      <c r="B110" s="112"/>
      <c r="C110" s="112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</row>
    <row r="111" spans="1:33" ht="15.75">
      <c r="A111" s="112"/>
      <c r="B111" s="79" t="s">
        <v>588</v>
      </c>
      <c r="C111" s="120"/>
      <c r="D111" s="117"/>
      <c r="E111" s="117"/>
      <c r="F111" s="117"/>
      <c r="G111" s="117"/>
      <c r="H111" s="117"/>
      <c r="I111" s="117"/>
      <c r="J111" s="117"/>
      <c r="K111" s="117"/>
      <c r="L111" s="51"/>
      <c r="M111" s="51"/>
      <c r="N111" s="117"/>
      <c r="O111" s="117"/>
      <c r="P111" s="117"/>
      <c r="Q111" s="117"/>
      <c r="R111" s="117"/>
      <c r="S111" s="117"/>
      <c r="T111" s="117"/>
      <c r="U111" s="117"/>
      <c r="V111" s="51"/>
      <c r="W111" s="51"/>
      <c r="X111" s="117"/>
      <c r="Y111" s="117"/>
      <c r="Z111" s="117"/>
      <c r="AA111" s="117"/>
      <c r="AB111" s="117"/>
      <c r="AC111" s="117"/>
      <c r="AD111" s="117"/>
      <c r="AE111" s="117"/>
    </row>
    <row r="112" spans="1:33">
      <c r="A112" s="112"/>
      <c r="B112" s="81" t="s">
        <v>589</v>
      </c>
      <c r="C112" s="82"/>
      <c r="D112" s="117"/>
      <c r="E112" s="117"/>
      <c r="F112" s="117"/>
      <c r="G112" s="117"/>
      <c r="H112" s="117"/>
      <c r="I112" s="117"/>
      <c r="J112" s="117"/>
      <c r="K112" s="117"/>
      <c r="L112" s="51"/>
      <c r="M112" s="51"/>
      <c r="N112" s="117"/>
      <c r="O112" s="117"/>
      <c r="P112" s="117"/>
      <c r="Q112" s="117"/>
      <c r="R112" s="117"/>
      <c r="S112" s="117"/>
      <c r="T112" s="117"/>
      <c r="U112" s="117"/>
      <c r="V112" s="51"/>
      <c r="W112" s="51"/>
      <c r="X112" s="117"/>
      <c r="Y112" s="117"/>
      <c r="Z112" s="117"/>
      <c r="AA112" s="117"/>
      <c r="AB112" s="117"/>
      <c r="AC112" s="117"/>
      <c r="AD112" s="117"/>
      <c r="AE112" s="117"/>
    </row>
    <row r="113" spans="1:33">
      <c r="A113" s="112" t="s">
        <v>493</v>
      </c>
      <c r="B113" s="95" t="s">
        <v>609</v>
      </c>
      <c r="C113" s="28" t="s">
        <v>94</v>
      </c>
      <c r="D113" s="479">
        <v>35.6</v>
      </c>
      <c r="E113" s="479">
        <v>35.6</v>
      </c>
      <c r="F113" s="479">
        <v>35.6</v>
      </c>
      <c r="G113" s="479">
        <v>35.6</v>
      </c>
      <c r="H113" s="479">
        <v>35.6</v>
      </c>
      <c r="I113" s="479">
        <v>35.6</v>
      </c>
      <c r="J113" s="479">
        <v>35.6</v>
      </c>
      <c r="K113" s="479">
        <v>35.6</v>
      </c>
      <c r="L113" s="51"/>
      <c r="M113" s="51"/>
      <c r="N113" s="479">
        <v>35.6</v>
      </c>
      <c r="O113" s="479">
        <v>35.6</v>
      </c>
      <c r="P113" s="479">
        <v>35.6</v>
      </c>
      <c r="Q113" s="479">
        <v>35.6</v>
      </c>
      <c r="R113" s="479">
        <v>35.6</v>
      </c>
      <c r="S113" s="479">
        <v>35.6</v>
      </c>
      <c r="T113" s="479">
        <v>35.6</v>
      </c>
      <c r="U113" s="479">
        <v>35.6</v>
      </c>
      <c r="V113" s="51"/>
      <c r="W113" s="51"/>
      <c r="X113" s="84"/>
      <c r="Y113" s="84"/>
      <c r="Z113" s="84"/>
      <c r="AA113" s="84"/>
      <c r="AB113" s="84"/>
      <c r="AC113" s="84"/>
      <c r="AD113" s="84"/>
      <c r="AE113" s="84"/>
    </row>
    <row r="114" spans="1:33">
      <c r="A114" s="112" t="s">
        <v>494</v>
      </c>
      <c r="B114" s="95" t="s">
        <v>610</v>
      </c>
      <c r="C114" s="28" t="s">
        <v>94</v>
      </c>
      <c r="D114" s="479">
        <v>35.6</v>
      </c>
      <c r="E114" s="479">
        <v>35.6</v>
      </c>
      <c r="F114" s="479">
        <v>35.6</v>
      </c>
      <c r="G114" s="479">
        <v>35.6</v>
      </c>
      <c r="H114" s="479">
        <v>35.6</v>
      </c>
      <c r="I114" s="479">
        <v>35.6</v>
      </c>
      <c r="J114" s="479">
        <v>35.6</v>
      </c>
      <c r="K114" s="479">
        <v>35.6</v>
      </c>
      <c r="L114" s="51"/>
      <c r="M114" s="51"/>
      <c r="N114" s="479">
        <v>35.6</v>
      </c>
      <c r="O114" s="479">
        <v>35.6</v>
      </c>
      <c r="P114" s="479">
        <v>35.6</v>
      </c>
      <c r="Q114" s="479">
        <v>35.6</v>
      </c>
      <c r="R114" s="479">
        <v>35.6</v>
      </c>
      <c r="S114" s="479">
        <v>35.6</v>
      </c>
      <c r="T114" s="479">
        <v>35.6</v>
      </c>
      <c r="U114" s="479">
        <v>35.6</v>
      </c>
      <c r="V114" s="51"/>
      <c r="W114" s="51"/>
      <c r="X114" s="84"/>
      <c r="Y114" s="84"/>
      <c r="Z114" s="84"/>
      <c r="AA114" s="84"/>
      <c r="AB114" s="84"/>
      <c r="AC114" s="84"/>
      <c r="AD114" s="84"/>
      <c r="AE114" s="84"/>
    </row>
    <row r="115" spans="1:33">
      <c r="A115" s="112" t="s">
        <v>495</v>
      </c>
      <c r="B115" s="95" t="s">
        <v>88</v>
      </c>
      <c r="C115" s="28" t="s">
        <v>94</v>
      </c>
      <c r="D115" s="479">
        <v>35.6</v>
      </c>
      <c r="E115" s="479">
        <v>35.6</v>
      </c>
      <c r="F115" s="479">
        <v>35.6</v>
      </c>
      <c r="G115" s="479">
        <v>35.6</v>
      </c>
      <c r="H115" s="479">
        <v>35.6</v>
      </c>
      <c r="I115" s="479">
        <v>35.6</v>
      </c>
      <c r="J115" s="479">
        <v>35.6</v>
      </c>
      <c r="K115" s="479">
        <v>35.6</v>
      </c>
      <c r="L115" s="51"/>
      <c r="M115" s="51"/>
      <c r="N115" s="479">
        <v>35.6</v>
      </c>
      <c r="O115" s="479">
        <v>35.6</v>
      </c>
      <c r="P115" s="479">
        <v>35.6</v>
      </c>
      <c r="Q115" s="479">
        <v>35.6</v>
      </c>
      <c r="R115" s="479">
        <v>35.6</v>
      </c>
      <c r="S115" s="479">
        <v>35.6</v>
      </c>
      <c r="T115" s="479">
        <v>35.6</v>
      </c>
      <c r="U115" s="479">
        <v>35.6</v>
      </c>
      <c r="V115" s="51"/>
      <c r="W115" s="51"/>
      <c r="X115" s="84"/>
      <c r="Y115" s="84"/>
      <c r="Z115" s="84"/>
      <c r="AA115" s="84"/>
      <c r="AB115" s="84"/>
      <c r="AC115" s="84"/>
      <c r="AD115" s="84"/>
      <c r="AE115" s="84"/>
    </row>
    <row r="116" spans="1:33">
      <c r="A116" s="112" t="s">
        <v>496</v>
      </c>
      <c r="B116" s="95" t="s">
        <v>611</v>
      </c>
      <c r="C116" s="28" t="s">
        <v>94</v>
      </c>
      <c r="D116" s="479">
        <v>60</v>
      </c>
      <c r="E116" s="479">
        <v>60</v>
      </c>
      <c r="F116" s="479">
        <v>60</v>
      </c>
      <c r="G116" s="479">
        <v>60</v>
      </c>
      <c r="H116" s="479">
        <v>60</v>
      </c>
      <c r="I116" s="479">
        <v>60</v>
      </c>
      <c r="J116" s="479">
        <v>60</v>
      </c>
      <c r="K116" s="479">
        <v>60</v>
      </c>
      <c r="L116" s="51"/>
      <c r="M116" s="51"/>
      <c r="N116" s="479">
        <v>60</v>
      </c>
      <c r="O116" s="479">
        <v>60</v>
      </c>
      <c r="P116" s="479">
        <v>60</v>
      </c>
      <c r="Q116" s="479">
        <v>60</v>
      </c>
      <c r="R116" s="479">
        <v>60</v>
      </c>
      <c r="S116" s="479">
        <v>60</v>
      </c>
      <c r="T116" s="479">
        <v>60</v>
      </c>
      <c r="U116" s="479">
        <v>60</v>
      </c>
      <c r="V116" s="51"/>
      <c r="W116" s="51"/>
      <c r="X116" s="84"/>
      <c r="Y116" s="84"/>
      <c r="Z116" s="84"/>
      <c r="AA116" s="84"/>
      <c r="AB116" s="84"/>
      <c r="AC116" s="84"/>
      <c r="AD116" s="84"/>
      <c r="AE116" s="84"/>
    </row>
    <row r="117" spans="1:33">
      <c r="A117" s="112" t="s">
        <v>497</v>
      </c>
      <c r="B117" s="95" t="s">
        <v>612</v>
      </c>
      <c r="C117" s="28" t="s">
        <v>94</v>
      </c>
      <c r="D117" s="479">
        <v>60</v>
      </c>
      <c r="E117" s="479">
        <v>60</v>
      </c>
      <c r="F117" s="479">
        <v>60</v>
      </c>
      <c r="G117" s="479">
        <v>60</v>
      </c>
      <c r="H117" s="479">
        <v>60</v>
      </c>
      <c r="I117" s="479">
        <v>60</v>
      </c>
      <c r="J117" s="479">
        <v>60</v>
      </c>
      <c r="K117" s="479">
        <v>60</v>
      </c>
      <c r="L117" s="51"/>
      <c r="M117" s="51"/>
      <c r="N117" s="479">
        <v>60</v>
      </c>
      <c r="O117" s="479">
        <v>60</v>
      </c>
      <c r="P117" s="479">
        <v>60</v>
      </c>
      <c r="Q117" s="479">
        <v>60</v>
      </c>
      <c r="R117" s="479">
        <v>60</v>
      </c>
      <c r="S117" s="479">
        <v>60</v>
      </c>
      <c r="T117" s="479">
        <v>60</v>
      </c>
      <c r="U117" s="479">
        <v>60</v>
      </c>
      <c r="V117" s="51"/>
      <c r="W117" s="51"/>
      <c r="X117" s="84"/>
      <c r="Y117" s="84"/>
      <c r="Z117" s="84"/>
      <c r="AA117" s="84"/>
      <c r="AB117" s="84"/>
      <c r="AC117" s="84"/>
      <c r="AD117" s="84"/>
      <c r="AE117" s="84"/>
    </row>
    <row r="118" spans="1:33">
      <c r="A118" s="112" t="s">
        <v>498</v>
      </c>
      <c r="B118" s="95" t="s">
        <v>83</v>
      </c>
      <c r="C118" s="28" t="s">
        <v>94</v>
      </c>
      <c r="D118" s="479">
        <v>60</v>
      </c>
      <c r="E118" s="479">
        <v>60</v>
      </c>
      <c r="F118" s="479">
        <v>60</v>
      </c>
      <c r="G118" s="479">
        <v>60</v>
      </c>
      <c r="H118" s="479">
        <v>60</v>
      </c>
      <c r="I118" s="479">
        <v>60</v>
      </c>
      <c r="J118" s="479">
        <v>60</v>
      </c>
      <c r="K118" s="479">
        <v>60</v>
      </c>
      <c r="L118" s="51"/>
      <c r="M118" s="51"/>
      <c r="N118" s="479">
        <v>60</v>
      </c>
      <c r="O118" s="479">
        <v>60</v>
      </c>
      <c r="P118" s="479">
        <v>60</v>
      </c>
      <c r="Q118" s="479">
        <v>60</v>
      </c>
      <c r="R118" s="479">
        <v>60</v>
      </c>
      <c r="S118" s="479">
        <v>60</v>
      </c>
      <c r="T118" s="479">
        <v>60</v>
      </c>
      <c r="U118" s="479">
        <v>60</v>
      </c>
      <c r="V118" s="51"/>
      <c r="W118" s="51"/>
      <c r="X118" s="84"/>
      <c r="Y118" s="84"/>
      <c r="Z118" s="84"/>
      <c r="AA118" s="84"/>
      <c r="AB118" s="84"/>
      <c r="AC118" s="84"/>
      <c r="AD118" s="84"/>
      <c r="AE118" s="84"/>
    </row>
    <row r="119" spans="1:33">
      <c r="A119" s="112" t="s">
        <v>499</v>
      </c>
      <c r="B119" s="95" t="s">
        <v>91</v>
      </c>
      <c r="C119" s="28" t="s">
        <v>94</v>
      </c>
      <c r="D119" s="479">
        <v>5</v>
      </c>
      <c r="E119" s="479">
        <v>5</v>
      </c>
      <c r="F119" s="479">
        <v>5</v>
      </c>
      <c r="G119" s="479">
        <v>5</v>
      </c>
      <c r="H119" s="479">
        <v>5</v>
      </c>
      <c r="I119" s="479">
        <v>5</v>
      </c>
      <c r="J119" s="479">
        <v>5</v>
      </c>
      <c r="K119" s="479">
        <v>5</v>
      </c>
      <c r="L119" s="51"/>
      <c r="M119" s="51"/>
      <c r="N119" s="479">
        <v>5</v>
      </c>
      <c r="O119" s="479">
        <v>5</v>
      </c>
      <c r="P119" s="479">
        <v>5</v>
      </c>
      <c r="Q119" s="479">
        <v>5</v>
      </c>
      <c r="R119" s="479">
        <v>5</v>
      </c>
      <c r="S119" s="479">
        <v>5</v>
      </c>
      <c r="T119" s="479">
        <v>5</v>
      </c>
      <c r="U119" s="479">
        <v>5</v>
      </c>
      <c r="V119" s="51"/>
      <c r="W119" s="51"/>
      <c r="X119" s="477"/>
      <c r="Y119" s="477"/>
      <c r="Z119" s="477"/>
      <c r="AA119" s="477"/>
      <c r="AB119" s="477"/>
      <c r="AC119" s="477"/>
      <c r="AD119" s="477"/>
      <c r="AE119" s="477"/>
    </row>
    <row r="120" spans="1:33">
      <c r="A120" s="112" t="s">
        <v>500</v>
      </c>
      <c r="B120" s="95" t="s">
        <v>95</v>
      </c>
      <c r="C120" s="28" t="s">
        <v>94</v>
      </c>
      <c r="D120" s="479">
        <v>7.5</v>
      </c>
      <c r="E120" s="479">
        <v>7.5</v>
      </c>
      <c r="F120" s="479">
        <v>7.5</v>
      </c>
      <c r="G120" s="479">
        <v>7.5</v>
      </c>
      <c r="H120" s="479">
        <v>7.5</v>
      </c>
      <c r="I120" s="479">
        <v>7.5</v>
      </c>
      <c r="J120" s="479">
        <v>7.5</v>
      </c>
      <c r="K120" s="479">
        <v>7.5</v>
      </c>
      <c r="L120" s="51"/>
      <c r="M120" s="51"/>
      <c r="N120" s="479">
        <v>7.5</v>
      </c>
      <c r="O120" s="479">
        <v>7.5</v>
      </c>
      <c r="P120" s="479">
        <v>7.5</v>
      </c>
      <c r="Q120" s="479">
        <v>7.5</v>
      </c>
      <c r="R120" s="479">
        <v>7.5</v>
      </c>
      <c r="S120" s="479">
        <v>7.5</v>
      </c>
      <c r="T120" s="479">
        <v>7.5</v>
      </c>
      <c r="U120" s="479">
        <v>7.5</v>
      </c>
      <c r="V120" s="51"/>
      <c r="W120" s="51"/>
      <c r="X120" s="499">
        <v>10</v>
      </c>
      <c r="Y120" s="499">
        <v>10</v>
      </c>
      <c r="Z120" s="499">
        <v>10</v>
      </c>
      <c r="AA120" s="499">
        <v>10</v>
      </c>
      <c r="AB120" s="499">
        <v>10</v>
      </c>
      <c r="AC120" s="499">
        <v>10</v>
      </c>
      <c r="AD120" s="499">
        <v>10</v>
      </c>
      <c r="AE120" s="499">
        <v>10</v>
      </c>
      <c r="AG120" s="57" t="s">
        <v>1023</v>
      </c>
    </row>
    <row r="121" spans="1:33">
      <c r="A121" s="112" t="s">
        <v>501</v>
      </c>
      <c r="B121" s="95" t="s">
        <v>96</v>
      </c>
      <c r="C121" s="28" t="s">
        <v>94</v>
      </c>
      <c r="D121" s="479">
        <v>5</v>
      </c>
      <c r="E121" s="479">
        <v>5</v>
      </c>
      <c r="F121" s="479">
        <v>5</v>
      </c>
      <c r="G121" s="479">
        <v>5</v>
      </c>
      <c r="H121" s="479">
        <v>5</v>
      </c>
      <c r="I121" s="479">
        <v>5</v>
      </c>
      <c r="J121" s="479">
        <v>5</v>
      </c>
      <c r="K121" s="479">
        <v>5</v>
      </c>
      <c r="L121" s="51"/>
      <c r="M121" s="51"/>
      <c r="N121" s="479">
        <v>5</v>
      </c>
      <c r="O121" s="479">
        <v>5</v>
      </c>
      <c r="P121" s="479">
        <v>5</v>
      </c>
      <c r="Q121" s="479">
        <v>5</v>
      </c>
      <c r="R121" s="479">
        <v>5</v>
      </c>
      <c r="S121" s="479">
        <v>5</v>
      </c>
      <c r="T121" s="479">
        <v>5</v>
      </c>
      <c r="U121" s="479">
        <v>5</v>
      </c>
      <c r="V121" s="51"/>
      <c r="W121" s="51"/>
      <c r="X121" s="478"/>
      <c r="Y121" s="478"/>
      <c r="Z121" s="478"/>
      <c r="AA121" s="478"/>
      <c r="AB121" s="478"/>
      <c r="AC121" s="478"/>
      <c r="AD121" s="478"/>
      <c r="AE121" s="478"/>
    </row>
    <row r="122" spans="1:33">
      <c r="A122" s="112"/>
      <c r="B122" s="95"/>
      <c r="C122" s="28"/>
      <c r="D122" s="117"/>
      <c r="E122" s="117"/>
      <c r="F122" s="117"/>
      <c r="G122" s="117"/>
      <c r="H122" s="117"/>
      <c r="I122" s="117"/>
      <c r="J122" s="117"/>
      <c r="K122" s="117"/>
      <c r="L122" s="51"/>
      <c r="M122" s="51"/>
      <c r="N122" s="117"/>
      <c r="O122" s="117"/>
      <c r="P122" s="117"/>
      <c r="Q122" s="117"/>
      <c r="R122" s="117"/>
      <c r="S122" s="117"/>
      <c r="T122" s="117"/>
      <c r="U122" s="117"/>
      <c r="V122" s="51"/>
      <c r="W122" s="51"/>
      <c r="X122" s="117"/>
      <c r="Y122" s="117"/>
      <c r="Z122" s="117"/>
      <c r="AA122" s="117"/>
      <c r="AB122" s="117"/>
      <c r="AC122" s="117"/>
      <c r="AD122" s="117"/>
      <c r="AE122" s="117"/>
    </row>
    <row r="123" spans="1:33">
      <c r="A123" s="112"/>
      <c r="B123" s="81" t="s">
        <v>590</v>
      </c>
      <c r="C123" s="28"/>
      <c r="D123" s="117"/>
      <c r="E123" s="117"/>
      <c r="F123" s="117"/>
      <c r="G123" s="117"/>
      <c r="H123" s="117"/>
      <c r="I123" s="117"/>
      <c r="J123" s="117"/>
      <c r="K123" s="117"/>
      <c r="L123" s="51"/>
      <c r="M123" s="51"/>
      <c r="N123" s="117"/>
      <c r="O123" s="117"/>
      <c r="P123" s="117"/>
      <c r="Q123" s="117"/>
      <c r="R123" s="117"/>
      <c r="S123" s="117"/>
      <c r="T123" s="117"/>
      <c r="U123" s="117"/>
      <c r="V123" s="51"/>
      <c r="W123" s="51"/>
      <c r="X123" s="117"/>
      <c r="Y123" s="117"/>
      <c r="Z123" s="117"/>
      <c r="AA123" s="117"/>
      <c r="AB123" s="117"/>
      <c r="AC123" s="117"/>
      <c r="AD123" s="117"/>
      <c r="AE123" s="117"/>
    </row>
    <row r="124" spans="1:33">
      <c r="A124" s="112" t="s">
        <v>502</v>
      </c>
      <c r="B124" s="95" t="s">
        <v>609</v>
      </c>
      <c r="C124" s="28" t="s">
        <v>94</v>
      </c>
      <c r="D124" s="479">
        <v>21.502330897414307</v>
      </c>
      <c r="E124" s="479">
        <v>21.502330897414307</v>
      </c>
      <c r="F124" s="479">
        <v>21.502330897414307</v>
      </c>
      <c r="G124" s="479">
        <v>21.502330897414307</v>
      </c>
      <c r="H124" s="479">
        <v>21.502330897414307</v>
      </c>
      <c r="I124" s="479">
        <v>21.502330897414307</v>
      </c>
      <c r="J124" s="479">
        <v>21.502330897414307</v>
      </c>
      <c r="K124" s="479">
        <v>21.502330897414307</v>
      </c>
      <c r="L124" s="51"/>
      <c r="M124" s="51"/>
      <c r="N124" s="479">
        <v>21.502330897414307</v>
      </c>
      <c r="O124" s="479">
        <v>21.502330897414307</v>
      </c>
      <c r="P124" s="479">
        <v>21.502330897414307</v>
      </c>
      <c r="Q124" s="479">
        <v>21.502330897414307</v>
      </c>
      <c r="R124" s="479">
        <v>21.502330897414307</v>
      </c>
      <c r="S124" s="479">
        <v>21.502330897414307</v>
      </c>
      <c r="T124" s="479">
        <v>21.502330897414307</v>
      </c>
      <c r="U124" s="479">
        <v>21.502330897414307</v>
      </c>
      <c r="V124" s="51"/>
      <c r="W124" s="51"/>
      <c r="X124" s="84"/>
      <c r="Y124" s="84"/>
      <c r="Z124" s="84"/>
      <c r="AA124" s="84"/>
      <c r="AB124" s="84"/>
      <c r="AC124" s="84"/>
      <c r="AD124" s="84"/>
      <c r="AE124" s="84"/>
    </row>
    <row r="125" spans="1:33">
      <c r="A125" s="112" t="s">
        <v>503</v>
      </c>
      <c r="B125" s="95" t="s">
        <v>610</v>
      </c>
      <c r="C125" s="28" t="s">
        <v>94</v>
      </c>
      <c r="D125" s="479">
        <v>21.502330897414307</v>
      </c>
      <c r="E125" s="479">
        <v>21.502330897414307</v>
      </c>
      <c r="F125" s="479">
        <v>21.502330897414307</v>
      </c>
      <c r="G125" s="479">
        <v>21.502330897414307</v>
      </c>
      <c r="H125" s="479">
        <v>21.502330897414307</v>
      </c>
      <c r="I125" s="479">
        <v>21.502330897414307</v>
      </c>
      <c r="J125" s="479">
        <v>21.502330897414307</v>
      </c>
      <c r="K125" s="479">
        <v>21.502330897414307</v>
      </c>
      <c r="L125" s="51"/>
      <c r="M125" s="51"/>
      <c r="N125" s="479">
        <v>21.502330897414307</v>
      </c>
      <c r="O125" s="479">
        <v>21.502330897414307</v>
      </c>
      <c r="P125" s="479">
        <v>21.502330897414307</v>
      </c>
      <c r="Q125" s="479">
        <v>21.502330897414307</v>
      </c>
      <c r="R125" s="479">
        <v>21.502330897414307</v>
      </c>
      <c r="S125" s="479">
        <v>21.502330897414307</v>
      </c>
      <c r="T125" s="479">
        <v>21.502330897414307</v>
      </c>
      <c r="U125" s="479">
        <v>21.502330897414307</v>
      </c>
      <c r="V125" s="51"/>
      <c r="W125" s="51"/>
      <c r="X125" s="84"/>
      <c r="Y125" s="84"/>
      <c r="Z125" s="84"/>
      <c r="AA125" s="84"/>
      <c r="AB125" s="84"/>
      <c r="AC125" s="84"/>
      <c r="AD125" s="84"/>
      <c r="AE125" s="84"/>
    </row>
    <row r="126" spans="1:33">
      <c r="A126" s="112" t="s">
        <v>504</v>
      </c>
      <c r="B126" s="95" t="s">
        <v>88</v>
      </c>
      <c r="C126" s="28" t="s">
        <v>94</v>
      </c>
      <c r="D126" s="479">
        <v>21.502330897414307</v>
      </c>
      <c r="E126" s="479">
        <v>21.502330897414307</v>
      </c>
      <c r="F126" s="479">
        <v>21.502330897414307</v>
      </c>
      <c r="G126" s="479">
        <v>21.502330897414307</v>
      </c>
      <c r="H126" s="479">
        <v>21.502330897414307</v>
      </c>
      <c r="I126" s="479">
        <v>21.502330897414307</v>
      </c>
      <c r="J126" s="479">
        <v>21.502330897414307</v>
      </c>
      <c r="K126" s="479">
        <v>21.502330897414307</v>
      </c>
      <c r="L126" s="51"/>
      <c r="M126" s="51"/>
      <c r="N126" s="479">
        <v>21.502330897414307</v>
      </c>
      <c r="O126" s="479">
        <v>21.502330897414307</v>
      </c>
      <c r="P126" s="479">
        <v>21.502330897414307</v>
      </c>
      <c r="Q126" s="479">
        <v>21.502330897414307</v>
      </c>
      <c r="R126" s="479">
        <v>21.502330897414307</v>
      </c>
      <c r="S126" s="479">
        <v>21.502330897414307</v>
      </c>
      <c r="T126" s="479">
        <v>21.502330897414307</v>
      </c>
      <c r="U126" s="479">
        <v>21.502330897414307</v>
      </c>
      <c r="V126" s="51"/>
      <c r="W126" s="51"/>
      <c r="X126" s="84"/>
      <c r="Y126" s="84"/>
      <c r="Z126" s="84"/>
      <c r="AA126" s="84"/>
      <c r="AB126" s="84"/>
      <c r="AC126" s="84"/>
      <c r="AD126" s="84"/>
      <c r="AE126" s="84"/>
    </row>
    <row r="127" spans="1:33">
      <c r="A127" s="112" t="s">
        <v>505</v>
      </c>
      <c r="B127" s="95" t="s">
        <v>611</v>
      </c>
      <c r="C127" s="28" t="s">
        <v>94</v>
      </c>
      <c r="D127" s="479">
        <v>24</v>
      </c>
      <c r="E127" s="479">
        <v>24</v>
      </c>
      <c r="F127" s="479">
        <v>24</v>
      </c>
      <c r="G127" s="479">
        <v>24</v>
      </c>
      <c r="H127" s="479">
        <v>24</v>
      </c>
      <c r="I127" s="479">
        <v>24</v>
      </c>
      <c r="J127" s="479">
        <v>24</v>
      </c>
      <c r="K127" s="479">
        <v>24</v>
      </c>
      <c r="L127" s="51"/>
      <c r="M127" s="51"/>
      <c r="N127" s="479">
        <v>24</v>
      </c>
      <c r="O127" s="479">
        <v>24</v>
      </c>
      <c r="P127" s="479">
        <v>24</v>
      </c>
      <c r="Q127" s="479">
        <v>24</v>
      </c>
      <c r="R127" s="479">
        <v>24</v>
      </c>
      <c r="S127" s="479">
        <v>24</v>
      </c>
      <c r="T127" s="479">
        <v>24</v>
      </c>
      <c r="U127" s="479">
        <v>24</v>
      </c>
      <c r="V127" s="51"/>
      <c r="W127" s="51"/>
      <c r="X127" s="84"/>
      <c r="Y127" s="84"/>
      <c r="Z127" s="84"/>
      <c r="AA127" s="84"/>
      <c r="AB127" s="84"/>
      <c r="AC127" s="84"/>
      <c r="AD127" s="84"/>
      <c r="AE127" s="84"/>
    </row>
    <row r="128" spans="1:33">
      <c r="A128" s="112" t="s">
        <v>506</v>
      </c>
      <c r="B128" s="95" t="s">
        <v>613</v>
      </c>
      <c r="C128" s="28" t="s">
        <v>94</v>
      </c>
      <c r="D128" s="479">
        <v>24</v>
      </c>
      <c r="E128" s="479">
        <v>24</v>
      </c>
      <c r="F128" s="479">
        <v>24</v>
      </c>
      <c r="G128" s="479">
        <v>24</v>
      </c>
      <c r="H128" s="479">
        <v>24</v>
      </c>
      <c r="I128" s="479">
        <v>24</v>
      </c>
      <c r="J128" s="479">
        <v>24</v>
      </c>
      <c r="K128" s="479">
        <v>24</v>
      </c>
      <c r="L128" s="51"/>
      <c r="M128" s="51"/>
      <c r="N128" s="479">
        <v>24</v>
      </c>
      <c r="O128" s="479">
        <v>24</v>
      </c>
      <c r="P128" s="479">
        <v>24</v>
      </c>
      <c r="Q128" s="479">
        <v>24</v>
      </c>
      <c r="R128" s="479">
        <v>24</v>
      </c>
      <c r="S128" s="479">
        <v>24</v>
      </c>
      <c r="T128" s="479">
        <v>24</v>
      </c>
      <c r="U128" s="479">
        <v>24</v>
      </c>
      <c r="V128" s="51"/>
      <c r="W128" s="51"/>
      <c r="X128" s="84"/>
      <c r="Y128" s="84"/>
      <c r="Z128" s="84"/>
      <c r="AA128" s="84"/>
      <c r="AB128" s="84"/>
      <c r="AC128" s="84"/>
      <c r="AD128" s="84"/>
      <c r="AE128" s="84"/>
    </row>
    <row r="129" spans="1:33">
      <c r="A129" s="112" t="s">
        <v>507</v>
      </c>
      <c r="B129" s="95" t="s">
        <v>83</v>
      </c>
      <c r="C129" s="28" t="s">
        <v>94</v>
      </c>
      <c r="D129" s="479">
        <v>24</v>
      </c>
      <c r="E129" s="479">
        <v>24</v>
      </c>
      <c r="F129" s="479">
        <v>24</v>
      </c>
      <c r="G129" s="479">
        <v>24</v>
      </c>
      <c r="H129" s="479">
        <v>24</v>
      </c>
      <c r="I129" s="479">
        <v>24</v>
      </c>
      <c r="J129" s="479">
        <v>24</v>
      </c>
      <c r="K129" s="479">
        <v>24</v>
      </c>
      <c r="L129" s="51"/>
      <c r="M129" s="51"/>
      <c r="N129" s="479">
        <v>24</v>
      </c>
      <c r="O129" s="479">
        <v>24</v>
      </c>
      <c r="P129" s="479">
        <v>24</v>
      </c>
      <c r="Q129" s="479">
        <v>24</v>
      </c>
      <c r="R129" s="479">
        <v>24</v>
      </c>
      <c r="S129" s="479">
        <v>24</v>
      </c>
      <c r="T129" s="479">
        <v>24</v>
      </c>
      <c r="U129" s="479">
        <v>24</v>
      </c>
      <c r="V129" s="51"/>
      <c r="W129" s="51"/>
      <c r="X129" s="84"/>
      <c r="Y129" s="84"/>
      <c r="Z129" s="84"/>
      <c r="AA129" s="84"/>
      <c r="AB129" s="84"/>
      <c r="AC129" s="84"/>
      <c r="AD129" s="84"/>
      <c r="AE129" s="84"/>
    </row>
    <row r="130" spans="1:33">
      <c r="A130" s="112" t="s">
        <v>508</v>
      </c>
      <c r="B130" s="95" t="s">
        <v>91</v>
      </c>
      <c r="C130" s="28" t="s">
        <v>94</v>
      </c>
      <c r="D130" s="479">
        <v>5</v>
      </c>
      <c r="E130" s="479">
        <v>5</v>
      </c>
      <c r="F130" s="479">
        <v>5</v>
      </c>
      <c r="G130" s="479">
        <v>5</v>
      </c>
      <c r="H130" s="479">
        <v>5</v>
      </c>
      <c r="I130" s="479">
        <v>5</v>
      </c>
      <c r="J130" s="479">
        <v>5</v>
      </c>
      <c r="K130" s="479">
        <v>5</v>
      </c>
      <c r="L130" s="51"/>
      <c r="M130" s="51"/>
      <c r="N130" s="479">
        <v>5</v>
      </c>
      <c r="O130" s="479">
        <v>5</v>
      </c>
      <c r="P130" s="479">
        <v>5</v>
      </c>
      <c r="Q130" s="479">
        <v>5</v>
      </c>
      <c r="R130" s="479">
        <v>5</v>
      </c>
      <c r="S130" s="479">
        <v>5</v>
      </c>
      <c r="T130" s="479">
        <v>5</v>
      </c>
      <c r="U130" s="479">
        <v>5</v>
      </c>
      <c r="V130" s="51"/>
      <c r="W130" s="51"/>
      <c r="X130" s="84"/>
      <c r="Y130" s="84"/>
      <c r="Z130" s="84"/>
      <c r="AA130" s="84"/>
      <c r="AB130" s="84"/>
      <c r="AC130" s="84"/>
      <c r="AD130" s="84"/>
      <c r="AE130" s="84"/>
    </row>
    <row r="131" spans="1:33">
      <c r="A131" s="112" t="s">
        <v>509</v>
      </c>
      <c r="B131" s="95" t="s">
        <v>95</v>
      </c>
      <c r="C131" s="28" t="s">
        <v>94</v>
      </c>
      <c r="D131" s="479">
        <v>7.5</v>
      </c>
      <c r="E131" s="479">
        <v>7.5</v>
      </c>
      <c r="F131" s="479">
        <v>7.5</v>
      </c>
      <c r="G131" s="479">
        <v>7.5</v>
      </c>
      <c r="H131" s="479">
        <v>7.5</v>
      </c>
      <c r="I131" s="479">
        <v>7.5</v>
      </c>
      <c r="J131" s="479">
        <v>7.5</v>
      </c>
      <c r="K131" s="479">
        <v>7.5</v>
      </c>
      <c r="L131" s="51"/>
      <c r="M131" s="51"/>
      <c r="N131" s="479">
        <v>7.5</v>
      </c>
      <c r="O131" s="479">
        <v>7.5</v>
      </c>
      <c r="P131" s="479">
        <v>7.5</v>
      </c>
      <c r="Q131" s="479">
        <v>7.5</v>
      </c>
      <c r="R131" s="479">
        <v>7.5</v>
      </c>
      <c r="S131" s="479">
        <v>7.5</v>
      </c>
      <c r="T131" s="479">
        <v>7.5</v>
      </c>
      <c r="U131" s="479">
        <v>7.5</v>
      </c>
      <c r="V131" s="51"/>
      <c r="W131" s="51"/>
      <c r="X131" s="499">
        <v>10</v>
      </c>
      <c r="Y131" s="499">
        <v>10</v>
      </c>
      <c r="Z131" s="499">
        <v>10</v>
      </c>
      <c r="AA131" s="499">
        <v>10</v>
      </c>
      <c r="AB131" s="499">
        <v>10</v>
      </c>
      <c r="AC131" s="499">
        <v>10</v>
      </c>
      <c r="AD131" s="499">
        <v>10</v>
      </c>
      <c r="AE131" s="499">
        <v>10</v>
      </c>
      <c r="AG131" s="57" t="s">
        <v>1023</v>
      </c>
    </row>
    <row r="132" spans="1:33">
      <c r="A132" s="112" t="s">
        <v>510</v>
      </c>
      <c r="B132" s="95" t="s">
        <v>96</v>
      </c>
      <c r="C132" s="28" t="s">
        <v>94</v>
      </c>
      <c r="D132" s="479">
        <v>5</v>
      </c>
      <c r="E132" s="479">
        <v>5</v>
      </c>
      <c r="F132" s="479">
        <v>5</v>
      </c>
      <c r="G132" s="479">
        <v>5</v>
      </c>
      <c r="H132" s="479">
        <v>5</v>
      </c>
      <c r="I132" s="479">
        <v>5</v>
      </c>
      <c r="J132" s="479">
        <v>5</v>
      </c>
      <c r="K132" s="479">
        <v>5</v>
      </c>
      <c r="L132" s="51"/>
      <c r="M132" s="51"/>
      <c r="N132" s="479">
        <v>5</v>
      </c>
      <c r="O132" s="479">
        <v>5</v>
      </c>
      <c r="P132" s="479">
        <v>5</v>
      </c>
      <c r="Q132" s="479">
        <v>5</v>
      </c>
      <c r="R132" s="479">
        <v>5</v>
      </c>
      <c r="S132" s="479">
        <v>5</v>
      </c>
      <c r="T132" s="479">
        <v>5</v>
      </c>
      <c r="U132" s="479">
        <v>5</v>
      </c>
      <c r="V132" s="51"/>
      <c r="W132" s="51"/>
      <c r="X132" s="84"/>
      <c r="Y132" s="84"/>
      <c r="Z132" s="84"/>
      <c r="AA132" s="84"/>
      <c r="AB132" s="84"/>
      <c r="AC132" s="84"/>
      <c r="AD132" s="84"/>
      <c r="AE132" s="8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122"/>
  <sheetViews>
    <sheetView zoomScale="55" zoomScaleNormal="70" workbookViewId="0">
      <selection activeCell="D118" sqref="D118:K122"/>
    </sheetView>
  </sheetViews>
  <sheetFormatPr defaultRowHeight="15"/>
  <cols>
    <col min="1" max="1" width="21" style="57" bestFit="1" customWidth="1"/>
    <col min="2" max="2" width="86.42578125" style="57" customWidth="1"/>
    <col min="3" max="3" width="14.42578125" style="72" bestFit="1" customWidth="1"/>
    <col min="4" max="11" width="11.42578125" style="57" customWidth="1"/>
    <col min="12" max="16384" width="9.140625" style="57"/>
  </cols>
  <sheetData>
    <row r="1" spans="1:21" ht="15.75">
      <c r="B1" s="4" t="s">
        <v>618</v>
      </c>
    </row>
    <row r="2" spans="1:21">
      <c r="D2" s="101"/>
      <c r="E2" s="101"/>
      <c r="F2" s="101"/>
      <c r="G2" s="101"/>
      <c r="H2" s="101"/>
      <c r="I2" s="101"/>
      <c r="J2" s="101"/>
      <c r="K2" s="101"/>
      <c r="L2" s="30"/>
      <c r="M2" s="30"/>
      <c r="N2" s="30"/>
      <c r="O2" s="30"/>
    </row>
    <row r="3" spans="1:21">
      <c r="B3" s="1" t="s">
        <v>31</v>
      </c>
      <c r="D3" s="78">
        <v>2006</v>
      </c>
      <c r="E3" s="78">
        <v>2007</v>
      </c>
      <c r="F3" s="78">
        <v>2008</v>
      </c>
      <c r="G3" s="78">
        <v>2009</v>
      </c>
      <c r="H3" s="78">
        <v>2010</v>
      </c>
      <c r="I3" s="78">
        <v>2011</v>
      </c>
      <c r="J3" s="78">
        <v>2012</v>
      </c>
      <c r="K3" s="78">
        <v>2013</v>
      </c>
      <c r="L3" s="30"/>
      <c r="M3" s="30"/>
      <c r="N3" s="30"/>
      <c r="O3" s="30"/>
    </row>
    <row r="4" spans="1:21">
      <c r="A4" s="1" t="s">
        <v>14</v>
      </c>
      <c r="B4" s="1" t="s">
        <v>1</v>
      </c>
      <c r="C4" s="75" t="s">
        <v>97</v>
      </c>
    </row>
    <row r="5" spans="1:21" ht="15.75">
      <c r="B5" s="79" t="s">
        <v>569</v>
      </c>
      <c r="C5" s="28"/>
    </row>
    <row r="6" spans="1:21">
      <c r="A6" s="57" t="s">
        <v>536</v>
      </c>
      <c r="B6" s="122" t="s">
        <v>98</v>
      </c>
      <c r="C6" s="28" t="s">
        <v>99</v>
      </c>
      <c r="D6" s="123">
        <v>7915.3399999999983</v>
      </c>
      <c r="E6" s="123">
        <v>7972.7465784395063</v>
      </c>
      <c r="F6" s="123">
        <v>7895.8596747079464</v>
      </c>
      <c r="G6" s="123">
        <v>8013.4135843710746</v>
      </c>
      <c r="H6" s="123">
        <v>8163.2832633727876</v>
      </c>
      <c r="I6" s="123">
        <v>8022.5268351517052</v>
      </c>
      <c r="J6" s="123">
        <v>8120.6288165099468</v>
      </c>
      <c r="K6" s="123">
        <v>7856.2712131410535</v>
      </c>
      <c r="N6" s="51"/>
      <c r="O6" s="51"/>
      <c r="P6" s="51"/>
      <c r="Q6" s="51"/>
      <c r="R6" s="51"/>
      <c r="S6" s="51"/>
      <c r="T6" s="51"/>
      <c r="U6" s="51"/>
    </row>
    <row r="7" spans="1:21">
      <c r="B7" s="81"/>
      <c r="C7" s="28"/>
      <c r="D7" s="124"/>
      <c r="E7" s="124"/>
      <c r="F7" s="124"/>
      <c r="G7" s="124"/>
      <c r="H7" s="124"/>
      <c r="I7" s="124"/>
      <c r="J7" s="124"/>
      <c r="K7" s="124"/>
      <c r="N7" s="51"/>
      <c r="O7" s="51"/>
      <c r="P7" s="51"/>
      <c r="Q7" s="51"/>
      <c r="R7" s="51"/>
      <c r="S7" s="51"/>
      <c r="T7" s="51"/>
      <c r="U7" s="51"/>
    </row>
    <row r="8" spans="1:21">
      <c r="B8" s="81" t="s">
        <v>570</v>
      </c>
      <c r="C8" s="28"/>
      <c r="D8" s="124"/>
      <c r="E8" s="124"/>
      <c r="F8" s="124"/>
      <c r="G8" s="124"/>
      <c r="H8" s="124"/>
      <c r="I8" s="124"/>
      <c r="J8" s="124"/>
      <c r="K8" s="124"/>
      <c r="N8" s="51"/>
      <c r="O8" s="51"/>
      <c r="P8" s="51"/>
      <c r="Q8" s="51"/>
      <c r="R8" s="51"/>
      <c r="S8" s="51"/>
      <c r="T8" s="51"/>
      <c r="U8" s="51"/>
    </row>
    <row r="9" spans="1:21">
      <c r="A9" s="57" t="s">
        <v>341</v>
      </c>
      <c r="B9" s="95" t="s">
        <v>100</v>
      </c>
      <c r="C9" s="28" t="s">
        <v>99</v>
      </c>
      <c r="D9" s="123">
        <v>3036.4953588554099</v>
      </c>
      <c r="E9" s="123">
        <v>3065.1909126831092</v>
      </c>
      <c r="F9" s="123">
        <v>3162.0226205987105</v>
      </c>
      <c r="G9" s="123">
        <v>3189.9792309670061</v>
      </c>
      <c r="H9" s="123">
        <v>3188.7323926590198</v>
      </c>
      <c r="I9" s="123">
        <v>3116.2739222373566</v>
      </c>
      <c r="J9" s="123">
        <v>3046.2605596958861</v>
      </c>
      <c r="K9" s="123">
        <v>2932.7139208419649</v>
      </c>
      <c r="N9" s="51"/>
      <c r="O9" s="51"/>
      <c r="P9" s="51"/>
      <c r="Q9" s="51"/>
      <c r="R9" s="51"/>
      <c r="S9" s="51"/>
      <c r="T9" s="51"/>
      <c r="U9" s="51"/>
    </row>
    <row r="10" spans="1:21">
      <c r="A10" s="57" t="s">
        <v>342</v>
      </c>
      <c r="B10" s="95" t="s">
        <v>101</v>
      </c>
      <c r="C10" s="28" t="s">
        <v>99</v>
      </c>
      <c r="D10" s="123">
        <v>2232.0881197758281</v>
      </c>
      <c r="E10" s="123">
        <v>2281.2199961043962</v>
      </c>
      <c r="F10" s="123">
        <v>2199.1699030528284</v>
      </c>
      <c r="G10" s="123">
        <v>2243.3317483656456</v>
      </c>
      <c r="H10" s="123">
        <v>2325.6882813926609</v>
      </c>
      <c r="I10" s="123">
        <v>2290.4229635190923</v>
      </c>
      <c r="J10" s="123">
        <v>2345.1342992474497</v>
      </c>
      <c r="K10" s="123">
        <v>2268.140575067428</v>
      </c>
      <c r="N10" s="51"/>
      <c r="O10" s="51"/>
      <c r="P10" s="51"/>
      <c r="Q10" s="51"/>
      <c r="R10" s="51"/>
      <c r="S10" s="51"/>
      <c r="T10" s="51"/>
      <c r="U10" s="51"/>
    </row>
    <row r="11" spans="1:21">
      <c r="A11" s="57" t="s">
        <v>343</v>
      </c>
      <c r="B11" s="95" t="s">
        <v>102</v>
      </c>
      <c r="C11" s="28" t="s">
        <v>99</v>
      </c>
      <c r="D11" s="123">
        <v>0</v>
      </c>
      <c r="E11" s="123">
        <v>0</v>
      </c>
      <c r="F11" s="123">
        <v>0</v>
      </c>
      <c r="G11" s="123">
        <v>0</v>
      </c>
      <c r="H11" s="123">
        <v>2.0587336999298596</v>
      </c>
      <c r="I11" s="123">
        <v>8.1382057833788206</v>
      </c>
      <c r="J11" s="123">
        <v>15.067349361629546</v>
      </c>
      <c r="K11" s="123">
        <v>20.258384820235765</v>
      </c>
      <c r="N11" s="51"/>
      <c r="O11" s="51"/>
      <c r="P11" s="51"/>
      <c r="Q11" s="51"/>
      <c r="R11" s="51"/>
      <c r="S11" s="51"/>
      <c r="T11" s="51"/>
      <c r="U11" s="51"/>
    </row>
    <row r="12" spans="1:21">
      <c r="A12" s="57" t="s">
        <v>344</v>
      </c>
      <c r="B12" s="95" t="s">
        <v>103</v>
      </c>
      <c r="C12" s="28" t="s">
        <v>99</v>
      </c>
      <c r="D12" s="123">
        <v>2267.4843538564401</v>
      </c>
      <c r="E12" s="123">
        <v>2286.4044255732874</v>
      </c>
      <c r="F12" s="123">
        <v>2191.7158569415492</v>
      </c>
      <c r="G12" s="123">
        <v>2259.2330764742669</v>
      </c>
      <c r="H12" s="123">
        <v>2352.7582947522828</v>
      </c>
      <c r="I12" s="123">
        <v>2322.2878909113001</v>
      </c>
      <c r="J12" s="123">
        <v>2445.9484482227954</v>
      </c>
      <c r="K12" s="123">
        <v>2408.7727664635963</v>
      </c>
      <c r="N12" s="51"/>
      <c r="O12" s="51"/>
      <c r="P12" s="51"/>
      <c r="Q12" s="51"/>
      <c r="R12" s="51"/>
      <c r="S12" s="51"/>
      <c r="T12" s="51"/>
      <c r="U12" s="51"/>
    </row>
    <row r="13" spans="1:21">
      <c r="A13" s="57" t="s">
        <v>345</v>
      </c>
      <c r="B13" s="95" t="s">
        <v>104</v>
      </c>
      <c r="C13" s="28" t="s">
        <v>99</v>
      </c>
      <c r="D13" s="123">
        <v>280.29992750697369</v>
      </c>
      <c r="E13" s="123">
        <v>238.17376557010959</v>
      </c>
      <c r="F13" s="123">
        <v>229.98920635084849</v>
      </c>
      <c r="G13" s="123">
        <v>217.80879306901977</v>
      </c>
      <c r="H13" s="123">
        <v>194.32053906185891</v>
      </c>
      <c r="I13" s="123">
        <v>183.75230628674629</v>
      </c>
      <c r="J13" s="123">
        <v>166.35818320572963</v>
      </c>
      <c r="K13" s="123">
        <v>126.91942686336162</v>
      </c>
      <c r="N13" s="51"/>
      <c r="O13" s="51"/>
      <c r="P13" s="51"/>
      <c r="Q13" s="51"/>
      <c r="R13" s="51"/>
      <c r="S13" s="51"/>
      <c r="T13" s="51"/>
      <c r="U13" s="51"/>
    </row>
    <row r="14" spans="1:21">
      <c r="A14" s="57" t="s">
        <v>346</v>
      </c>
      <c r="B14" s="95" t="s">
        <v>105</v>
      </c>
      <c r="C14" s="28" t="s">
        <v>99</v>
      </c>
      <c r="D14" s="123">
        <v>98.972240005346833</v>
      </c>
      <c r="E14" s="123">
        <v>101.7574785086024</v>
      </c>
      <c r="F14" s="123">
        <v>112.9620877640096</v>
      </c>
      <c r="G14" s="123">
        <v>103.06073549513607</v>
      </c>
      <c r="H14" s="123">
        <v>99.725021807035361</v>
      </c>
      <c r="I14" s="123">
        <v>101.65154641382972</v>
      </c>
      <c r="J14" s="123">
        <v>101.85997677645635</v>
      </c>
      <c r="K14" s="123">
        <v>99.466142084466625</v>
      </c>
      <c r="N14" s="51"/>
      <c r="O14" s="51"/>
      <c r="P14" s="51"/>
      <c r="Q14" s="51"/>
      <c r="R14" s="51"/>
      <c r="S14" s="51"/>
      <c r="T14" s="51"/>
      <c r="U14" s="51"/>
    </row>
    <row r="15" spans="1:21">
      <c r="B15" s="81"/>
      <c r="C15" s="28"/>
      <c r="D15" s="124"/>
      <c r="E15" s="124"/>
      <c r="F15" s="124"/>
      <c r="G15" s="124"/>
      <c r="H15" s="124"/>
      <c r="I15" s="124"/>
      <c r="J15" s="124"/>
      <c r="K15" s="124"/>
      <c r="N15" s="51"/>
      <c r="O15" s="51"/>
      <c r="P15" s="51"/>
      <c r="Q15" s="51"/>
      <c r="R15" s="51"/>
      <c r="S15" s="51"/>
      <c r="T15" s="51"/>
      <c r="U15" s="51"/>
    </row>
    <row r="16" spans="1:21">
      <c r="B16" s="81" t="s">
        <v>571</v>
      </c>
      <c r="C16" s="28"/>
      <c r="D16" s="124"/>
      <c r="E16" s="124"/>
      <c r="F16" s="124"/>
      <c r="G16" s="124"/>
      <c r="H16" s="124"/>
      <c r="I16" s="124"/>
      <c r="J16" s="124"/>
      <c r="K16" s="124"/>
      <c r="N16" s="51"/>
      <c r="O16" s="51"/>
      <c r="P16" s="51"/>
      <c r="Q16" s="51"/>
      <c r="R16" s="51"/>
      <c r="S16" s="51"/>
      <c r="T16" s="51"/>
      <c r="U16" s="51"/>
    </row>
    <row r="17" spans="1:21">
      <c r="A17" s="57" t="s">
        <v>347</v>
      </c>
      <c r="B17" s="95" t="s">
        <v>106</v>
      </c>
      <c r="C17" s="28" t="s">
        <v>99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N17" s="51"/>
      <c r="O17" s="51"/>
      <c r="P17" s="51"/>
      <c r="Q17" s="51"/>
      <c r="R17" s="51"/>
      <c r="S17" s="51"/>
      <c r="T17" s="51"/>
      <c r="U17" s="51"/>
    </row>
    <row r="18" spans="1:21">
      <c r="A18" s="57" t="s">
        <v>348</v>
      </c>
      <c r="B18" s="95" t="s">
        <v>107</v>
      </c>
      <c r="C18" s="28" t="s">
        <v>99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N18" s="51"/>
      <c r="O18" s="51"/>
      <c r="P18" s="51"/>
      <c r="Q18" s="51"/>
      <c r="R18" s="51"/>
      <c r="S18" s="51"/>
      <c r="T18" s="51"/>
      <c r="U18" s="51"/>
    </row>
    <row r="19" spans="1:21">
      <c r="A19" s="57" t="s">
        <v>349</v>
      </c>
      <c r="B19" s="95" t="s">
        <v>108</v>
      </c>
      <c r="C19" s="28" t="s">
        <v>99</v>
      </c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N19" s="51"/>
      <c r="O19" s="51"/>
      <c r="P19" s="51"/>
      <c r="Q19" s="51"/>
      <c r="R19" s="51"/>
      <c r="S19" s="51"/>
      <c r="T19" s="51"/>
      <c r="U19" s="51"/>
    </row>
    <row r="20" spans="1:21">
      <c r="A20" s="57" t="s">
        <v>350</v>
      </c>
      <c r="B20" s="95" t="s">
        <v>109</v>
      </c>
      <c r="C20" s="28" t="s">
        <v>99</v>
      </c>
      <c r="D20" s="123">
        <v>8083.4775978576408</v>
      </c>
      <c r="E20" s="123">
        <v>8151.9761850000004</v>
      </c>
      <c r="F20" s="123">
        <v>8253.8318627311783</v>
      </c>
      <c r="G20" s="123">
        <v>8223.6226093063378</v>
      </c>
      <c r="H20" s="123">
        <v>8395.507525207493</v>
      </c>
      <c r="I20" s="123">
        <v>8320.9621576704776</v>
      </c>
      <c r="J20" s="123">
        <v>8206.8738617809995</v>
      </c>
      <c r="K20" s="123">
        <v>8145.21007417487</v>
      </c>
      <c r="N20" s="51"/>
      <c r="O20" s="51"/>
      <c r="P20" s="51"/>
      <c r="Q20" s="51"/>
      <c r="R20" s="51"/>
      <c r="S20" s="51"/>
      <c r="T20" s="51"/>
      <c r="U20" s="51"/>
    </row>
    <row r="21" spans="1:21">
      <c r="B21" s="95"/>
      <c r="C21" s="28"/>
      <c r="D21" s="124"/>
      <c r="E21" s="124"/>
      <c r="F21" s="124"/>
      <c r="G21" s="124"/>
      <c r="H21" s="124"/>
      <c r="I21" s="124"/>
      <c r="J21" s="124"/>
      <c r="K21" s="124"/>
      <c r="N21" s="51"/>
      <c r="O21" s="51"/>
      <c r="P21" s="51"/>
      <c r="Q21" s="51"/>
      <c r="R21" s="51"/>
      <c r="S21" s="51"/>
      <c r="T21" s="51"/>
      <c r="U21" s="51"/>
    </row>
    <row r="22" spans="1:21" ht="30">
      <c r="B22" s="81" t="s">
        <v>572</v>
      </c>
      <c r="C22" s="28"/>
      <c r="D22" s="124"/>
      <c r="E22" s="124"/>
      <c r="F22" s="124"/>
      <c r="G22" s="124"/>
      <c r="H22" s="124"/>
      <c r="I22" s="124"/>
      <c r="J22" s="124"/>
      <c r="K22" s="124"/>
      <c r="N22" s="51"/>
      <c r="O22" s="51"/>
      <c r="P22" s="51"/>
      <c r="Q22" s="51"/>
      <c r="R22" s="51"/>
      <c r="S22" s="51"/>
      <c r="T22" s="51"/>
      <c r="U22" s="51"/>
    </row>
    <row r="23" spans="1:21">
      <c r="A23" s="57" t="s">
        <v>351</v>
      </c>
      <c r="B23" s="95" t="s">
        <v>110</v>
      </c>
      <c r="C23" s="28" t="s">
        <v>99</v>
      </c>
      <c r="D23" s="123">
        <v>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N23" s="51"/>
      <c r="O23" s="51"/>
      <c r="P23" s="51"/>
      <c r="Q23" s="51"/>
      <c r="R23" s="51"/>
      <c r="S23" s="51"/>
      <c r="T23" s="51"/>
      <c r="U23" s="51"/>
    </row>
    <row r="24" spans="1:21">
      <c r="A24" s="57" t="s">
        <v>352</v>
      </c>
      <c r="B24" s="95" t="s">
        <v>111</v>
      </c>
      <c r="C24" s="28" t="s">
        <v>99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N24" s="51"/>
      <c r="O24" s="51"/>
      <c r="P24" s="51"/>
      <c r="Q24" s="51"/>
      <c r="R24" s="51"/>
      <c r="S24" s="51"/>
      <c r="T24" s="51"/>
      <c r="U24" s="51"/>
    </row>
    <row r="25" spans="1:21">
      <c r="A25" s="57" t="s">
        <v>353</v>
      </c>
      <c r="B25" s="95" t="s">
        <v>112</v>
      </c>
      <c r="C25" s="28" t="s">
        <v>99</v>
      </c>
      <c r="D25" s="123">
        <v>0</v>
      </c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N25" s="51"/>
      <c r="O25" s="51"/>
      <c r="P25" s="51"/>
      <c r="Q25" s="51"/>
      <c r="R25" s="51"/>
      <c r="S25" s="51"/>
      <c r="T25" s="51"/>
      <c r="U25" s="51"/>
    </row>
    <row r="26" spans="1:21" ht="30">
      <c r="A26" s="57" t="s">
        <v>354</v>
      </c>
      <c r="B26" s="95" t="s">
        <v>113</v>
      </c>
      <c r="C26" s="28" t="s">
        <v>99</v>
      </c>
      <c r="D26" s="123">
        <v>99.39</v>
      </c>
      <c r="E26" s="123">
        <v>99.2</v>
      </c>
      <c r="F26" s="123">
        <v>107.9</v>
      </c>
      <c r="G26" s="123">
        <v>111.51</v>
      </c>
      <c r="H26" s="123">
        <v>100.77</v>
      </c>
      <c r="I26" s="123">
        <v>103.74007473099995</v>
      </c>
      <c r="J26" s="123">
        <v>115.13</v>
      </c>
      <c r="K26" s="123">
        <v>119.93528270100001</v>
      </c>
      <c r="N26" s="51"/>
      <c r="O26" s="51"/>
      <c r="P26" s="51"/>
      <c r="Q26" s="51"/>
      <c r="R26" s="51"/>
      <c r="S26" s="51"/>
      <c r="T26" s="51"/>
      <c r="U26" s="51"/>
    </row>
    <row r="27" spans="1:21">
      <c r="A27" s="57" t="s">
        <v>355</v>
      </c>
      <c r="B27" s="95" t="s">
        <v>114</v>
      </c>
      <c r="C27" s="28" t="s">
        <v>99</v>
      </c>
      <c r="D27" s="125"/>
      <c r="E27" s="125"/>
      <c r="F27" s="125"/>
      <c r="G27" s="125"/>
      <c r="H27" s="125"/>
      <c r="I27" s="125"/>
      <c r="J27" s="125"/>
      <c r="K27" s="125"/>
      <c r="N27" s="51"/>
      <c r="O27" s="51"/>
      <c r="P27" s="51"/>
      <c r="Q27" s="51"/>
      <c r="R27" s="51"/>
      <c r="S27" s="51"/>
      <c r="T27" s="51"/>
      <c r="U27" s="51"/>
    </row>
    <row r="28" spans="1:21">
      <c r="A28" s="57" t="s">
        <v>356</v>
      </c>
      <c r="B28" s="95" t="s">
        <v>115</v>
      </c>
      <c r="C28" s="28" t="s">
        <v>99</v>
      </c>
      <c r="D28" s="125"/>
      <c r="E28" s="125"/>
      <c r="F28" s="125"/>
      <c r="G28" s="125"/>
      <c r="H28" s="125"/>
      <c r="I28" s="125"/>
      <c r="J28" s="125"/>
      <c r="K28" s="125"/>
      <c r="N28" s="51"/>
      <c r="O28" s="51"/>
      <c r="P28" s="51"/>
      <c r="Q28" s="51"/>
      <c r="R28" s="51"/>
      <c r="S28" s="51"/>
      <c r="T28" s="51"/>
      <c r="U28" s="51"/>
    </row>
    <row r="29" spans="1:21">
      <c r="A29" s="57" t="s">
        <v>357</v>
      </c>
      <c r="B29" s="95" t="s">
        <v>116</v>
      </c>
      <c r="C29" s="28" t="s">
        <v>99</v>
      </c>
      <c r="D29" s="125"/>
      <c r="E29" s="125"/>
      <c r="F29" s="125"/>
      <c r="G29" s="125"/>
      <c r="H29" s="125"/>
      <c r="I29" s="125"/>
      <c r="J29" s="125"/>
      <c r="K29" s="125"/>
      <c r="N29" s="51"/>
      <c r="O29" s="51"/>
      <c r="P29" s="51"/>
      <c r="Q29" s="51"/>
      <c r="R29" s="51"/>
      <c r="S29" s="51"/>
      <c r="T29" s="51"/>
      <c r="U29" s="51"/>
    </row>
    <row r="30" spans="1:21" ht="30">
      <c r="A30" s="57" t="s">
        <v>358</v>
      </c>
      <c r="B30" s="95" t="s">
        <v>117</v>
      </c>
      <c r="C30" s="28" t="s">
        <v>99</v>
      </c>
      <c r="D30" s="125"/>
      <c r="E30" s="125"/>
      <c r="F30" s="125"/>
      <c r="G30" s="125"/>
      <c r="H30" s="125"/>
      <c r="I30" s="125">
        <v>5.2510000000000003</v>
      </c>
      <c r="J30" s="125">
        <v>27.56</v>
      </c>
      <c r="K30" s="125">
        <v>52.632254047000004</v>
      </c>
      <c r="N30" s="51"/>
      <c r="O30" s="51"/>
      <c r="P30" s="51"/>
      <c r="Q30" s="51"/>
      <c r="R30" s="51"/>
      <c r="S30" s="51"/>
      <c r="T30" s="51"/>
      <c r="U30" s="51"/>
    </row>
    <row r="31" spans="1:21">
      <c r="B31" s="95"/>
      <c r="C31" s="28"/>
      <c r="D31" s="124"/>
      <c r="E31" s="124"/>
      <c r="F31" s="124"/>
      <c r="G31" s="124"/>
      <c r="H31" s="124"/>
      <c r="I31" s="124"/>
      <c r="J31" s="124"/>
      <c r="K31" s="124"/>
      <c r="N31" s="51"/>
      <c r="O31" s="51"/>
      <c r="P31" s="51"/>
      <c r="Q31" s="51"/>
      <c r="R31" s="51"/>
      <c r="S31" s="51"/>
      <c r="T31" s="51"/>
      <c r="U31" s="51"/>
    </row>
    <row r="32" spans="1:21">
      <c r="B32" s="81" t="s">
        <v>573</v>
      </c>
      <c r="C32" s="28"/>
      <c r="D32" s="124"/>
      <c r="E32" s="124"/>
      <c r="F32" s="124"/>
      <c r="G32" s="124"/>
      <c r="H32" s="124"/>
      <c r="I32" s="124"/>
      <c r="J32" s="124"/>
      <c r="K32" s="124"/>
      <c r="N32" s="51"/>
      <c r="O32" s="51"/>
      <c r="P32" s="51"/>
      <c r="Q32" s="51"/>
      <c r="R32" s="51"/>
      <c r="S32" s="51"/>
      <c r="T32" s="51"/>
      <c r="U32" s="51"/>
    </row>
    <row r="33" spans="1:21">
      <c r="A33" s="57" t="s">
        <v>359</v>
      </c>
      <c r="B33" s="95" t="s">
        <v>118</v>
      </c>
      <c r="C33" s="28" t="s">
        <v>99</v>
      </c>
      <c r="D33" s="123">
        <v>2952</v>
      </c>
      <c r="E33" s="123">
        <v>2915.9752792603804</v>
      </c>
      <c r="F33" s="123">
        <v>2982.6950551058044</v>
      </c>
      <c r="G33" s="123">
        <v>2982.0768746892963</v>
      </c>
      <c r="H33" s="123">
        <v>2959.5836474916759</v>
      </c>
      <c r="I33" s="123">
        <v>2903.7945490698635</v>
      </c>
      <c r="J33" s="123">
        <v>2852.5204344766798</v>
      </c>
      <c r="K33" s="123">
        <v>2740.9785850127196</v>
      </c>
      <c r="N33" s="51"/>
      <c r="O33" s="51"/>
      <c r="P33" s="51"/>
      <c r="Q33" s="51"/>
      <c r="R33" s="51"/>
      <c r="S33" s="51"/>
      <c r="T33" s="51"/>
      <c r="U33" s="51"/>
    </row>
    <row r="34" spans="1:21">
      <c r="A34" s="57" t="s">
        <v>360</v>
      </c>
      <c r="B34" s="95" t="s">
        <v>119</v>
      </c>
      <c r="C34" s="28" t="s">
        <v>99</v>
      </c>
      <c r="D34" s="123">
        <v>1429</v>
      </c>
      <c r="E34" s="123">
        <v>1448.1822409856645</v>
      </c>
      <c r="F34" s="123">
        <v>1447.7938300518535</v>
      </c>
      <c r="G34" s="123">
        <v>1396.1127862685287</v>
      </c>
      <c r="H34" s="123">
        <v>1395.8941554488056</v>
      </c>
      <c r="I34" s="123">
        <v>1359.8381161839861</v>
      </c>
      <c r="J34" s="123">
        <v>1355.644367039009</v>
      </c>
      <c r="K34" s="123">
        <v>1315.9212168652828</v>
      </c>
      <c r="N34" s="51"/>
      <c r="O34" s="51"/>
      <c r="P34" s="51"/>
      <c r="Q34" s="51"/>
      <c r="R34" s="51"/>
      <c r="S34" s="51"/>
      <c r="T34" s="51"/>
      <c r="U34" s="51"/>
    </row>
    <row r="35" spans="1:21">
      <c r="A35" s="57" t="s">
        <v>361</v>
      </c>
      <c r="B35" s="126" t="s">
        <v>120</v>
      </c>
      <c r="C35" s="28" t="s">
        <v>99</v>
      </c>
      <c r="D35" s="123">
        <v>2303</v>
      </c>
      <c r="E35" s="123">
        <v>2366.6513579549219</v>
      </c>
      <c r="F35" s="123">
        <v>2431.9694780354416</v>
      </c>
      <c r="G35" s="123">
        <v>2429.4811473123164</v>
      </c>
      <c r="H35" s="123">
        <v>2673.6310465150023</v>
      </c>
      <c r="I35" s="123">
        <v>2618.5254671924868</v>
      </c>
      <c r="J35" s="123">
        <v>2763.2002094313052</v>
      </c>
      <c r="K35" s="123">
        <v>2632.9194053557708</v>
      </c>
      <c r="N35" s="51"/>
      <c r="O35" s="51"/>
      <c r="P35" s="51"/>
      <c r="Q35" s="51"/>
      <c r="R35" s="51"/>
      <c r="S35" s="51"/>
      <c r="T35" s="51"/>
      <c r="U35" s="51"/>
    </row>
    <row r="36" spans="1:21">
      <c r="A36" s="57" t="s">
        <v>362</v>
      </c>
      <c r="B36" s="126" t="s">
        <v>121</v>
      </c>
      <c r="C36" s="28" t="s">
        <v>99</v>
      </c>
      <c r="D36" s="123">
        <v>1131</v>
      </c>
      <c r="E36" s="123">
        <v>1140.180221729936</v>
      </c>
      <c r="F36" s="123">
        <v>920.43922375083719</v>
      </c>
      <c r="G36" s="123">
        <v>1102.4308130370866</v>
      </c>
      <c r="H36" s="123">
        <v>1034.4493921102696</v>
      </c>
      <c r="I36" s="123">
        <v>1039.2725364976509</v>
      </c>
      <c r="J36" s="123">
        <v>1047.4027692254053</v>
      </c>
      <c r="K36" s="123">
        <v>1066.9858638228134</v>
      </c>
      <c r="N36" s="51"/>
      <c r="O36" s="51"/>
      <c r="P36" s="51"/>
      <c r="Q36" s="51"/>
      <c r="R36" s="51"/>
      <c r="S36" s="51"/>
      <c r="T36" s="51"/>
      <c r="U36" s="51"/>
    </row>
    <row r="37" spans="1:21">
      <c r="A37" s="57" t="s">
        <v>363</v>
      </c>
      <c r="B37" s="95" t="s">
        <v>122</v>
      </c>
      <c r="C37" s="28" t="s">
        <v>99</v>
      </c>
      <c r="D37" s="123">
        <v>100</v>
      </c>
      <c r="E37" s="123">
        <v>101.7574785086024</v>
      </c>
      <c r="F37" s="123">
        <v>112.9620877640096</v>
      </c>
      <c r="G37" s="123">
        <v>103.06073549513607</v>
      </c>
      <c r="H37" s="123">
        <v>99.725021807035361</v>
      </c>
      <c r="I37" s="123">
        <v>101.65154641382971</v>
      </c>
      <c r="J37" s="123">
        <v>101.85997677645634</v>
      </c>
      <c r="K37" s="123">
        <v>99.466142084466625</v>
      </c>
      <c r="N37" s="51"/>
      <c r="O37" s="51"/>
      <c r="P37" s="51"/>
      <c r="Q37" s="51"/>
      <c r="R37" s="51"/>
      <c r="S37" s="51"/>
      <c r="T37" s="51"/>
      <c r="U37" s="51"/>
    </row>
    <row r="38" spans="1:21">
      <c r="B38" s="95"/>
      <c r="C38" s="28"/>
      <c r="D38" s="124"/>
      <c r="E38" s="124"/>
      <c r="F38" s="124"/>
      <c r="G38" s="124"/>
      <c r="H38" s="124"/>
      <c r="I38" s="124"/>
      <c r="J38" s="124"/>
      <c r="K38" s="124"/>
      <c r="N38" s="51"/>
      <c r="O38" s="51"/>
      <c r="P38" s="51"/>
      <c r="Q38" s="51"/>
      <c r="R38" s="51"/>
      <c r="S38" s="51"/>
      <c r="T38" s="51"/>
      <c r="U38" s="51"/>
    </row>
    <row r="39" spans="1:21" ht="15.75">
      <c r="B39" s="94" t="s">
        <v>619</v>
      </c>
      <c r="C39" s="28"/>
      <c r="D39" s="124"/>
      <c r="E39" s="124"/>
      <c r="F39" s="124"/>
      <c r="G39" s="124"/>
      <c r="H39" s="124"/>
      <c r="I39" s="124"/>
      <c r="J39" s="124"/>
      <c r="K39" s="124"/>
      <c r="N39" s="51"/>
      <c r="O39" s="51"/>
      <c r="P39" s="51"/>
      <c r="Q39" s="51"/>
      <c r="R39" s="51"/>
      <c r="S39" s="51"/>
      <c r="T39" s="51"/>
      <c r="U39" s="51"/>
    </row>
    <row r="40" spans="1:21">
      <c r="B40" s="81" t="s">
        <v>574</v>
      </c>
      <c r="C40" s="28"/>
      <c r="D40" s="124"/>
      <c r="E40" s="124"/>
      <c r="F40" s="124"/>
      <c r="G40" s="124"/>
      <c r="H40" s="124"/>
      <c r="I40" s="124"/>
      <c r="J40" s="124"/>
      <c r="K40" s="124"/>
      <c r="N40" s="51"/>
      <c r="O40" s="51"/>
      <c r="P40" s="51"/>
      <c r="Q40" s="51"/>
      <c r="R40" s="51"/>
      <c r="S40" s="51"/>
      <c r="T40" s="51"/>
      <c r="U40" s="51"/>
    </row>
    <row r="41" spans="1:21">
      <c r="A41" s="57" t="s">
        <v>364</v>
      </c>
      <c r="B41" s="95" t="s">
        <v>123</v>
      </c>
      <c r="C41" s="28" t="s">
        <v>124</v>
      </c>
      <c r="D41" s="123">
        <v>549273</v>
      </c>
      <c r="E41" s="123">
        <v>553579</v>
      </c>
      <c r="F41" s="123">
        <v>558191</v>
      </c>
      <c r="G41" s="123">
        <v>562161</v>
      </c>
      <c r="H41" s="123">
        <v>566110</v>
      </c>
      <c r="I41" s="123">
        <v>573270.32258064521</v>
      </c>
      <c r="J41" s="123">
        <v>580052</v>
      </c>
      <c r="K41" s="123">
        <v>587851</v>
      </c>
      <c r="N41" s="51"/>
      <c r="O41" s="51"/>
      <c r="P41" s="51"/>
      <c r="Q41" s="51"/>
      <c r="R41" s="51"/>
      <c r="S41" s="51"/>
      <c r="T41" s="51"/>
      <c r="U41" s="51"/>
    </row>
    <row r="42" spans="1:21">
      <c r="A42" s="57" t="s">
        <v>365</v>
      </c>
      <c r="B42" s="95" t="s">
        <v>125</v>
      </c>
      <c r="C42" s="28" t="s">
        <v>124</v>
      </c>
      <c r="D42" s="123">
        <v>53147</v>
      </c>
      <c r="E42" s="123">
        <v>53880</v>
      </c>
      <c r="F42" s="123">
        <v>54700</v>
      </c>
      <c r="G42" s="123">
        <v>54190</v>
      </c>
      <c r="H42" s="123">
        <v>54680</v>
      </c>
      <c r="I42" s="123">
        <v>54521.451612903227</v>
      </c>
      <c r="J42" s="123">
        <v>53657</v>
      </c>
      <c r="K42" s="123">
        <v>54920</v>
      </c>
      <c r="N42" s="51"/>
      <c r="O42" s="51"/>
      <c r="P42" s="51"/>
      <c r="Q42" s="51"/>
      <c r="R42" s="51"/>
      <c r="S42" s="51"/>
      <c r="T42" s="51"/>
      <c r="U42" s="51"/>
    </row>
    <row r="43" spans="1:21">
      <c r="A43" s="57" t="s">
        <v>366</v>
      </c>
      <c r="B43" s="95" t="s">
        <v>126</v>
      </c>
      <c r="C43" s="28" t="s">
        <v>124</v>
      </c>
      <c r="D43" s="123">
        <v>3069</v>
      </c>
      <c r="E43" s="123">
        <v>3337</v>
      </c>
      <c r="F43" s="123">
        <v>3575</v>
      </c>
      <c r="G43" s="123">
        <v>3872</v>
      </c>
      <c r="H43" s="123">
        <v>4068</v>
      </c>
      <c r="I43" s="123">
        <v>4310</v>
      </c>
      <c r="J43" s="123">
        <v>4388</v>
      </c>
      <c r="K43" s="123">
        <v>4436</v>
      </c>
      <c r="N43" s="51"/>
      <c r="O43" s="51"/>
      <c r="P43" s="51"/>
      <c r="Q43" s="51"/>
      <c r="R43" s="51"/>
      <c r="S43" s="51"/>
      <c r="T43" s="51"/>
      <c r="U43" s="51"/>
    </row>
    <row r="44" spans="1:21">
      <c r="A44" s="57" t="s">
        <v>367</v>
      </c>
      <c r="B44" s="95" t="s">
        <v>127</v>
      </c>
      <c r="C44" s="28" t="s">
        <v>124</v>
      </c>
      <c r="D44" s="123">
        <v>81</v>
      </c>
      <c r="E44" s="123">
        <v>78</v>
      </c>
      <c r="F44" s="123">
        <v>76</v>
      </c>
      <c r="G44" s="123">
        <v>77</v>
      </c>
      <c r="H44" s="123">
        <v>77</v>
      </c>
      <c r="I44" s="123">
        <v>81</v>
      </c>
      <c r="J44" s="123">
        <v>85</v>
      </c>
      <c r="K44" s="123">
        <v>85</v>
      </c>
      <c r="N44" s="51"/>
      <c r="O44" s="51"/>
      <c r="P44" s="51"/>
      <c r="Q44" s="51"/>
      <c r="R44" s="51"/>
      <c r="S44" s="51"/>
      <c r="T44" s="51"/>
      <c r="U44" s="51"/>
    </row>
    <row r="45" spans="1:21">
      <c r="A45" s="57" t="s">
        <v>368</v>
      </c>
      <c r="B45" s="95" t="s">
        <v>128</v>
      </c>
      <c r="C45" s="28" t="s">
        <v>124</v>
      </c>
      <c r="D45" s="123">
        <v>7158</v>
      </c>
      <c r="E45" s="123">
        <v>7376</v>
      </c>
      <c r="F45" s="123">
        <v>7552</v>
      </c>
      <c r="G45" s="123">
        <v>7820</v>
      </c>
      <c r="H45" s="123">
        <v>8888</v>
      </c>
      <c r="I45" s="123">
        <v>8947</v>
      </c>
      <c r="J45" s="123">
        <v>9710</v>
      </c>
      <c r="K45" s="123">
        <v>9224</v>
      </c>
      <c r="N45" s="51"/>
      <c r="O45" s="51"/>
      <c r="P45" s="51"/>
      <c r="Q45" s="51"/>
      <c r="R45" s="51"/>
      <c r="S45" s="51"/>
      <c r="T45" s="51"/>
      <c r="U45" s="51"/>
    </row>
    <row r="46" spans="1:21">
      <c r="A46" s="57" t="s">
        <v>369</v>
      </c>
      <c r="B46" s="95" t="s">
        <v>129</v>
      </c>
      <c r="C46" s="28" t="s">
        <v>124</v>
      </c>
      <c r="D46" s="123">
        <v>0</v>
      </c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N46" s="51"/>
      <c r="O46" s="51"/>
      <c r="P46" s="51"/>
      <c r="Q46" s="51"/>
      <c r="R46" s="51"/>
      <c r="S46" s="51"/>
      <c r="T46" s="51"/>
      <c r="U46" s="51"/>
    </row>
    <row r="47" spans="1:21">
      <c r="B47" s="5" t="s">
        <v>130</v>
      </c>
      <c r="C47" s="28" t="s">
        <v>124</v>
      </c>
      <c r="D47" s="123">
        <v>612728</v>
      </c>
      <c r="E47" s="123">
        <v>618250</v>
      </c>
      <c r="F47" s="123">
        <v>624094</v>
      </c>
      <c r="G47" s="123">
        <v>628120</v>
      </c>
      <c r="H47" s="123">
        <v>633823</v>
      </c>
      <c r="I47" s="123">
        <v>641129.77419354848</v>
      </c>
      <c r="J47" s="123">
        <v>647892</v>
      </c>
      <c r="K47" s="123">
        <v>656516</v>
      </c>
      <c r="N47" s="51"/>
      <c r="O47" s="51"/>
      <c r="P47" s="51"/>
      <c r="Q47" s="51"/>
      <c r="R47" s="51"/>
      <c r="S47" s="51"/>
      <c r="T47" s="51"/>
      <c r="U47" s="51"/>
    </row>
    <row r="48" spans="1:21">
      <c r="B48" s="5"/>
      <c r="C48" s="28"/>
      <c r="D48" s="124"/>
      <c r="E48" s="124"/>
      <c r="F48" s="124"/>
      <c r="G48" s="124"/>
      <c r="H48" s="124"/>
      <c r="I48" s="124"/>
      <c r="J48" s="124"/>
      <c r="K48" s="124"/>
      <c r="N48" s="51"/>
      <c r="O48" s="51"/>
      <c r="P48" s="51"/>
      <c r="Q48" s="51"/>
      <c r="R48" s="51"/>
      <c r="S48" s="51"/>
      <c r="T48" s="51"/>
      <c r="U48" s="51"/>
    </row>
    <row r="49" spans="1:21">
      <c r="B49" s="81" t="s">
        <v>575</v>
      </c>
      <c r="C49" s="28"/>
      <c r="D49" s="124"/>
      <c r="E49" s="124"/>
      <c r="F49" s="124"/>
      <c r="G49" s="124"/>
      <c r="H49" s="124"/>
      <c r="I49" s="124"/>
      <c r="J49" s="124"/>
      <c r="K49" s="124"/>
      <c r="N49" s="51"/>
      <c r="O49" s="51"/>
      <c r="P49" s="51"/>
      <c r="Q49" s="51"/>
      <c r="R49" s="51"/>
      <c r="S49" s="51"/>
      <c r="T49" s="51"/>
      <c r="U49" s="51"/>
    </row>
    <row r="50" spans="1:21">
      <c r="A50" s="57" t="s">
        <v>370</v>
      </c>
      <c r="B50" s="95" t="s">
        <v>131</v>
      </c>
      <c r="C50" s="28" t="s">
        <v>124</v>
      </c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N50" s="51"/>
      <c r="O50" s="51"/>
      <c r="P50" s="51"/>
      <c r="Q50" s="51"/>
      <c r="R50" s="51"/>
      <c r="S50" s="51"/>
      <c r="T50" s="51"/>
      <c r="U50" s="51"/>
    </row>
    <row r="51" spans="1:21">
      <c r="A51" s="57" t="s">
        <v>371</v>
      </c>
      <c r="B51" s="95" t="s">
        <v>132</v>
      </c>
      <c r="C51" s="28" t="s">
        <v>124</v>
      </c>
      <c r="D51" s="123">
        <v>490182.36335988413</v>
      </c>
      <c r="E51" s="123">
        <v>494599.99607629428</v>
      </c>
      <c r="F51" s="123">
        <v>499275.20231700898</v>
      </c>
      <c r="G51" s="123">
        <v>574784</v>
      </c>
      <c r="H51" s="123">
        <v>584739</v>
      </c>
      <c r="I51" s="123">
        <v>564202.26573315798</v>
      </c>
      <c r="J51" s="123">
        <v>598426.93494606088</v>
      </c>
      <c r="K51" s="123">
        <v>622958.88580565294</v>
      </c>
      <c r="N51" s="51"/>
      <c r="O51" s="51"/>
      <c r="P51" s="51"/>
      <c r="Q51" s="51"/>
      <c r="R51" s="51"/>
      <c r="S51" s="51"/>
      <c r="T51" s="51"/>
      <c r="U51" s="51"/>
    </row>
    <row r="52" spans="1:21">
      <c r="A52" s="57" t="s">
        <v>372</v>
      </c>
      <c r="B52" s="95" t="s">
        <v>133</v>
      </c>
      <c r="C52" s="28" t="s">
        <v>124</v>
      </c>
      <c r="D52" s="123">
        <v>122545.63664011586</v>
      </c>
      <c r="E52" s="123">
        <v>123650.00392370572</v>
      </c>
      <c r="F52" s="123">
        <v>124818.79768299105</v>
      </c>
      <c r="G52" s="123">
        <v>53336</v>
      </c>
      <c r="H52" s="123">
        <v>49084</v>
      </c>
      <c r="I52" s="123">
        <v>76927.508460390454</v>
      </c>
      <c r="J52" s="123">
        <v>49465.065053939186</v>
      </c>
      <c r="K52" s="123">
        <v>33557.114194347123</v>
      </c>
      <c r="N52" s="51"/>
      <c r="O52" s="51"/>
      <c r="P52" s="51"/>
      <c r="Q52" s="51"/>
      <c r="R52" s="51"/>
      <c r="S52" s="51"/>
      <c r="T52" s="51"/>
      <c r="U52" s="51"/>
    </row>
    <row r="53" spans="1:21">
      <c r="A53" s="57" t="s">
        <v>373</v>
      </c>
      <c r="B53" s="95" t="s">
        <v>134</v>
      </c>
      <c r="C53" s="28" t="s">
        <v>124</v>
      </c>
      <c r="D53" s="123">
        <v>0</v>
      </c>
      <c r="E53" s="123">
        <v>0</v>
      </c>
      <c r="F53" s="123">
        <v>0</v>
      </c>
      <c r="G53" s="123">
        <v>0</v>
      </c>
      <c r="H53" s="123">
        <v>0</v>
      </c>
      <c r="I53" s="123">
        <v>0</v>
      </c>
      <c r="J53" s="123">
        <v>0</v>
      </c>
      <c r="K53" s="123">
        <v>0</v>
      </c>
      <c r="N53" s="51"/>
      <c r="O53" s="51"/>
      <c r="P53" s="51"/>
      <c r="Q53" s="51"/>
      <c r="R53" s="51"/>
      <c r="S53" s="51"/>
      <c r="T53" s="51"/>
      <c r="U53" s="51"/>
    </row>
    <row r="54" spans="1:21">
      <c r="B54" s="5" t="s">
        <v>130</v>
      </c>
      <c r="C54" s="28" t="s">
        <v>124</v>
      </c>
      <c r="D54" s="123">
        <v>612728</v>
      </c>
      <c r="E54" s="123">
        <v>618250</v>
      </c>
      <c r="F54" s="123">
        <v>624094</v>
      </c>
      <c r="G54" s="123">
        <v>628120</v>
      </c>
      <c r="H54" s="123">
        <v>633823</v>
      </c>
      <c r="I54" s="123">
        <v>641129.77419354848</v>
      </c>
      <c r="J54" s="123">
        <v>647892</v>
      </c>
      <c r="K54" s="123">
        <v>656516</v>
      </c>
      <c r="N54" s="51"/>
      <c r="O54" s="51"/>
      <c r="P54" s="51"/>
      <c r="Q54" s="51"/>
      <c r="R54" s="51"/>
      <c r="S54" s="51"/>
      <c r="T54" s="51"/>
      <c r="U54" s="51"/>
    </row>
    <row r="55" spans="1:21">
      <c r="B55" s="95"/>
      <c r="C55" s="28"/>
      <c r="D55" s="124"/>
      <c r="E55" s="124"/>
      <c r="F55" s="124"/>
      <c r="G55" s="124"/>
      <c r="H55" s="124"/>
      <c r="I55" s="124"/>
      <c r="J55" s="124"/>
      <c r="K55" s="124"/>
      <c r="N55" s="51"/>
      <c r="O55" s="51"/>
      <c r="P55" s="51"/>
      <c r="Q55" s="51"/>
      <c r="R55" s="51"/>
      <c r="S55" s="51"/>
      <c r="T55" s="51"/>
      <c r="U55" s="51"/>
    </row>
    <row r="56" spans="1:21">
      <c r="A56" s="127"/>
      <c r="B56" s="128" t="s">
        <v>576</v>
      </c>
      <c r="C56" s="129"/>
      <c r="D56" s="127"/>
      <c r="E56" s="127"/>
      <c r="F56" s="127"/>
      <c r="G56" s="127"/>
      <c r="H56" s="127"/>
      <c r="I56" s="127"/>
      <c r="J56" s="127"/>
      <c r="K56" s="127"/>
      <c r="N56" s="51"/>
      <c r="O56" s="51"/>
      <c r="P56" s="51"/>
      <c r="Q56" s="51"/>
      <c r="R56" s="51"/>
      <c r="S56" s="51"/>
      <c r="T56" s="51"/>
      <c r="U56" s="51"/>
    </row>
    <row r="57" spans="1:21">
      <c r="A57" s="57" t="s">
        <v>374</v>
      </c>
      <c r="B57" s="130" t="s">
        <v>135</v>
      </c>
      <c r="C57" s="129" t="s">
        <v>124</v>
      </c>
      <c r="D57" s="131"/>
      <c r="E57" s="131"/>
      <c r="F57" s="131"/>
      <c r="G57" s="131"/>
      <c r="H57" s="131"/>
      <c r="I57" s="131"/>
      <c r="J57" s="131"/>
      <c r="K57" s="131"/>
      <c r="N57" s="51"/>
      <c r="O57" s="51"/>
      <c r="P57" s="51"/>
      <c r="Q57" s="51"/>
      <c r="R57" s="51"/>
      <c r="S57" s="51"/>
      <c r="T57" s="51"/>
      <c r="U57" s="51"/>
    </row>
    <row r="58" spans="1:21">
      <c r="A58" s="57" t="s">
        <v>375</v>
      </c>
      <c r="B58" s="130" t="s">
        <v>136</v>
      </c>
      <c r="C58" s="129" t="s">
        <v>124</v>
      </c>
      <c r="D58" s="131"/>
      <c r="E58" s="131"/>
      <c r="F58" s="131"/>
      <c r="G58" s="131"/>
      <c r="H58" s="131"/>
      <c r="I58" s="131"/>
      <c r="J58" s="131"/>
      <c r="K58" s="131"/>
      <c r="N58" s="51"/>
      <c r="O58" s="51"/>
      <c r="P58" s="51"/>
      <c r="Q58" s="51"/>
      <c r="R58" s="51"/>
      <c r="S58" s="51"/>
      <c r="T58" s="51"/>
      <c r="U58" s="51"/>
    </row>
    <row r="59" spans="1:21">
      <c r="A59" s="57" t="s">
        <v>376</v>
      </c>
      <c r="B59" s="130" t="s">
        <v>137</v>
      </c>
      <c r="C59" s="129" t="s">
        <v>124</v>
      </c>
      <c r="D59" s="131"/>
      <c r="E59" s="131"/>
      <c r="F59" s="131"/>
      <c r="G59" s="131"/>
      <c r="H59" s="131"/>
      <c r="I59" s="131"/>
      <c r="J59" s="131"/>
      <c r="K59" s="131"/>
      <c r="N59" s="51"/>
      <c r="O59" s="51"/>
      <c r="P59" s="51"/>
      <c r="Q59" s="51"/>
      <c r="R59" s="51"/>
      <c r="S59" s="51"/>
      <c r="T59" s="51"/>
      <c r="U59" s="51"/>
    </row>
    <row r="60" spans="1:21">
      <c r="A60" s="57" t="s">
        <v>377</v>
      </c>
      <c r="B60" s="130" t="s">
        <v>138</v>
      </c>
      <c r="C60" s="129" t="s">
        <v>124</v>
      </c>
      <c r="D60" s="131"/>
      <c r="E60" s="131"/>
      <c r="F60" s="131"/>
      <c r="G60" s="131"/>
      <c r="H60" s="131"/>
      <c r="I60" s="131"/>
      <c r="J60" s="131"/>
      <c r="K60" s="131"/>
      <c r="N60" s="51"/>
      <c r="O60" s="51"/>
      <c r="P60" s="51"/>
      <c r="Q60" s="51"/>
      <c r="R60" s="51"/>
      <c r="S60" s="51"/>
      <c r="T60" s="51"/>
      <c r="U60" s="51"/>
    </row>
    <row r="61" spans="1:21">
      <c r="A61" s="57" t="s">
        <v>378</v>
      </c>
      <c r="B61" s="130" t="s">
        <v>139</v>
      </c>
      <c r="C61" s="129" t="s">
        <v>124</v>
      </c>
      <c r="D61" s="131"/>
      <c r="E61" s="131"/>
      <c r="F61" s="131"/>
      <c r="G61" s="131"/>
      <c r="H61" s="131"/>
      <c r="I61" s="131"/>
      <c r="J61" s="131"/>
      <c r="K61" s="131"/>
      <c r="N61" s="51"/>
      <c r="O61" s="51"/>
      <c r="P61" s="51"/>
      <c r="Q61" s="51"/>
      <c r="R61" s="51"/>
      <c r="S61" s="51"/>
      <c r="T61" s="51"/>
      <c r="U61" s="51"/>
    </row>
    <row r="62" spans="1:21">
      <c r="B62" s="132" t="s">
        <v>130</v>
      </c>
      <c r="C62" s="129" t="s">
        <v>124</v>
      </c>
      <c r="D62" s="131"/>
      <c r="E62" s="131"/>
      <c r="F62" s="131"/>
      <c r="G62" s="131"/>
      <c r="H62" s="131"/>
      <c r="I62" s="131"/>
      <c r="J62" s="131"/>
      <c r="K62" s="131"/>
      <c r="N62" s="51"/>
      <c r="O62" s="51"/>
      <c r="P62" s="51"/>
      <c r="Q62" s="51"/>
      <c r="R62" s="51"/>
      <c r="S62" s="51"/>
      <c r="T62" s="51"/>
      <c r="U62" s="51"/>
    </row>
    <row r="63" spans="1:21">
      <c r="A63" s="127"/>
      <c r="B63" s="132"/>
      <c r="C63" s="129"/>
      <c r="D63" s="133"/>
      <c r="E63" s="133"/>
      <c r="F63" s="133"/>
      <c r="G63" s="133"/>
      <c r="H63" s="133"/>
      <c r="I63" s="133"/>
      <c r="J63" s="133"/>
      <c r="K63" s="133"/>
      <c r="N63" s="51"/>
      <c r="O63" s="51"/>
      <c r="P63" s="51"/>
      <c r="Q63" s="51"/>
      <c r="R63" s="51"/>
      <c r="S63" s="51"/>
      <c r="T63" s="51"/>
      <c r="U63" s="51"/>
    </row>
    <row r="64" spans="1:21">
      <c r="B64" s="128" t="s">
        <v>577</v>
      </c>
      <c r="C64" s="28"/>
      <c r="N64" s="51"/>
      <c r="O64" s="51"/>
      <c r="P64" s="51"/>
      <c r="Q64" s="51"/>
      <c r="R64" s="51"/>
      <c r="S64" s="51"/>
      <c r="T64" s="51"/>
      <c r="U64" s="51"/>
    </row>
    <row r="65" spans="1:22" ht="30">
      <c r="A65" s="57" t="s">
        <v>379</v>
      </c>
      <c r="B65" s="130" t="s">
        <v>140</v>
      </c>
      <c r="C65" s="28" t="s">
        <v>124</v>
      </c>
      <c r="D65" s="134"/>
      <c r="E65" s="134"/>
      <c r="F65" s="134"/>
      <c r="G65" s="134"/>
      <c r="H65" s="134"/>
      <c r="I65" s="134"/>
      <c r="J65" s="134"/>
      <c r="K65" s="134"/>
      <c r="N65" s="51"/>
      <c r="O65" s="51"/>
      <c r="P65" s="51"/>
      <c r="Q65" s="51"/>
      <c r="R65" s="51"/>
      <c r="S65" s="51"/>
      <c r="T65" s="51"/>
      <c r="U65" s="51"/>
    </row>
    <row r="66" spans="1:22" ht="30">
      <c r="A66" s="57" t="s">
        <v>380</v>
      </c>
      <c r="B66" s="130" t="s">
        <v>141</v>
      </c>
      <c r="C66" s="28" t="s">
        <v>124</v>
      </c>
      <c r="D66" s="134"/>
      <c r="E66" s="134"/>
      <c r="F66" s="134"/>
      <c r="G66" s="134"/>
      <c r="H66" s="134"/>
      <c r="I66" s="134"/>
      <c r="J66" s="134"/>
      <c r="K66" s="134"/>
      <c r="N66" s="51"/>
      <c r="O66" s="51"/>
      <c r="P66" s="51"/>
      <c r="Q66" s="51"/>
      <c r="R66" s="51"/>
      <c r="S66" s="51"/>
      <c r="T66" s="51"/>
      <c r="U66" s="51"/>
    </row>
    <row r="67" spans="1:22">
      <c r="B67" s="130" t="s">
        <v>142</v>
      </c>
      <c r="C67" s="28" t="s">
        <v>124</v>
      </c>
      <c r="D67" s="135"/>
      <c r="E67" s="135"/>
      <c r="F67" s="135"/>
      <c r="G67" s="135"/>
      <c r="H67" s="135"/>
      <c r="I67" s="135"/>
      <c r="J67" s="135"/>
      <c r="K67" s="135"/>
      <c r="N67" s="51"/>
      <c r="O67" s="51"/>
      <c r="P67" s="51"/>
      <c r="Q67" s="51"/>
      <c r="R67" s="51"/>
      <c r="S67" s="51"/>
      <c r="T67" s="51"/>
      <c r="U67" s="51"/>
    </row>
    <row r="68" spans="1:22">
      <c r="B68" s="95"/>
      <c r="C68" s="28"/>
      <c r="D68" s="124"/>
      <c r="E68" s="124"/>
      <c r="F68" s="124"/>
      <c r="G68" s="124"/>
      <c r="H68" s="124"/>
      <c r="I68" s="124"/>
      <c r="J68" s="124"/>
      <c r="K68" s="124"/>
      <c r="N68" s="51"/>
      <c r="O68" s="51"/>
      <c r="P68" s="51"/>
      <c r="Q68" s="51"/>
      <c r="R68" s="51"/>
      <c r="S68" s="51"/>
      <c r="T68" s="51"/>
      <c r="U68" s="51"/>
    </row>
    <row r="69" spans="1:22" ht="15.75">
      <c r="B69" s="94" t="s">
        <v>620</v>
      </c>
      <c r="C69" s="28"/>
      <c r="D69" s="124"/>
      <c r="E69" s="124"/>
      <c r="F69" s="124"/>
      <c r="G69" s="124"/>
      <c r="H69" s="124"/>
      <c r="I69" s="124"/>
      <c r="J69" s="124"/>
      <c r="K69" s="124"/>
      <c r="N69" s="51"/>
      <c r="O69" s="51"/>
      <c r="P69" s="51"/>
      <c r="Q69" s="51"/>
      <c r="R69" s="51"/>
      <c r="S69" s="51"/>
      <c r="T69" s="51"/>
      <c r="U69" s="51"/>
    </row>
    <row r="70" spans="1:22" ht="30">
      <c r="B70" s="81" t="s">
        <v>578</v>
      </c>
      <c r="C70" s="28"/>
      <c r="D70" s="124"/>
      <c r="E70" s="124"/>
      <c r="F70" s="124"/>
      <c r="G70" s="124"/>
      <c r="H70" s="124"/>
      <c r="I70" s="124"/>
      <c r="J70" s="124"/>
      <c r="K70" s="124"/>
      <c r="N70" s="51"/>
      <c r="O70" s="51"/>
      <c r="P70" s="51"/>
      <c r="Q70" s="51"/>
      <c r="R70" s="51"/>
      <c r="S70" s="51"/>
      <c r="T70" s="51"/>
      <c r="U70" s="51"/>
    </row>
    <row r="71" spans="1:22">
      <c r="A71" s="57" t="s">
        <v>381</v>
      </c>
      <c r="B71" s="95" t="s">
        <v>143</v>
      </c>
      <c r="C71" s="28" t="s">
        <v>144</v>
      </c>
      <c r="D71" s="123">
        <v>1774</v>
      </c>
      <c r="E71" s="123">
        <v>1873</v>
      </c>
      <c r="F71" s="123">
        <v>2010</v>
      </c>
      <c r="G71" s="123">
        <v>2156</v>
      </c>
      <c r="H71" s="123">
        <v>2106</v>
      </c>
      <c r="I71" s="123">
        <v>2026</v>
      </c>
      <c r="J71" s="123">
        <v>1880</v>
      </c>
      <c r="K71" s="123">
        <v>2077</v>
      </c>
      <c r="N71" s="51"/>
      <c r="O71" s="51"/>
      <c r="P71" s="51"/>
      <c r="Q71" s="51"/>
      <c r="R71" s="51"/>
      <c r="S71" s="51"/>
      <c r="T71" s="51"/>
      <c r="U71" s="51"/>
      <c r="V71" s="51"/>
    </row>
    <row r="72" spans="1:22">
      <c r="A72" s="57" t="s">
        <v>382</v>
      </c>
      <c r="B72" s="95" t="s">
        <v>145</v>
      </c>
      <c r="C72" s="28" t="s">
        <v>144</v>
      </c>
      <c r="D72" s="136">
        <v>2046.8632424246257</v>
      </c>
      <c r="E72" s="136">
        <v>2084.8985736074828</v>
      </c>
      <c r="F72" s="136">
        <v>2161.3566858740892</v>
      </c>
      <c r="G72" s="136">
        <v>2131.8322519244784</v>
      </c>
      <c r="H72" s="136">
        <v>2155.9888314697369</v>
      </c>
      <c r="I72" s="136">
        <v>2243</v>
      </c>
      <c r="J72" s="136">
        <v>2317</v>
      </c>
      <c r="K72" s="136">
        <v>2393</v>
      </c>
      <c r="N72" s="51"/>
      <c r="O72" s="51"/>
      <c r="P72" s="51"/>
      <c r="Q72" s="51"/>
      <c r="R72" s="51"/>
      <c r="S72" s="51"/>
      <c r="T72" s="51"/>
      <c r="U72" s="51"/>
    </row>
    <row r="73" spans="1:22">
      <c r="A73" s="57" t="s">
        <v>383</v>
      </c>
      <c r="B73" s="95" t="s">
        <v>146</v>
      </c>
      <c r="C73" s="28" t="s">
        <v>144</v>
      </c>
      <c r="D73" s="136">
        <v>1891.0191023616701</v>
      </c>
      <c r="E73" s="136">
        <v>1921.6073631401885</v>
      </c>
      <c r="F73" s="136">
        <v>1997.3058507655569</v>
      </c>
      <c r="G73" s="136">
        <v>1969.46004236216</v>
      </c>
      <c r="H73" s="136">
        <v>1988.1186606946064</v>
      </c>
      <c r="I73" s="136">
        <v>2052</v>
      </c>
      <c r="J73" s="136">
        <v>2142</v>
      </c>
      <c r="K73" s="136">
        <v>2205</v>
      </c>
      <c r="N73" s="51"/>
      <c r="O73" s="51"/>
      <c r="P73" s="51"/>
      <c r="Q73" s="51"/>
      <c r="R73" s="51"/>
      <c r="S73" s="51"/>
      <c r="T73" s="51"/>
      <c r="U73" s="51"/>
    </row>
    <row r="74" spans="1:22">
      <c r="A74" s="57" t="s">
        <v>384</v>
      </c>
      <c r="B74" s="95" t="s">
        <v>147</v>
      </c>
      <c r="C74" s="28" t="s">
        <v>144</v>
      </c>
      <c r="D74" s="123">
        <v>1557.1</v>
      </c>
      <c r="E74" s="123">
        <v>1680.6</v>
      </c>
      <c r="F74" s="123">
        <v>1809.9</v>
      </c>
      <c r="G74" s="123">
        <v>1999.5</v>
      </c>
      <c r="H74" s="123">
        <v>1898.4</v>
      </c>
      <c r="I74" s="123">
        <v>1886.2</v>
      </c>
      <c r="J74" s="123">
        <v>1602.3</v>
      </c>
      <c r="K74" s="123">
        <v>1875</v>
      </c>
      <c r="N74" s="51"/>
      <c r="O74" s="51"/>
      <c r="P74" s="51"/>
      <c r="Q74" s="51"/>
      <c r="R74" s="51"/>
      <c r="S74" s="51"/>
      <c r="T74" s="51"/>
      <c r="U74" s="51"/>
    </row>
    <row r="75" spans="1:22">
      <c r="A75" s="57" t="s">
        <v>385</v>
      </c>
      <c r="B75" s="95" t="s">
        <v>148</v>
      </c>
      <c r="C75" s="28" t="s">
        <v>144</v>
      </c>
      <c r="D75" s="136">
        <v>1796.4636079781205</v>
      </c>
      <c r="E75" s="136">
        <v>1871.1113535072441</v>
      </c>
      <c r="F75" s="136">
        <v>1946.5668069826677</v>
      </c>
      <c r="G75" s="136">
        <v>1976.914083062218</v>
      </c>
      <c r="H75" s="136">
        <v>1943.8047104417867</v>
      </c>
      <c r="I75" s="136">
        <v>2089</v>
      </c>
      <c r="J75" s="136">
        <v>2060</v>
      </c>
      <c r="K75" s="136">
        <v>2160</v>
      </c>
      <c r="N75" s="51"/>
      <c r="O75" s="51"/>
      <c r="P75" s="51"/>
      <c r="Q75" s="51"/>
      <c r="R75" s="51"/>
      <c r="S75" s="51"/>
      <c r="T75" s="51"/>
      <c r="U75" s="51"/>
    </row>
    <row r="76" spans="1:22">
      <c r="A76" s="57" t="s">
        <v>386</v>
      </c>
      <c r="B76" s="95" t="s">
        <v>149</v>
      </c>
      <c r="C76" s="28" t="s">
        <v>144</v>
      </c>
      <c r="D76" s="136">
        <v>1659.6844034191943</v>
      </c>
      <c r="E76" s="136">
        <v>1724.5641585016717</v>
      </c>
      <c r="F76" s="136">
        <v>1798.8189075419459</v>
      </c>
      <c r="G76" s="136">
        <v>1826.3413034770028</v>
      </c>
      <c r="H76" s="136">
        <v>1792.4556756358306</v>
      </c>
      <c r="I76" s="136">
        <v>1911</v>
      </c>
      <c r="J76" s="136">
        <v>1911</v>
      </c>
      <c r="K76" s="136">
        <v>1990</v>
      </c>
      <c r="N76" s="51"/>
      <c r="O76" s="51"/>
      <c r="P76" s="51"/>
      <c r="Q76" s="51"/>
      <c r="R76" s="51"/>
      <c r="S76" s="51"/>
      <c r="T76" s="51"/>
      <c r="U76" s="51"/>
    </row>
    <row r="77" spans="1:22">
      <c r="B77" s="95"/>
      <c r="C77" s="28"/>
      <c r="D77" s="124"/>
      <c r="E77" s="124"/>
      <c r="F77" s="124"/>
      <c r="G77" s="124"/>
      <c r="H77" s="124"/>
      <c r="I77" s="124"/>
      <c r="J77" s="124"/>
      <c r="K77" s="124"/>
      <c r="N77" s="51"/>
      <c r="O77" s="51"/>
      <c r="P77" s="51"/>
      <c r="Q77" s="51"/>
      <c r="R77" s="51"/>
      <c r="S77" s="51"/>
      <c r="T77" s="51"/>
      <c r="U77" s="51"/>
    </row>
    <row r="78" spans="1:22" ht="30">
      <c r="B78" s="81" t="s">
        <v>579</v>
      </c>
      <c r="C78" s="28"/>
      <c r="D78" s="124"/>
      <c r="E78" s="124"/>
      <c r="F78" s="124"/>
      <c r="G78" s="124"/>
      <c r="H78" s="124"/>
      <c r="I78" s="124"/>
      <c r="J78" s="124"/>
      <c r="K78" s="124"/>
      <c r="N78" s="51"/>
      <c r="O78" s="51"/>
      <c r="P78" s="51"/>
      <c r="Q78" s="51"/>
      <c r="R78" s="51"/>
      <c r="S78" s="51"/>
      <c r="T78" s="51"/>
      <c r="U78" s="51"/>
    </row>
    <row r="79" spans="1:22">
      <c r="A79" s="57" t="s">
        <v>387</v>
      </c>
      <c r="B79" s="95" t="s">
        <v>143</v>
      </c>
      <c r="C79" s="28" t="s">
        <v>144</v>
      </c>
      <c r="D79" s="123">
        <v>1724.0199811842649</v>
      </c>
      <c r="E79" s="123">
        <v>1819.6447694965107</v>
      </c>
      <c r="F79" s="123">
        <v>1949.339970447654</v>
      </c>
      <c r="G79" s="123">
        <v>2136.7421945133965</v>
      </c>
      <c r="H79" s="123">
        <v>2038.7711396030913</v>
      </c>
      <c r="I79" s="123">
        <v>1975.2444353678161</v>
      </c>
      <c r="J79" s="123">
        <v>1814.848504</v>
      </c>
      <c r="K79" s="123">
        <v>2037.0437320000003</v>
      </c>
      <c r="N79" s="51"/>
      <c r="O79" s="51"/>
      <c r="P79" s="51"/>
      <c r="Q79" s="51"/>
      <c r="R79" s="51"/>
      <c r="S79" s="51"/>
      <c r="T79" s="51"/>
      <c r="U79" s="51"/>
    </row>
    <row r="80" spans="1:22">
      <c r="A80" s="57" t="s">
        <v>388</v>
      </c>
      <c r="B80" s="95" t="s">
        <v>145</v>
      </c>
      <c r="C80" s="28" t="s">
        <v>144</v>
      </c>
      <c r="D80" s="136">
        <v>1989.0431928743537</v>
      </c>
      <c r="E80" s="136">
        <v>2025.9181170742552</v>
      </c>
      <c r="F80" s="136">
        <v>2096.5359865174746</v>
      </c>
      <c r="G80" s="136">
        <v>2112.6060196083031</v>
      </c>
      <c r="H80" s="136">
        <v>2087.533156696828</v>
      </c>
      <c r="I80" s="136">
        <v>2187</v>
      </c>
      <c r="J80" s="136">
        <v>2236.4972031045672</v>
      </c>
      <c r="K80" s="136">
        <v>2347.26123696883</v>
      </c>
      <c r="N80" s="51"/>
      <c r="O80" s="51"/>
      <c r="P80" s="51"/>
      <c r="Q80" s="51"/>
      <c r="R80" s="51"/>
      <c r="S80" s="51"/>
      <c r="T80" s="51"/>
      <c r="U80" s="51"/>
    </row>
    <row r="81" spans="1:21">
      <c r="A81" s="57" t="s">
        <v>389</v>
      </c>
      <c r="B81" s="95" t="s">
        <v>146</v>
      </c>
      <c r="C81" s="28" t="s">
        <v>144</v>
      </c>
      <c r="D81" s="136">
        <v>1837.6013576228743</v>
      </c>
      <c r="E81" s="136">
        <v>1867.246311245221</v>
      </c>
      <c r="F81" s="136">
        <v>1937.4051583338846</v>
      </c>
      <c r="G81" s="136">
        <v>1951.698186907681</v>
      </c>
      <c r="H81" s="136">
        <v>1924.9930997177053</v>
      </c>
      <c r="I81" s="136">
        <v>2001</v>
      </c>
      <c r="J81" s="136">
        <v>2067.7932767457978</v>
      </c>
      <c r="K81" s="136">
        <v>2162.0567563904242</v>
      </c>
      <c r="N81" s="51"/>
      <c r="O81" s="51"/>
      <c r="P81" s="51"/>
      <c r="Q81" s="51"/>
      <c r="R81" s="51"/>
      <c r="S81" s="51"/>
      <c r="T81" s="51"/>
      <c r="U81" s="51"/>
    </row>
    <row r="82" spans="1:21">
      <c r="A82" s="57" t="s">
        <v>390</v>
      </c>
      <c r="B82" s="95" t="s">
        <v>147</v>
      </c>
      <c r="C82" s="28" t="s">
        <v>144</v>
      </c>
      <c r="D82" s="123">
        <v>1649.1</v>
      </c>
      <c r="E82" s="123">
        <v>1749.7</v>
      </c>
      <c r="F82" s="123">
        <v>1917.65</v>
      </c>
      <c r="G82" s="123">
        <v>2083.79</v>
      </c>
      <c r="H82" s="123">
        <v>2016.06</v>
      </c>
      <c r="I82" s="123">
        <v>1962.36</v>
      </c>
      <c r="J82" s="123">
        <v>1699.7</v>
      </c>
      <c r="K82" s="123">
        <v>1982</v>
      </c>
      <c r="N82" s="51"/>
      <c r="O82" s="51"/>
      <c r="P82" s="51"/>
      <c r="Q82" s="51"/>
      <c r="R82" s="51"/>
      <c r="S82" s="51"/>
      <c r="T82" s="51"/>
      <c r="U82" s="51"/>
    </row>
    <row r="83" spans="1:21">
      <c r="A83" s="57" t="s">
        <v>391</v>
      </c>
      <c r="B83" s="95" t="s">
        <v>148</v>
      </c>
      <c r="C83" s="28" t="s">
        <v>144</v>
      </c>
      <c r="D83" s="136">
        <v>1902.6062140624997</v>
      </c>
      <c r="E83" s="136">
        <v>1948.0444693750001</v>
      </c>
      <c r="F83" s="136">
        <v>2062.4530843749999</v>
      </c>
      <c r="G83" s="136">
        <v>2060.2519615625001</v>
      </c>
      <c r="H83" s="136">
        <v>2064.2788266610137</v>
      </c>
      <c r="I83" s="136">
        <v>2173.1131249999999</v>
      </c>
      <c r="J83" s="136">
        <v>2185.027</v>
      </c>
      <c r="K83" s="136">
        <v>2284</v>
      </c>
      <c r="N83" s="51"/>
      <c r="O83" s="51"/>
      <c r="P83" s="51"/>
      <c r="Q83" s="51"/>
      <c r="R83" s="51"/>
      <c r="S83" s="51"/>
      <c r="T83" s="51"/>
      <c r="U83" s="51"/>
    </row>
    <row r="84" spans="1:21">
      <c r="A84" s="57" t="s">
        <v>392</v>
      </c>
      <c r="B84" s="95" t="s">
        <v>149</v>
      </c>
      <c r="C84" s="28" t="s">
        <v>144</v>
      </c>
      <c r="D84" s="136">
        <v>1757.7455203124998</v>
      </c>
      <c r="E84" s="136">
        <v>1795.471800625</v>
      </c>
      <c r="F84" s="136">
        <v>1905.909209375</v>
      </c>
      <c r="G84" s="136">
        <v>1903.3317053124999</v>
      </c>
      <c r="H84" s="136">
        <v>1903.5494044576342</v>
      </c>
      <c r="I84" s="136">
        <v>1988.2081249999999</v>
      </c>
      <c r="J84" s="136">
        <v>2026.5119999999999</v>
      </c>
      <c r="K84" s="136">
        <v>2104</v>
      </c>
      <c r="N84" s="51"/>
      <c r="O84" s="51"/>
      <c r="P84" s="51"/>
      <c r="Q84" s="51"/>
      <c r="R84" s="51"/>
      <c r="S84" s="51"/>
      <c r="T84" s="51"/>
      <c r="U84" s="51"/>
    </row>
    <row r="85" spans="1:21">
      <c r="B85" s="95"/>
      <c r="C85" s="28"/>
      <c r="D85" s="124"/>
      <c r="E85" s="124"/>
      <c r="F85" s="124"/>
      <c r="G85" s="124"/>
      <c r="H85" s="124"/>
      <c r="I85" s="124"/>
      <c r="J85" s="124"/>
      <c r="K85" s="124"/>
      <c r="N85" s="51"/>
      <c r="O85" s="51"/>
      <c r="P85" s="51"/>
      <c r="Q85" s="51"/>
      <c r="R85" s="51"/>
      <c r="S85" s="51"/>
      <c r="T85" s="51"/>
      <c r="U85" s="51"/>
    </row>
    <row r="86" spans="1:21" ht="30">
      <c r="B86" s="81" t="s">
        <v>580</v>
      </c>
      <c r="C86" s="28"/>
      <c r="D86" s="124"/>
      <c r="E86" s="124"/>
      <c r="F86" s="124"/>
      <c r="G86" s="124"/>
      <c r="H86" s="124"/>
      <c r="I86" s="124"/>
      <c r="J86" s="124"/>
      <c r="K86" s="124"/>
      <c r="N86" s="51"/>
      <c r="O86" s="51"/>
      <c r="P86" s="51"/>
      <c r="Q86" s="51"/>
      <c r="R86" s="51"/>
      <c r="S86" s="51"/>
      <c r="T86" s="51"/>
      <c r="U86" s="51"/>
    </row>
    <row r="87" spans="1:21">
      <c r="A87" s="57" t="s">
        <v>393</v>
      </c>
      <c r="B87" s="95" t="s">
        <v>150</v>
      </c>
      <c r="C87" s="28" t="s">
        <v>151</v>
      </c>
      <c r="D87" s="123">
        <v>1787.7215906047879</v>
      </c>
      <c r="E87" s="123">
        <v>1881.8790527930771</v>
      </c>
      <c r="F87" s="123">
        <v>2026.008811776836</v>
      </c>
      <c r="G87" s="123">
        <v>2174.2972045223846</v>
      </c>
      <c r="H87" s="123">
        <v>2115.8356064869336</v>
      </c>
      <c r="I87" s="123">
        <v>2039.4359325808823</v>
      </c>
      <c r="J87" s="123">
        <v>1890.4229255385644</v>
      </c>
      <c r="K87" s="123">
        <v>2088.5934517959295</v>
      </c>
      <c r="N87" s="51"/>
      <c r="O87" s="51"/>
      <c r="P87" s="51"/>
      <c r="Q87" s="51"/>
      <c r="R87" s="51"/>
      <c r="S87" s="51"/>
      <c r="T87" s="51"/>
      <c r="U87" s="51"/>
    </row>
    <row r="88" spans="1:21">
      <c r="A88" s="57" t="s">
        <v>394</v>
      </c>
      <c r="B88" s="95" t="s">
        <v>152</v>
      </c>
      <c r="C88" s="28" t="s">
        <v>151</v>
      </c>
      <c r="D88" s="136">
        <v>2062.5372671750447</v>
      </c>
      <c r="E88" s="136">
        <v>2095.2072245677646</v>
      </c>
      <c r="F88" s="136">
        <v>2178.9941453445954</v>
      </c>
      <c r="G88" s="136">
        <v>2149.7368163956553</v>
      </c>
      <c r="H88" s="136">
        <v>2166.4408019436137</v>
      </c>
      <c r="I88" s="136">
        <v>2257.8786638680658</v>
      </c>
      <c r="J88" s="136">
        <v>2329.7037655057288</v>
      </c>
      <c r="K88" s="136">
        <v>2406.6613652786864</v>
      </c>
      <c r="N88" s="51"/>
      <c r="O88" s="51"/>
      <c r="P88" s="51"/>
      <c r="Q88" s="51"/>
      <c r="R88" s="51"/>
      <c r="S88" s="51"/>
      <c r="T88" s="51"/>
      <c r="U88" s="51"/>
    </row>
    <row r="89" spans="1:21">
      <c r="A89" s="57" t="s">
        <v>395</v>
      </c>
      <c r="B89" s="95" t="s">
        <v>153</v>
      </c>
      <c r="C89" s="28" t="s">
        <v>151</v>
      </c>
      <c r="D89" s="136">
        <v>1905.4997377063266</v>
      </c>
      <c r="E89" s="136">
        <v>1931.108630894928</v>
      </c>
      <c r="F89" s="136">
        <v>2013.6045955416121</v>
      </c>
      <c r="G89" s="136">
        <v>1986.0008955507953</v>
      </c>
      <c r="H89" s="136">
        <v>1997.7568170880131</v>
      </c>
      <c r="I89" s="136">
        <v>2065.6116889243294</v>
      </c>
      <c r="J89" s="136">
        <v>2153.7442666004617</v>
      </c>
      <c r="K89" s="136">
        <v>2216.7700736471897</v>
      </c>
      <c r="N89" s="51"/>
      <c r="O89" s="51"/>
      <c r="P89" s="51"/>
      <c r="Q89" s="51"/>
      <c r="R89" s="51"/>
      <c r="S89" s="51"/>
      <c r="T89" s="51"/>
      <c r="U89" s="51"/>
    </row>
    <row r="90" spans="1:21">
      <c r="A90" s="57" t="s">
        <v>396</v>
      </c>
      <c r="B90" s="95" t="s">
        <v>147</v>
      </c>
      <c r="C90" s="28" t="s">
        <v>151</v>
      </c>
      <c r="D90" s="123">
        <v>1569.0236221712435</v>
      </c>
      <c r="E90" s="123">
        <v>1688.9096218795298</v>
      </c>
      <c r="F90" s="123">
        <v>1824.6694446290614</v>
      </c>
      <c r="G90" s="123">
        <v>2016.2931490049466</v>
      </c>
      <c r="H90" s="123">
        <v>1907.6032112866196</v>
      </c>
      <c r="I90" s="123">
        <v>1898.7118750726463</v>
      </c>
      <c r="J90" s="123">
        <v>1611.0851719766199</v>
      </c>
      <c r="K90" s="123">
        <v>1884.8993301227088</v>
      </c>
      <c r="N90" s="51"/>
      <c r="O90" s="51"/>
      <c r="P90" s="51"/>
      <c r="Q90" s="51"/>
      <c r="R90" s="51"/>
      <c r="S90" s="51"/>
      <c r="T90" s="51"/>
      <c r="U90" s="51"/>
    </row>
    <row r="91" spans="1:21">
      <c r="A91" s="57" t="s">
        <v>397</v>
      </c>
      <c r="B91" s="95" t="s">
        <v>148</v>
      </c>
      <c r="C91" s="28" t="s">
        <v>154</v>
      </c>
      <c r="D91" s="136">
        <v>1810.2201767957431</v>
      </c>
      <c r="E91" s="136">
        <v>1880.3629468918332</v>
      </c>
      <c r="F91" s="136">
        <v>1962.4515026412673</v>
      </c>
      <c r="G91" s="136">
        <v>1993.5175403099504</v>
      </c>
      <c r="H91" s="136">
        <v>1953.2280382178728</v>
      </c>
      <c r="I91" s="136">
        <v>2102.8571238610743</v>
      </c>
      <c r="J91" s="136">
        <v>2071.2946728277084</v>
      </c>
      <c r="K91" s="136">
        <v>2171.9470542940448</v>
      </c>
      <c r="N91" s="51"/>
      <c r="O91" s="51"/>
      <c r="P91" s="51"/>
      <c r="Q91" s="51"/>
      <c r="R91" s="51"/>
      <c r="S91" s="51"/>
      <c r="T91" s="51"/>
      <c r="U91" s="51"/>
    </row>
    <row r="92" spans="1:21">
      <c r="A92" s="57" t="s">
        <v>398</v>
      </c>
      <c r="B92" s="95" t="s">
        <v>149</v>
      </c>
      <c r="C92" s="28" t="s">
        <v>151</v>
      </c>
      <c r="D92" s="136">
        <v>1672.3935741531716</v>
      </c>
      <c r="E92" s="136">
        <v>1733.0911584208307</v>
      </c>
      <c r="F92" s="136">
        <v>1813.4979264118556</v>
      </c>
      <c r="G92" s="136">
        <v>1841.6801490099749</v>
      </c>
      <c r="H92" s="136">
        <v>1801.1452817803613</v>
      </c>
      <c r="I92" s="136">
        <v>1923.676382814032</v>
      </c>
      <c r="J92" s="136">
        <v>1921.47772804551</v>
      </c>
      <c r="K92" s="136">
        <v>2000.5752786693665</v>
      </c>
      <c r="N92" s="51"/>
      <c r="O92" s="51"/>
      <c r="P92" s="51"/>
      <c r="Q92" s="51"/>
      <c r="R92" s="51"/>
      <c r="S92" s="51"/>
      <c r="T92" s="51"/>
      <c r="U92" s="51"/>
    </row>
    <row r="93" spans="1:21">
      <c r="B93" s="95"/>
      <c r="C93" s="28"/>
      <c r="D93" s="124"/>
      <c r="E93" s="124"/>
      <c r="F93" s="124"/>
      <c r="G93" s="124"/>
      <c r="H93" s="124"/>
      <c r="I93" s="124"/>
      <c r="J93" s="124"/>
      <c r="K93" s="124"/>
      <c r="N93" s="51"/>
      <c r="O93" s="51"/>
      <c r="P93" s="51"/>
      <c r="Q93" s="51"/>
      <c r="R93" s="51"/>
      <c r="S93" s="51"/>
      <c r="T93" s="51"/>
      <c r="U93" s="51"/>
    </row>
    <row r="94" spans="1:21" ht="30">
      <c r="B94" s="81" t="s">
        <v>581</v>
      </c>
      <c r="C94" s="28"/>
      <c r="D94" s="124"/>
      <c r="E94" s="124"/>
      <c r="F94" s="124"/>
      <c r="G94" s="124"/>
      <c r="H94" s="124"/>
      <c r="I94" s="124"/>
      <c r="J94" s="124"/>
      <c r="K94" s="124"/>
      <c r="N94" s="51"/>
      <c r="O94" s="51"/>
      <c r="P94" s="51"/>
      <c r="Q94" s="51"/>
      <c r="R94" s="51"/>
      <c r="S94" s="51"/>
      <c r="T94" s="51"/>
      <c r="U94" s="51"/>
    </row>
    <row r="95" spans="1:21">
      <c r="A95" s="57" t="s">
        <v>399</v>
      </c>
      <c r="B95" s="95" t="s">
        <v>150</v>
      </c>
      <c r="C95" s="28" t="s">
        <v>151</v>
      </c>
      <c r="D95" s="123">
        <v>1789.0982456612714</v>
      </c>
      <c r="E95" s="123">
        <v>1895.2608706623894</v>
      </c>
      <c r="F95" s="123">
        <v>2031.9701876702127</v>
      </c>
      <c r="G95" s="123">
        <v>2227.5473744136852</v>
      </c>
      <c r="H95" s="123">
        <v>2119.4473050316315</v>
      </c>
      <c r="I95" s="123">
        <v>2048.645836305011</v>
      </c>
      <c r="J95" s="123">
        <v>1876.0809994061733</v>
      </c>
      <c r="K95" s="123">
        <v>2104.3675229915198</v>
      </c>
      <c r="N95" s="51"/>
      <c r="O95" s="51"/>
      <c r="P95" s="51"/>
      <c r="Q95" s="51"/>
      <c r="R95" s="51"/>
      <c r="S95" s="51"/>
      <c r="T95" s="51"/>
      <c r="U95" s="51"/>
    </row>
    <row r="96" spans="1:21">
      <c r="A96" s="57" t="s">
        <v>400</v>
      </c>
      <c r="B96" s="95" t="s">
        <v>152</v>
      </c>
      <c r="C96" s="28" t="s">
        <v>151</v>
      </c>
      <c r="D96" s="136">
        <v>2064.1255471247664</v>
      </c>
      <c r="E96" s="136">
        <v>2110.1059936656084</v>
      </c>
      <c r="F96" s="136">
        <v>2185.4056688751734</v>
      </c>
      <c r="G96" s="136">
        <v>2202.3854839543287</v>
      </c>
      <c r="H96" s="136">
        <v>2170.1388827716164</v>
      </c>
      <c r="I96" s="136">
        <v>2268.5477701801856</v>
      </c>
      <c r="J96" s="136">
        <v>2311.9560110508969</v>
      </c>
      <c r="K96" s="136">
        <v>2424.8376396929048</v>
      </c>
      <c r="N96" s="51"/>
      <c r="O96" s="51"/>
      <c r="P96" s="51"/>
      <c r="Q96" s="51"/>
      <c r="R96" s="51"/>
      <c r="S96" s="51"/>
      <c r="T96" s="51"/>
      <c r="U96" s="51"/>
    </row>
    <row r="97" spans="1:21">
      <c r="A97" s="57" t="s">
        <v>401</v>
      </c>
      <c r="B97" s="95" t="s">
        <v>153</v>
      </c>
      <c r="C97" s="28" t="s">
        <v>151</v>
      </c>
      <c r="D97" s="136">
        <v>1906.9670891456267</v>
      </c>
      <c r="E97" s="136">
        <v>1944.8405144323631</v>
      </c>
      <c r="F97" s="136">
        <v>2019.5294729779182</v>
      </c>
      <c r="G97" s="136">
        <v>2034.6395475586223</v>
      </c>
      <c r="H97" s="136">
        <v>2001.1669569716673</v>
      </c>
      <c r="I97" s="136">
        <v>2075.4132384345185</v>
      </c>
      <c r="J97" s="136">
        <v>2137.5600600559123</v>
      </c>
      <c r="K97" s="136">
        <v>2233.5121968861076</v>
      </c>
      <c r="N97" s="51"/>
      <c r="O97" s="51"/>
      <c r="P97" s="51"/>
      <c r="Q97" s="51"/>
      <c r="R97" s="51"/>
      <c r="S97" s="51"/>
      <c r="T97" s="51"/>
      <c r="U97" s="51"/>
    </row>
    <row r="98" spans="1:21">
      <c r="A98" s="57" t="s">
        <v>402</v>
      </c>
      <c r="B98" s="95" t="s">
        <v>147</v>
      </c>
      <c r="C98" s="28" t="s">
        <v>151</v>
      </c>
      <c r="D98" s="123">
        <v>1711.3501868425624</v>
      </c>
      <c r="E98" s="123">
        <v>1822.4095169495893</v>
      </c>
      <c r="F98" s="123">
        <v>1998.9369168329069</v>
      </c>
      <c r="G98" s="123">
        <v>2172.3448693287792</v>
      </c>
      <c r="H98" s="123">
        <v>2095.837463450619</v>
      </c>
      <c r="I98" s="123">
        <v>2035.2826067235021</v>
      </c>
      <c r="J98" s="123">
        <v>1757.0474161686132</v>
      </c>
      <c r="K98" s="123">
        <v>2047.5046092771815</v>
      </c>
      <c r="N98" s="51"/>
      <c r="O98" s="51"/>
      <c r="P98" s="51"/>
      <c r="Q98" s="51"/>
      <c r="R98" s="51"/>
      <c r="S98" s="51"/>
      <c r="T98" s="51"/>
      <c r="U98" s="51"/>
    </row>
    <row r="99" spans="1:21">
      <c r="A99" s="57" t="s">
        <v>403</v>
      </c>
      <c r="B99" s="95" t="s">
        <v>148</v>
      </c>
      <c r="C99" s="28" t="s">
        <v>154</v>
      </c>
      <c r="D99" s="136">
        <v>1974.425747331077</v>
      </c>
      <c r="E99" s="136">
        <v>2028.9962738926747</v>
      </c>
      <c r="F99" s="136">
        <v>2149.8780327969548</v>
      </c>
      <c r="G99" s="136">
        <v>2147.8065343555977</v>
      </c>
      <c r="H99" s="136">
        <v>2145.9643561818789</v>
      </c>
      <c r="I99" s="136">
        <v>2253.867458445472</v>
      </c>
      <c r="J99" s="136">
        <v>2258.7492172787292</v>
      </c>
      <c r="K99" s="136">
        <v>2359.3151812959395</v>
      </c>
      <c r="N99" s="51"/>
      <c r="O99" s="51"/>
      <c r="P99" s="51"/>
      <c r="Q99" s="51"/>
      <c r="R99" s="51"/>
      <c r="S99" s="51"/>
      <c r="T99" s="51"/>
      <c r="U99" s="51"/>
    </row>
    <row r="100" spans="1:21">
      <c r="A100" s="57" t="s">
        <v>404</v>
      </c>
      <c r="B100" s="95" t="s">
        <v>149</v>
      </c>
      <c r="C100" s="28" t="s">
        <v>151</v>
      </c>
      <c r="D100" s="136">
        <v>1824.0968556233545</v>
      </c>
      <c r="E100" s="136">
        <v>1870.0833839364552</v>
      </c>
      <c r="F100" s="136">
        <v>1986.6984479709567</v>
      </c>
      <c r="G100" s="136">
        <v>1984.2176345343846</v>
      </c>
      <c r="H100" s="136">
        <v>1978.8747137443452</v>
      </c>
      <c r="I100" s="136">
        <v>2062.0912652922229</v>
      </c>
      <c r="J100" s="136">
        <v>2094.8859642493899</v>
      </c>
      <c r="K100" s="136">
        <v>2173.1596159116066</v>
      </c>
      <c r="N100" s="51"/>
      <c r="O100" s="51"/>
      <c r="P100" s="51"/>
      <c r="Q100" s="51"/>
      <c r="R100" s="51"/>
      <c r="S100" s="51"/>
      <c r="T100" s="51"/>
      <c r="U100" s="51"/>
    </row>
    <row r="101" spans="1:21">
      <c r="B101" s="95"/>
      <c r="C101" s="28"/>
      <c r="D101" s="124"/>
      <c r="E101" s="124"/>
      <c r="F101" s="124"/>
      <c r="G101" s="124"/>
      <c r="H101" s="124"/>
      <c r="I101" s="124"/>
      <c r="J101" s="124"/>
      <c r="K101" s="124"/>
      <c r="N101" s="51"/>
      <c r="O101" s="51"/>
      <c r="P101" s="51"/>
      <c r="Q101" s="51"/>
      <c r="R101" s="51"/>
      <c r="S101" s="51"/>
      <c r="T101" s="51"/>
      <c r="U101" s="51"/>
    </row>
    <row r="102" spans="1:21">
      <c r="B102" s="137" t="s">
        <v>582</v>
      </c>
      <c r="C102" s="28"/>
      <c r="D102" s="124"/>
      <c r="E102" s="124"/>
      <c r="F102" s="124"/>
      <c r="G102" s="124"/>
      <c r="H102" s="124"/>
      <c r="I102" s="124"/>
      <c r="J102" s="124"/>
      <c r="K102" s="124"/>
      <c r="N102" s="51"/>
      <c r="O102" s="51"/>
      <c r="P102" s="51"/>
      <c r="Q102" s="51"/>
      <c r="R102" s="51"/>
      <c r="S102" s="51"/>
      <c r="T102" s="51"/>
      <c r="U102" s="51"/>
    </row>
    <row r="103" spans="1:21">
      <c r="A103" s="57" t="s">
        <v>405</v>
      </c>
      <c r="B103" s="138" t="s">
        <v>155</v>
      </c>
      <c r="C103" s="28" t="s">
        <v>156</v>
      </c>
      <c r="D103" s="84">
        <v>0.96362510296188186</v>
      </c>
      <c r="E103" s="84">
        <v>0.96010253662892797</v>
      </c>
      <c r="F103" s="84">
        <v>0.95933492640593332</v>
      </c>
      <c r="G103" s="84">
        <v>0.95923535411937544</v>
      </c>
      <c r="H103" s="84">
        <v>0.96193528131743944</v>
      </c>
      <c r="I103" s="84">
        <v>0.96417077093736059</v>
      </c>
      <c r="J103" s="84">
        <v>0.96736148629747065</v>
      </c>
      <c r="K103" s="84">
        <v>0.96</v>
      </c>
      <c r="N103" s="51"/>
      <c r="O103" s="51"/>
      <c r="P103" s="51"/>
      <c r="Q103" s="51"/>
      <c r="R103" s="51"/>
      <c r="S103" s="51"/>
      <c r="T103" s="51"/>
      <c r="U103" s="51"/>
    </row>
    <row r="104" spans="1:21">
      <c r="A104" s="57" t="s">
        <v>406</v>
      </c>
      <c r="B104" s="139" t="s">
        <v>627</v>
      </c>
      <c r="C104" s="28" t="s">
        <v>156</v>
      </c>
      <c r="D104" s="84">
        <v>0.89</v>
      </c>
      <c r="E104" s="84">
        <v>0.89</v>
      </c>
      <c r="F104" s="84">
        <v>0.89</v>
      </c>
      <c r="G104" s="84">
        <v>0.89</v>
      </c>
      <c r="H104" s="84">
        <v>0.89</v>
      </c>
      <c r="I104" s="84">
        <v>0.89</v>
      </c>
      <c r="J104" s="84">
        <v>0.89</v>
      </c>
      <c r="K104" s="84">
        <v>0.89</v>
      </c>
      <c r="N104" s="51"/>
      <c r="O104" s="51"/>
      <c r="P104" s="51"/>
      <c r="Q104" s="51"/>
      <c r="R104" s="51"/>
      <c r="S104" s="51"/>
      <c r="T104" s="51"/>
      <c r="U104" s="51"/>
    </row>
    <row r="105" spans="1:21">
      <c r="A105" s="57" t="s">
        <v>407</v>
      </c>
      <c r="B105" s="139" t="s">
        <v>157</v>
      </c>
      <c r="C105" s="28" t="s">
        <v>156</v>
      </c>
      <c r="D105" s="84">
        <v>0.9364808538689805</v>
      </c>
      <c r="E105" s="84">
        <v>0.94125384243271171</v>
      </c>
      <c r="F105" s="84">
        <v>0.94705322784376444</v>
      </c>
      <c r="G105" s="84">
        <v>0.9514945865918718</v>
      </c>
      <c r="H105" s="84">
        <v>0.95420893544646546</v>
      </c>
      <c r="I105" s="84">
        <v>0.95120065959127997</v>
      </c>
      <c r="J105" s="84">
        <v>0.94838358316308358</v>
      </c>
      <c r="K105" s="84">
        <v>0.96051286546573267</v>
      </c>
      <c r="N105" s="51"/>
      <c r="O105" s="51"/>
      <c r="P105" s="51"/>
      <c r="Q105" s="51"/>
      <c r="R105" s="51"/>
      <c r="S105" s="51"/>
      <c r="T105" s="51"/>
      <c r="U105" s="51"/>
    </row>
    <row r="106" spans="1:21">
      <c r="A106" s="57" t="s">
        <v>408</v>
      </c>
      <c r="B106" s="139" t="s">
        <v>626</v>
      </c>
      <c r="C106" s="28" t="s">
        <v>156</v>
      </c>
      <c r="D106" s="84">
        <v>0.89</v>
      </c>
      <c r="E106" s="84">
        <v>0.89</v>
      </c>
      <c r="F106" s="84">
        <v>0.89</v>
      </c>
      <c r="G106" s="84">
        <v>0.89</v>
      </c>
      <c r="H106" s="84">
        <v>0.89</v>
      </c>
      <c r="I106" s="84">
        <v>0.89</v>
      </c>
      <c r="J106" s="84">
        <v>0.89</v>
      </c>
      <c r="K106" s="84">
        <v>0.89</v>
      </c>
      <c r="N106" s="51"/>
      <c r="O106" s="51"/>
      <c r="P106" s="51"/>
      <c r="Q106" s="51"/>
      <c r="R106" s="51"/>
      <c r="S106" s="51"/>
      <c r="T106" s="51"/>
      <c r="U106" s="51"/>
    </row>
    <row r="107" spans="1:21">
      <c r="A107" s="57" t="s">
        <v>409</v>
      </c>
      <c r="B107" s="139" t="s">
        <v>158</v>
      </c>
      <c r="C107" s="28" t="s">
        <v>156</v>
      </c>
      <c r="D107" s="84">
        <v>0.9664822861141884</v>
      </c>
      <c r="E107" s="84">
        <v>0.98043621373868062</v>
      </c>
      <c r="F107" s="84">
        <v>0.96619299106186773</v>
      </c>
      <c r="G107" s="84">
        <v>0.96882621029919946</v>
      </c>
      <c r="H107" s="84">
        <v>0.97904236018453872</v>
      </c>
      <c r="I107" s="84">
        <v>0.96934126136729704</v>
      </c>
      <c r="J107" s="84">
        <v>0.97212002629975902</v>
      </c>
      <c r="K107" s="84">
        <v>0.97132692138726073</v>
      </c>
      <c r="N107" s="51"/>
      <c r="O107" s="51"/>
      <c r="P107" s="51"/>
      <c r="Q107" s="51"/>
      <c r="R107" s="51"/>
      <c r="S107" s="51"/>
      <c r="T107" s="51"/>
      <c r="U107" s="51"/>
    </row>
    <row r="108" spans="1:21">
      <c r="A108" s="57" t="s">
        <v>410</v>
      </c>
      <c r="B108" s="139" t="s">
        <v>159</v>
      </c>
      <c r="C108" s="28" t="s">
        <v>156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N108" s="51"/>
      <c r="O108" s="51"/>
      <c r="P108" s="51"/>
      <c r="Q108" s="51"/>
      <c r="R108" s="51"/>
      <c r="S108" s="51"/>
      <c r="T108" s="51"/>
      <c r="U108" s="51"/>
    </row>
    <row r="109" spans="1:21">
      <c r="A109" s="57" t="s">
        <v>411</v>
      </c>
      <c r="B109" s="139" t="s">
        <v>160</v>
      </c>
      <c r="C109" s="28" t="s">
        <v>156</v>
      </c>
      <c r="D109" s="84">
        <v>0.99232453717799207</v>
      </c>
      <c r="E109" s="84">
        <v>0.99528181538558558</v>
      </c>
      <c r="F109" s="84">
        <v>0.99209835037055139</v>
      </c>
      <c r="G109" s="84">
        <v>0.99158477300880132</v>
      </c>
      <c r="H109" s="84">
        <v>0.99535143162503803</v>
      </c>
      <c r="I109" s="84">
        <v>0.99341193691538066</v>
      </c>
      <c r="J109" s="84">
        <v>0.99448645834868143</v>
      </c>
      <c r="K109" s="84">
        <v>0.99499999999999988</v>
      </c>
      <c r="N109" s="51"/>
      <c r="O109" s="51"/>
      <c r="P109" s="51"/>
      <c r="Q109" s="51"/>
      <c r="R109" s="51"/>
      <c r="S109" s="51"/>
      <c r="T109" s="51"/>
      <c r="U109" s="51"/>
    </row>
    <row r="110" spans="1:21">
      <c r="A110" s="57" t="s">
        <v>412</v>
      </c>
      <c r="B110" s="139" t="s">
        <v>161</v>
      </c>
      <c r="C110" s="28" t="s">
        <v>156</v>
      </c>
      <c r="D110" s="84">
        <v>0</v>
      </c>
      <c r="E110" s="84">
        <v>0</v>
      </c>
      <c r="F110" s="84">
        <v>0</v>
      </c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N110" s="51"/>
      <c r="O110" s="51"/>
      <c r="P110" s="51"/>
      <c r="Q110" s="51"/>
      <c r="R110" s="51"/>
      <c r="S110" s="51"/>
      <c r="T110" s="51"/>
      <c r="U110" s="51"/>
    </row>
    <row r="111" spans="1:21">
      <c r="A111" s="57" t="s">
        <v>413</v>
      </c>
      <c r="B111" s="130" t="s">
        <v>162</v>
      </c>
      <c r="C111" s="28" t="s">
        <v>156</v>
      </c>
      <c r="D111" s="140"/>
      <c r="E111" s="140"/>
      <c r="F111" s="140"/>
      <c r="G111" s="140"/>
      <c r="H111" s="140"/>
      <c r="I111" s="140"/>
      <c r="J111" s="140"/>
      <c r="K111" s="140"/>
      <c r="N111" s="51"/>
      <c r="O111" s="51"/>
      <c r="P111" s="51"/>
      <c r="Q111" s="51"/>
      <c r="R111" s="51"/>
      <c r="S111" s="51"/>
      <c r="T111" s="51"/>
      <c r="U111" s="51"/>
    </row>
    <row r="112" spans="1:21">
      <c r="A112" s="57" t="s">
        <v>414</v>
      </c>
      <c r="B112" s="130" t="s">
        <v>163</v>
      </c>
      <c r="C112" s="28" t="s">
        <v>156</v>
      </c>
      <c r="D112" s="141"/>
      <c r="E112" s="141"/>
      <c r="F112" s="141"/>
      <c r="G112" s="141"/>
      <c r="H112" s="141"/>
      <c r="I112" s="141"/>
      <c r="J112" s="141"/>
      <c r="K112" s="141"/>
      <c r="N112" s="51"/>
      <c r="O112" s="51"/>
      <c r="P112" s="51"/>
      <c r="Q112" s="51"/>
      <c r="R112" s="51"/>
      <c r="S112" s="51"/>
      <c r="T112" s="51"/>
      <c r="U112" s="51"/>
    </row>
    <row r="113" spans="1:21">
      <c r="A113" s="57" t="s">
        <v>415</v>
      </c>
      <c r="B113" s="130" t="s">
        <v>164</v>
      </c>
      <c r="C113" s="28" t="s">
        <v>156</v>
      </c>
      <c r="D113" s="140"/>
      <c r="E113" s="140"/>
      <c r="F113" s="140"/>
      <c r="G113" s="140"/>
      <c r="H113" s="140"/>
      <c r="I113" s="140"/>
      <c r="J113" s="140"/>
      <c r="K113" s="140"/>
      <c r="N113" s="51"/>
      <c r="O113" s="51"/>
      <c r="P113" s="51"/>
      <c r="Q113" s="51"/>
      <c r="R113" s="51"/>
      <c r="S113" s="51"/>
      <c r="T113" s="51"/>
      <c r="U113" s="51"/>
    </row>
    <row r="114" spans="1:21">
      <c r="A114" s="57" t="s">
        <v>416</v>
      </c>
      <c r="B114" s="130" t="s">
        <v>165</v>
      </c>
      <c r="C114" s="28" t="s">
        <v>156</v>
      </c>
      <c r="D114" s="84">
        <v>0.898876404494382</v>
      </c>
      <c r="E114" s="84">
        <v>0.90735334899908004</v>
      </c>
      <c r="F114" s="84">
        <v>0.91456600054124071</v>
      </c>
      <c r="G114" s="84">
        <v>0.91006179641760743</v>
      </c>
      <c r="H114" s="84">
        <v>0.93965780000666821</v>
      </c>
      <c r="I114" s="84">
        <v>0.94210612457490928</v>
      </c>
      <c r="J114" s="84">
        <v>0.9417230618226089</v>
      </c>
      <c r="K114" s="84">
        <v>0.94266414034401924</v>
      </c>
      <c r="N114" s="51"/>
      <c r="O114" s="51"/>
      <c r="P114" s="51"/>
      <c r="Q114" s="51"/>
      <c r="R114" s="51"/>
      <c r="S114" s="51"/>
      <c r="T114" s="51"/>
      <c r="U114" s="51"/>
    </row>
    <row r="115" spans="1:21">
      <c r="A115" s="57" t="s">
        <v>417</v>
      </c>
      <c r="B115" s="130" t="s">
        <v>166</v>
      </c>
      <c r="C115" s="28" t="s">
        <v>156</v>
      </c>
      <c r="D115" s="140"/>
      <c r="E115" s="140"/>
      <c r="F115" s="140"/>
      <c r="G115" s="140"/>
      <c r="H115" s="140"/>
      <c r="I115" s="140"/>
      <c r="J115" s="140"/>
      <c r="K115" s="140"/>
      <c r="N115" s="51"/>
      <c r="O115" s="51"/>
      <c r="P115" s="51"/>
      <c r="Q115" s="51"/>
      <c r="R115" s="51"/>
      <c r="S115" s="51"/>
      <c r="T115" s="51"/>
      <c r="U115" s="51"/>
    </row>
    <row r="116" spans="1:21">
      <c r="B116" s="139"/>
      <c r="C116" s="28"/>
      <c r="D116" s="90"/>
      <c r="E116" s="90"/>
      <c r="F116" s="90"/>
      <c r="G116" s="90"/>
      <c r="H116" s="90"/>
      <c r="I116" s="90"/>
      <c r="J116" s="90"/>
      <c r="K116" s="90"/>
      <c r="N116" s="51"/>
      <c r="O116" s="51"/>
      <c r="P116" s="51"/>
      <c r="Q116" s="51"/>
      <c r="R116" s="51"/>
      <c r="S116" s="51"/>
      <c r="T116" s="51"/>
      <c r="U116" s="51"/>
    </row>
    <row r="117" spans="1:21">
      <c r="B117" s="81" t="s">
        <v>583</v>
      </c>
      <c r="C117" s="28"/>
      <c r="N117" s="51"/>
      <c r="O117" s="51"/>
      <c r="P117" s="51"/>
      <c r="Q117" s="51"/>
      <c r="R117" s="51"/>
      <c r="S117" s="51"/>
      <c r="T117" s="51"/>
      <c r="U117" s="51"/>
    </row>
    <row r="118" spans="1:21">
      <c r="A118" s="57" t="s">
        <v>418</v>
      </c>
      <c r="B118" s="95" t="s">
        <v>167</v>
      </c>
      <c r="C118" s="28" t="s">
        <v>144</v>
      </c>
      <c r="D118" s="123">
        <v>0</v>
      </c>
      <c r="E118" s="123">
        <v>0</v>
      </c>
      <c r="F118" s="123">
        <v>0</v>
      </c>
      <c r="G118" s="123">
        <v>0</v>
      </c>
      <c r="H118" s="123">
        <v>0</v>
      </c>
      <c r="I118" s="123">
        <v>0</v>
      </c>
      <c r="J118" s="123">
        <v>0</v>
      </c>
      <c r="K118" s="123">
        <v>0</v>
      </c>
      <c r="N118" s="51"/>
      <c r="O118" s="51"/>
      <c r="P118" s="51"/>
      <c r="Q118" s="51"/>
      <c r="R118" s="51"/>
      <c r="S118" s="51"/>
      <c r="T118" s="51"/>
      <c r="U118" s="51"/>
    </row>
    <row r="119" spans="1:21">
      <c r="A119" s="57" t="s">
        <v>419</v>
      </c>
      <c r="B119" s="95" t="s">
        <v>168</v>
      </c>
      <c r="C119" s="28" t="s">
        <v>144</v>
      </c>
      <c r="D119" s="123">
        <v>40.833768333333332</v>
      </c>
      <c r="E119" s="123">
        <v>43.192565000000002</v>
      </c>
      <c r="F119" s="123">
        <v>43.221708214285719</v>
      </c>
      <c r="G119" s="123">
        <v>39.647791333333338</v>
      </c>
      <c r="H119" s="123">
        <v>40.213857857142855</v>
      </c>
      <c r="I119" s="123">
        <v>35.957612857142855</v>
      </c>
      <c r="J119" s="123">
        <v>35.158722142857144</v>
      </c>
      <c r="K119" s="123">
        <v>34.04</v>
      </c>
      <c r="N119" s="51"/>
      <c r="O119" s="51"/>
      <c r="P119" s="51"/>
      <c r="Q119" s="51"/>
      <c r="R119" s="51"/>
      <c r="S119" s="51"/>
      <c r="T119" s="51"/>
      <c r="U119" s="51"/>
    </row>
    <row r="120" spans="1:21">
      <c r="B120" s="81" t="s">
        <v>584</v>
      </c>
      <c r="C120" s="28"/>
      <c r="N120" s="51"/>
      <c r="O120" s="51"/>
      <c r="P120" s="51"/>
      <c r="Q120" s="51"/>
      <c r="R120" s="51"/>
      <c r="S120" s="51"/>
      <c r="T120" s="51"/>
      <c r="U120" s="51"/>
    </row>
    <row r="121" spans="1:21">
      <c r="A121" s="57" t="s">
        <v>420</v>
      </c>
      <c r="B121" s="95" t="s">
        <v>167</v>
      </c>
      <c r="C121" s="28" t="s">
        <v>151</v>
      </c>
      <c r="D121" s="123">
        <v>0</v>
      </c>
      <c r="E121" s="123">
        <v>0</v>
      </c>
      <c r="F121" s="123">
        <v>0</v>
      </c>
      <c r="G121" s="123">
        <v>0</v>
      </c>
      <c r="H121" s="123">
        <v>0</v>
      </c>
      <c r="I121" s="123">
        <v>0</v>
      </c>
      <c r="J121" s="123">
        <v>0</v>
      </c>
      <c r="K121" s="123">
        <v>0</v>
      </c>
      <c r="N121" s="51"/>
      <c r="O121" s="51"/>
      <c r="P121" s="51"/>
      <c r="Q121" s="51"/>
      <c r="R121" s="51"/>
      <c r="S121" s="51"/>
      <c r="T121" s="51"/>
      <c r="U121" s="51"/>
    </row>
    <row r="122" spans="1:21">
      <c r="A122" s="57" t="s">
        <v>421</v>
      </c>
      <c r="B122" s="95" t="s">
        <v>168</v>
      </c>
      <c r="C122" s="28" t="s">
        <v>151</v>
      </c>
      <c r="D122" s="123">
        <v>1785.7416861290324</v>
      </c>
      <c r="E122" s="123">
        <v>1899.4944341935488</v>
      </c>
      <c r="F122" s="123">
        <v>1971.5103475000003</v>
      </c>
      <c r="G122" s="123">
        <v>2049.6777340000008</v>
      </c>
      <c r="H122" s="123">
        <v>2077.0873432142876</v>
      </c>
      <c r="I122" s="123">
        <v>2095.6943243333344</v>
      </c>
      <c r="J122" s="123">
        <v>2177.5474642857116</v>
      </c>
      <c r="K122" s="123">
        <v>2165.42</v>
      </c>
      <c r="N122" s="51"/>
      <c r="O122" s="51"/>
      <c r="P122" s="51"/>
      <c r="Q122" s="51"/>
      <c r="R122" s="51"/>
      <c r="S122" s="51"/>
      <c r="T122" s="51"/>
      <c r="U122" s="51"/>
    </row>
  </sheetData>
  <pageMargins left="0.23622047244094491" right="0.23622047244094491" top="0.74803149606299213" bottom="0.74803149606299213" header="0.31496062992125984" footer="0.31496062992125984"/>
  <pageSetup paperSize="8" scale="99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95"/>
  <sheetViews>
    <sheetView topLeftCell="B1" zoomScale="70" zoomScaleNormal="70" workbookViewId="0">
      <selection activeCell="C92" sqref="C92"/>
    </sheetView>
  </sheetViews>
  <sheetFormatPr defaultRowHeight="15"/>
  <cols>
    <col min="1" max="1" width="20.7109375" style="57" bestFit="1" customWidth="1"/>
    <col min="2" max="2" width="115.28515625" style="57" customWidth="1"/>
    <col min="3" max="3" width="9.140625" style="72"/>
    <col min="4" max="11" width="11.5703125" style="57" bestFit="1" customWidth="1"/>
    <col min="12" max="13" width="9.140625" style="57" customWidth="1"/>
    <col min="14" max="16384" width="9.140625" style="57"/>
  </cols>
  <sheetData>
    <row r="1" spans="1:26" ht="15.75">
      <c r="B1" s="4" t="s">
        <v>621</v>
      </c>
    </row>
    <row r="3" spans="1:26">
      <c r="B3" s="142"/>
    </row>
    <row r="4" spans="1:26">
      <c r="B4" s="1" t="s">
        <v>31</v>
      </c>
      <c r="D4" s="78">
        <v>2006</v>
      </c>
      <c r="E4" s="78">
        <v>2007</v>
      </c>
      <c r="F4" s="78">
        <v>2008</v>
      </c>
      <c r="G4" s="78">
        <v>2009</v>
      </c>
      <c r="H4" s="78">
        <v>2010</v>
      </c>
      <c r="I4" s="78">
        <v>2011</v>
      </c>
      <c r="J4" s="78">
        <v>2012</v>
      </c>
      <c r="K4" s="78">
        <v>2013</v>
      </c>
    </row>
    <row r="5" spans="1:26">
      <c r="A5" s="1" t="s">
        <v>14</v>
      </c>
      <c r="B5" s="1" t="s">
        <v>1</v>
      </c>
      <c r="C5" s="75" t="s">
        <v>2</v>
      </c>
    </row>
    <row r="6" spans="1:26" ht="15.75">
      <c r="B6" s="79" t="s">
        <v>561</v>
      </c>
      <c r="C6" s="28"/>
    </row>
    <row r="7" spans="1:26" ht="15.75">
      <c r="B7" s="79" t="s">
        <v>169</v>
      </c>
      <c r="C7" s="28"/>
    </row>
    <row r="8" spans="1:26">
      <c r="B8" s="143" t="s">
        <v>562</v>
      </c>
      <c r="C8" s="144"/>
    </row>
    <row r="9" spans="1:26">
      <c r="A9" s="57" t="s">
        <v>279</v>
      </c>
      <c r="B9" s="95" t="s">
        <v>170</v>
      </c>
      <c r="C9" s="28" t="s">
        <v>171</v>
      </c>
      <c r="D9" s="123">
        <v>5877</v>
      </c>
      <c r="E9" s="123">
        <v>5863</v>
      </c>
      <c r="F9" s="123">
        <v>5915</v>
      </c>
      <c r="G9" s="123">
        <v>5917</v>
      </c>
      <c r="H9" s="123">
        <v>5895</v>
      </c>
      <c r="I9" s="123">
        <v>5899.5</v>
      </c>
      <c r="J9" s="123">
        <v>5899</v>
      </c>
      <c r="K9" s="123">
        <v>5897.8</v>
      </c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>
      <c r="A10" s="57" t="s">
        <v>280</v>
      </c>
      <c r="B10" s="95" t="s">
        <v>172</v>
      </c>
      <c r="C10" s="28" t="s">
        <v>171</v>
      </c>
      <c r="D10" s="123">
        <v>609.79999999999995</v>
      </c>
      <c r="E10" s="123">
        <v>608</v>
      </c>
      <c r="F10" s="123">
        <v>606.20000000000005</v>
      </c>
      <c r="G10" s="123">
        <v>603.79999999999995</v>
      </c>
      <c r="H10" s="123">
        <v>610.20000000000005</v>
      </c>
      <c r="I10" s="123">
        <v>624.4</v>
      </c>
      <c r="J10" s="123">
        <v>628.1</v>
      </c>
      <c r="K10" s="123">
        <v>632.20000000000005</v>
      </c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>
      <c r="A11" s="57" t="s">
        <v>281</v>
      </c>
      <c r="B11" s="95" t="s">
        <v>173</v>
      </c>
      <c r="C11" s="28" t="s">
        <v>171</v>
      </c>
      <c r="D11" s="123">
        <v>41</v>
      </c>
      <c r="E11" s="123">
        <v>41</v>
      </c>
      <c r="F11" s="123">
        <v>41</v>
      </c>
      <c r="G11" s="123">
        <v>41</v>
      </c>
      <c r="H11" s="123">
        <v>41</v>
      </c>
      <c r="I11" s="123">
        <v>41</v>
      </c>
      <c r="J11" s="123">
        <v>41</v>
      </c>
      <c r="K11" s="123">
        <v>41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>
      <c r="A12" s="57" t="s">
        <v>282</v>
      </c>
      <c r="B12" s="95" t="s">
        <v>174</v>
      </c>
      <c r="C12" s="28" t="s">
        <v>171</v>
      </c>
      <c r="D12" s="123">
        <v>2880.9</v>
      </c>
      <c r="E12" s="123">
        <v>2959.6</v>
      </c>
      <c r="F12" s="123">
        <v>2966.5</v>
      </c>
      <c r="G12" s="123">
        <v>2898</v>
      </c>
      <c r="H12" s="123">
        <v>2933</v>
      </c>
      <c r="I12" s="123">
        <v>2930</v>
      </c>
      <c r="J12" s="123">
        <v>2973.4</v>
      </c>
      <c r="K12" s="123">
        <v>2950.7</v>
      </c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>
      <c r="A13" s="57" t="s">
        <v>283</v>
      </c>
      <c r="B13" s="95" t="s">
        <v>175</v>
      </c>
      <c r="C13" s="28" t="s">
        <v>171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>
      <c r="A14" s="57" t="s">
        <v>284</v>
      </c>
      <c r="B14" s="95" t="s">
        <v>176</v>
      </c>
      <c r="C14" s="145" t="s">
        <v>171</v>
      </c>
      <c r="D14" s="123">
        <v>670.5</v>
      </c>
      <c r="E14" s="123">
        <v>657.4</v>
      </c>
      <c r="F14" s="123">
        <v>640</v>
      </c>
      <c r="G14" s="123">
        <v>625.4</v>
      </c>
      <c r="H14" s="123">
        <v>642</v>
      </c>
      <c r="I14" s="123">
        <v>615</v>
      </c>
      <c r="J14" s="123">
        <v>624.1</v>
      </c>
      <c r="K14" s="123">
        <v>603</v>
      </c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>
      <c r="A15" s="57" t="s">
        <v>285</v>
      </c>
      <c r="B15" s="95" t="s">
        <v>177</v>
      </c>
      <c r="C15" s="28" t="s">
        <v>171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3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>
      <c r="A16" s="57" t="s">
        <v>286</v>
      </c>
      <c r="B16" s="95" t="s">
        <v>195</v>
      </c>
      <c r="C16" s="28" t="s">
        <v>171</v>
      </c>
      <c r="D16" s="123">
        <v>28.8</v>
      </c>
      <c r="E16" s="123">
        <v>28.9</v>
      </c>
      <c r="F16" s="123">
        <v>27.9</v>
      </c>
      <c r="G16" s="123">
        <v>28</v>
      </c>
      <c r="H16" s="123">
        <v>26.4</v>
      </c>
      <c r="I16" s="123">
        <v>20.100000000000001</v>
      </c>
      <c r="J16" s="123">
        <v>20.100000000000001</v>
      </c>
      <c r="K16" s="123">
        <v>19.2</v>
      </c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>
      <c r="A17" s="57" t="s">
        <v>287</v>
      </c>
      <c r="B17" s="130" t="s">
        <v>178</v>
      </c>
      <c r="C17" s="28" t="s">
        <v>171</v>
      </c>
      <c r="D17" s="123"/>
      <c r="E17" s="123"/>
      <c r="F17" s="123"/>
      <c r="G17" s="123"/>
      <c r="H17" s="123"/>
      <c r="I17" s="123"/>
      <c r="J17" s="123"/>
      <c r="K17" s="123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>
      <c r="A18" s="57" t="s">
        <v>288</v>
      </c>
      <c r="B18" s="130" t="s">
        <v>179</v>
      </c>
      <c r="C18" s="28" t="s">
        <v>171</v>
      </c>
      <c r="D18" s="123"/>
      <c r="E18" s="123"/>
      <c r="F18" s="123"/>
      <c r="G18" s="123"/>
      <c r="H18" s="123"/>
      <c r="I18" s="123"/>
      <c r="J18" s="123"/>
      <c r="K18" s="123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>
      <c r="A19" s="57" t="s">
        <v>289</v>
      </c>
      <c r="B19" s="130" t="s">
        <v>180</v>
      </c>
      <c r="C19" s="28" t="s">
        <v>171</v>
      </c>
      <c r="D19" s="123"/>
      <c r="E19" s="123"/>
      <c r="F19" s="123"/>
      <c r="G19" s="123"/>
      <c r="H19" s="123"/>
      <c r="I19" s="123"/>
      <c r="J19" s="123"/>
      <c r="K19" s="123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>
      <c r="A20" s="57" t="s">
        <v>290</v>
      </c>
      <c r="B20" s="130" t="s">
        <v>181</v>
      </c>
      <c r="C20" s="28" t="s">
        <v>171</v>
      </c>
      <c r="D20" s="123"/>
      <c r="E20" s="123"/>
      <c r="F20" s="123"/>
      <c r="G20" s="123"/>
      <c r="H20" s="123"/>
      <c r="I20" s="123"/>
      <c r="J20" s="123"/>
      <c r="K20" s="123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>
      <c r="A21" s="57" t="s">
        <v>291</v>
      </c>
      <c r="B21" s="130" t="s">
        <v>182</v>
      </c>
      <c r="C21" s="28" t="s">
        <v>171</v>
      </c>
      <c r="D21" s="123"/>
      <c r="E21" s="123"/>
      <c r="F21" s="123"/>
      <c r="G21" s="123"/>
      <c r="H21" s="123"/>
      <c r="I21" s="123"/>
      <c r="J21" s="123"/>
      <c r="K21" s="123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>
      <c r="A22" s="57" t="s">
        <v>292</v>
      </c>
      <c r="B22" s="130" t="s">
        <v>28</v>
      </c>
      <c r="C22" s="28" t="s">
        <v>171</v>
      </c>
      <c r="D22" s="123"/>
      <c r="E22" s="123"/>
      <c r="F22" s="123"/>
      <c r="G22" s="123"/>
      <c r="H22" s="123"/>
      <c r="I22" s="123"/>
      <c r="J22" s="123"/>
      <c r="K22" s="123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>
      <c r="B23" s="5" t="s">
        <v>183</v>
      </c>
      <c r="C23" s="28" t="s">
        <v>171</v>
      </c>
      <c r="D23" s="123">
        <v>10108</v>
      </c>
      <c r="E23" s="123">
        <v>10157.799999999999</v>
      </c>
      <c r="F23" s="123">
        <v>10196.700000000001</v>
      </c>
      <c r="G23" s="123">
        <v>10113.200000000001</v>
      </c>
      <c r="H23" s="123">
        <v>10147.6</v>
      </c>
      <c r="I23" s="123">
        <v>10130</v>
      </c>
      <c r="J23" s="123">
        <v>10185.700000000001</v>
      </c>
      <c r="K23" s="123">
        <v>10143.9</v>
      </c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>
      <c r="B24" s="5"/>
      <c r="C24" s="28"/>
      <c r="E24" s="147"/>
      <c r="F24" s="147"/>
      <c r="G24" s="147"/>
      <c r="H24" s="147"/>
      <c r="I24" s="147"/>
      <c r="J24" s="147"/>
      <c r="K24" s="147"/>
      <c r="M24" s="51"/>
      <c r="N24" s="51"/>
      <c r="O24" s="51"/>
      <c r="P24" s="51"/>
      <c r="Q24" s="51"/>
      <c r="R24" s="51"/>
      <c r="S24" s="51"/>
      <c r="T24" s="51"/>
    </row>
    <row r="25" spans="1:26">
      <c r="A25" s="146"/>
      <c r="B25" s="81" t="s">
        <v>563</v>
      </c>
      <c r="C25" s="28"/>
      <c r="M25" s="51"/>
      <c r="N25" s="51"/>
      <c r="O25" s="51"/>
      <c r="P25" s="51"/>
      <c r="Q25" s="51"/>
      <c r="R25" s="51"/>
      <c r="S25" s="51"/>
      <c r="T25" s="51"/>
    </row>
    <row r="26" spans="1:26">
      <c r="A26" s="57" t="s">
        <v>293</v>
      </c>
      <c r="B26" s="95" t="s">
        <v>184</v>
      </c>
      <c r="C26" s="28" t="s">
        <v>171</v>
      </c>
      <c r="D26" s="123">
        <v>1476.9</v>
      </c>
      <c r="E26" s="123">
        <v>1485.6</v>
      </c>
      <c r="F26" s="123">
        <v>1522.5</v>
      </c>
      <c r="G26" s="123">
        <v>1553.8</v>
      </c>
      <c r="H26" s="123">
        <v>1589.4</v>
      </c>
      <c r="I26" s="123">
        <v>1651.3</v>
      </c>
      <c r="J26" s="123">
        <v>1669.7</v>
      </c>
      <c r="K26" s="123">
        <v>1690.5</v>
      </c>
      <c r="M26" s="51"/>
      <c r="N26" s="51"/>
      <c r="O26" s="51"/>
      <c r="P26" s="51"/>
      <c r="Q26" s="51"/>
      <c r="R26" s="51"/>
      <c r="S26" s="51"/>
      <c r="T26" s="51"/>
    </row>
    <row r="27" spans="1:26">
      <c r="A27" s="57" t="s">
        <v>294</v>
      </c>
      <c r="B27" s="95" t="s">
        <v>185</v>
      </c>
      <c r="C27" s="28" t="s">
        <v>171</v>
      </c>
      <c r="D27" s="123">
        <v>155.4</v>
      </c>
      <c r="E27" s="123">
        <v>159.6</v>
      </c>
      <c r="F27" s="123">
        <v>161.9</v>
      </c>
      <c r="G27" s="123">
        <v>161</v>
      </c>
      <c r="H27" s="123">
        <v>167.2</v>
      </c>
      <c r="I27" s="123">
        <v>173.6</v>
      </c>
      <c r="J27" s="123">
        <v>180.1</v>
      </c>
      <c r="K27" s="123">
        <v>181.7</v>
      </c>
      <c r="M27" s="51"/>
      <c r="N27" s="51"/>
      <c r="O27" s="51"/>
      <c r="P27" s="51"/>
      <c r="Q27" s="51"/>
      <c r="R27" s="51"/>
      <c r="S27" s="51"/>
      <c r="T27" s="51"/>
    </row>
    <row r="28" spans="1:26">
      <c r="A28" s="57" t="s">
        <v>295</v>
      </c>
      <c r="B28" s="95" t="s">
        <v>186</v>
      </c>
      <c r="C28" s="28" t="s">
        <v>171</v>
      </c>
      <c r="D28" s="123">
        <v>637.1</v>
      </c>
      <c r="E28" s="123">
        <v>666.7</v>
      </c>
      <c r="F28" s="123">
        <v>694.5</v>
      </c>
      <c r="G28" s="123">
        <v>702.4</v>
      </c>
      <c r="H28" s="123">
        <v>732.9</v>
      </c>
      <c r="I28" s="123">
        <v>764.9</v>
      </c>
      <c r="J28" s="123">
        <v>776.1</v>
      </c>
      <c r="K28" s="123">
        <v>812.6</v>
      </c>
      <c r="M28" s="51"/>
      <c r="N28" s="51"/>
      <c r="O28" s="51"/>
      <c r="P28" s="51"/>
      <c r="Q28" s="51"/>
      <c r="R28" s="51"/>
      <c r="S28" s="51"/>
      <c r="T28" s="51"/>
    </row>
    <row r="29" spans="1:26">
      <c r="A29" s="57" t="s">
        <v>296</v>
      </c>
      <c r="B29" s="95" t="s">
        <v>187</v>
      </c>
      <c r="C29" s="28" t="s">
        <v>171</v>
      </c>
      <c r="D29" s="123">
        <v>0</v>
      </c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  <c r="M29" s="51"/>
      <c r="N29" s="51"/>
      <c r="O29" s="51"/>
      <c r="P29" s="51"/>
      <c r="Q29" s="51"/>
      <c r="R29" s="51"/>
      <c r="S29" s="51"/>
      <c r="T29" s="51"/>
    </row>
    <row r="30" spans="1:26">
      <c r="A30" s="57" t="s">
        <v>297</v>
      </c>
      <c r="B30" s="95" t="s">
        <v>188</v>
      </c>
      <c r="C30" s="28" t="s">
        <v>171</v>
      </c>
      <c r="D30" s="123">
        <v>3.2</v>
      </c>
      <c r="E30" s="123">
        <v>3.2</v>
      </c>
      <c r="F30" s="123">
        <v>4</v>
      </c>
      <c r="G30" s="123">
        <v>3.9</v>
      </c>
      <c r="H30" s="123">
        <v>4</v>
      </c>
      <c r="I30" s="123">
        <v>4.3</v>
      </c>
      <c r="J30" s="123">
        <v>4.7</v>
      </c>
      <c r="K30" s="123">
        <v>4.5</v>
      </c>
      <c r="M30" s="51"/>
      <c r="N30" s="51"/>
      <c r="O30" s="51"/>
      <c r="P30" s="51"/>
      <c r="Q30" s="51"/>
      <c r="R30" s="51"/>
      <c r="S30" s="51"/>
      <c r="T30" s="51"/>
    </row>
    <row r="31" spans="1:26">
      <c r="A31" s="57" t="s">
        <v>298</v>
      </c>
      <c r="B31" s="95" t="s">
        <v>189</v>
      </c>
      <c r="C31" s="28" t="s">
        <v>171</v>
      </c>
      <c r="D31" s="123">
        <v>0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M31" s="51"/>
      <c r="N31" s="51"/>
      <c r="O31" s="51"/>
      <c r="P31" s="51"/>
      <c r="Q31" s="51"/>
      <c r="R31" s="51"/>
      <c r="S31" s="51"/>
      <c r="T31" s="51"/>
    </row>
    <row r="32" spans="1:26">
      <c r="A32" s="57" t="s">
        <v>299</v>
      </c>
      <c r="B32" s="95" t="s">
        <v>196</v>
      </c>
      <c r="C32" s="28" t="s">
        <v>171</v>
      </c>
      <c r="D32" s="123">
        <v>3.4</v>
      </c>
      <c r="E32" s="123">
        <v>3.3</v>
      </c>
      <c r="F32" s="123">
        <v>3.2</v>
      </c>
      <c r="G32" s="123">
        <v>3.2</v>
      </c>
      <c r="H32" s="123">
        <v>3.3</v>
      </c>
      <c r="I32" s="123">
        <v>1.3</v>
      </c>
      <c r="J32" s="123">
        <v>1.3</v>
      </c>
      <c r="K32" s="123">
        <v>1.5</v>
      </c>
      <c r="M32" s="51"/>
      <c r="N32" s="51"/>
      <c r="O32" s="51"/>
      <c r="P32" s="51"/>
      <c r="Q32" s="51"/>
      <c r="R32" s="51"/>
      <c r="S32" s="51"/>
      <c r="T32" s="51"/>
    </row>
    <row r="33" spans="1:20">
      <c r="A33" s="57" t="s">
        <v>300</v>
      </c>
      <c r="B33" s="130" t="s">
        <v>190</v>
      </c>
      <c r="C33" s="28" t="s">
        <v>171</v>
      </c>
      <c r="D33" s="123"/>
      <c r="E33" s="123"/>
      <c r="F33" s="123"/>
      <c r="G33" s="123"/>
      <c r="H33" s="123"/>
      <c r="I33" s="123"/>
      <c r="J33" s="123"/>
      <c r="K33" s="123"/>
      <c r="M33" s="51"/>
      <c r="N33" s="51"/>
      <c r="O33" s="51"/>
      <c r="P33" s="51"/>
      <c r="Q33" s="51"/>
      <c r="R33" s="51"/>
      <c r="S33" s="51"/>
      <c r="T33" s="51"/>
    </row>
    <row r="34" spans="1:20">
      <c r="A34" s="57" t="s">
        <v>301</v>
      </c>
      <c r="B34" s="130" t="s">
        <v>191</v>
      </c>
      <c r="C34" s="28" t="s">
        <v>171</v>
      </c>
      <c r="D34" s="123"/>
      <c r="E34" s="123"/>
      <c r="F34" s="123"/>
      <c r="G34" s="123"/>
      <c r="H34" s="123"/>
      <c r="I34" s="123"/>
      <c r="J34" s="123"/>
      <c r="K34" s="123"/>
      <c r="M34" s="51"/>
      <c r="N34" s="51"/>
      <c r="O34" s="51"/>
      <c r="P34" s="51"/>
      <c r="Q34" s="51"/>
      <c r="R34" s="51"/>
      <c r="S34" s="51"/>
      <c r="T34" s="51"/>
    </row>
    <row r="35" spans="1:20">
      <c r="A35" s="57" t="s">
        <v>302</v>
      </c>
      <c r="B35" s="130" t="s">
        <v>192</v>
      </c>
      <c r="C35" s="28" t="s">
        <v>171</v>
      </c>
      <c r="D35" s="123"/>
      <c r="E35" s="123"/>
      <c r="F35" s="123"/>
      <c r="G35" s="123"/>
      <c r="H35" s="123"/>
      <c r="I35" s="123"/>
      <c r="J35" s="123"/>
      <c r="K35" s="123"/>
      <c r="M35" s="51"/>
      <c r="N35" s="51"/>
      <c r="O35" s="51"/>
      <c r="P35" s="51"/>
      <c r="Q35" s="51"/>
      <c r="R35" s="51"/>
      <c r="S35" s="51"/>
      <c r="T35" s="51"/>
    </row>
    <row r="36" spans="1:20">
      <c r="A36" s="57" t="s">
        <v>303</v>
      </c>
      <c r="B36" s="130" t="s">
        <v>28</v>
      </c>
      <c r="C36" s="28" t="s">
        <v>171</v>
      </c>
      <c r="D36" s="123"/>
      <c r="E36" s="123"/>
      <c r="F36" s="123"/>
      <c r="G36" s="123"/>
      <c r="H36" s="123"/>
      <c r="I36" s="123"/>
      <c r="J36" s="123"/>
      <c r="K36" s="123"/>
      <c r="M36" s="51"/>
      <c r="N36" s="51"/>
      <c r="O36" s="51"/>
      <c r="P36" s="51"/>
      <c r="Q36" s="51"/>
      <c r="R36" s="51"/>
      <c r="S36" s="51"/>
      <c r="T36" s="51"/>
    </row>
    <row r="37" spans="1:20">
      <c r="B37" s="5" t="s">
        <v>193</v>
      </c>
      <c r="C37" s="28" t="s">
        <v>171</v>
      </c>
      <c r="D37" s="123">
        <v>2276</v>
      </c>
      <c r="E37" s="123">
        <v>2318.4</v>
      </c>
      <c r="F37" s="123">
        <v>2386.1</v>
      </c>
      <c r="G37" s="123">
        <v>2424.3000000000002</v>
      </c>
      <c r="H37" s="123">
        <v>2496.8000000000002</v>
      </c>
      <c r="I37" s="123">
        <v>2595.4</v>
      </c>
      <c r="J37" s="123">
        <v>2631.9</v>
      </c>
      <c r="K37" s="123">
        <v>2690.8</v>
      </c>
      <c r="M37" s="51"/>
      <c r="N37" s="51"/>
      <c r="O37" s="51"/>
      <c r="P37" s="51"/>
      <c r="Q37" s="51"/>
      <c r="R37" s="51"/>
      <c r="S37" s="51"/>
      <c r="T37" s="51"/>
    </row>
    <row r="38" spans="1:20">
      <c r="A38" s="146"/>
      <c r="B38" s="95"/>
      <c r="M38" s="51"/>
      <c r="N38" s="51"/>
      <c r="O38" s="51"/>
      <c r="P38" s="51"/>
      <c r="Q38" s="51"/>
      <c r="R38" s="51"/>
      <c r="S38" s="51"/>
      <c r="T38" s="51"/>
    </row>
    <row r="39" spans="1:20" ht="15.75">
      <c r="A39" s="146"/>
      <c r="B39" s="148" t="s">
        <v>194</v>
      </c>
      <c r="C39" s="28"/>
      <c r="M39" s="51"/>
      <c r="N39" s="51"/>
      <c r="O39" s="51"/>
      <c r="P39" s="51"/>
      <c r="Q39" s="51"/>
      <c r="R39" s="51"/>
      <c r="S39" s="51"/>
      <c r="T39" s="51"/>
    </row>
    <row r="40" spans="1:20">
      <c r="A40" s="146"/>
      <c r="B40" s="143" t="s">
        <v>564</v>
      </c>
      <c r="C40" s="144"/>
      <c r="M40" s="51"/>
      <c r="N40" s="51"/>
      <c r="O40" s="51"/>
      <c r="P40" s="51"/>
      <c r="Q40" s="51"/>
      <c r="R40" s="51"/>
      <c r="S40" s="51"/>
      <c r="T40" s="51"/>
    </row>
    <row r="41" spans="1:20">
      <c r="A41" s="57" t="s">
        <v>304</v>
      </c>
      <c r="B41" s="95" t="s">
        <v>170</v>
      </c>
      <c r="C41" s="28" t="s">
        <v>154</v>
      </c>
      <c r="D41" s="123">
        <v>0.17</v>
      </c>
      <c r="E41" s="123">
        <v>0.17</v>
      </c>
      <c r="F41" s="123">
        <v>0.17</v>
      </c>
      <c r="G41" s="123">
        <v>0.17</v>
      </c>
      <c r="H41" s="123">
        <v>0.18</v>
      </c>
      <c r="I41" s="123">
        <v>0.18</v>
      </c>
      <c r="J41" s="123">
        <v>0.18</v>
      </c>
      <c r="K41" s="123">
        <v>0.18</v>
      </c>
      <c r="M41" s="51"/>
      <c r="N41" s="51"/>
      <c r="O41" s="51"/>
      <c r="P41" s="51"/>
      <c r="Q41" s="51"/>
      <c r="R41" s="51"/>
      <c r="S41" s="51"/>
      <c r="T41" s="51"/>
    </row>
    <row r="42" spans="1:20">
      <c r="A42" s="57" t="s">
        <v>305</v>
      </c>
      <c r="B42" s="95" t="s">
        <v>172</v>
      </c>
      <c r="C42" s="28" t="s">
        <v>154</v>
      </c>
      <c r="D42" s="123">
        <v>5.2</v>
      </c>
      <c r="E42" s="123">
        <v>5.2</v>
      </c>
      <c r="F42" s="123">
        <v>5.3</v>
      </c>
      <c r="G42" s="123">
        <v>5.3</v>
      </c>
      <c r="H42" s="123">
        <v>5.4</v>
      </c>
      <c r="I42" s="123">
        <v>5.5</v>
      </c>
      <c r="J42" s="123">
        <v>5.5</v>
      </c>
      <c r="K42" s="123">
        <v>5.5</v>
      </c>
      <c r="M42" s="51"/>
      <c r="N42" s="51"/>
      <c r="O42" s="51"/>
      <c r="P42" s="51"/>
      <c r="Q42" s="51"/>
      <c r="R42" s="51"/>
      <c r="S42" s="51"/>
      <c r="T42" s="51"/>
    </row>
    <row r="43" spans="1:20">
      <c r="A43" s="57" t="s">
        <v>306</v>
      </c>
      <c r="B43" s="95" t="s">
        <v>173</v>
      </c>
      <c r="C43" s="28" t="s">
        <v>154</v>
      </c>
      <c r="D43" s="123">
        <v>0.1</v>
      </c>
      <c r="E43" s="123">
        <v>0.1</v>
      </c>
      <c r="F43" s="123">
        <v>0.1</v>
      </c>
      <c r="G43" s="123">
        <v>0.1</v>
      </c>
      <c r="H43" s="123">
        <v>0.1</v>
      </c>
      <c r="I43" s="123">
        <v>0.1</v>
      </c>
      <c r="J43" s="123">
        <v>0.1</v>
      </c>
      <c r="K43" s="123">
        <v>0.1</v>
      </c>
      <c r="M43" s="51"/>
      <c r="N43" s="51"/>
      <c r="O43" s="51"/>
      <c r="P43" s="51"/>
      <c r="Q43" s="51"/>
      <c r="R43" s="51"/>
      <c r="S43" s="51"/>
      <c r="T43" s="51"/>
    </row>
    <row r="44" spans="1:20">
      <c r="A44" s="57" t="s">
        <v>307</v>
      </c>
      <c r="B44" s="95" t="s">
        <v>174</v>
      </c>
      <c r="C44" s="28" t="s">
        <v>154</v>
      </c>
      <c r="D44" s="123">
        <v>11.6</v>
      </c>
      <c r="E44" s="123">
        <v>11.6</v>
      </c>
      <c r="F44" s="123">
        <v>11.7</v>
      </c>
      <c r="G44" s="123">
        <v>11.7</v>
      </c>
      <c r="H44" s="123">
        <v>11.7</v>
      </c>
      <c r="I44" s="123">
        <v>11.7</v>
      </c>
      <c r="J44" s="123">
        <v>11.7</v>
      </c>
      <c r="K44" s="123">
        <v>11.7</v>
      </c>
      <c r="M44" s="51"/>
      <c r="N44" s="51"/>
      <c r="O44" s="51"/>
      <c r="P44" s="51"/>
      <c r="Q44" s="51"/>
      <c r="R44" s="51"/>
      <c r="S44" s="51"/>
      <c r="T44" s="51"/>
    </row>
    <row r="45" spans="1:20">
      <c r="A45" s="57" t="s">
        <v>308</v>
      </c>
      <c r="B45" s="95" t="s">
        <v>175</v>
      </c>
      <c r="C45" s="28" t="s">
        <v>154</v>
      </c>
      <c r="D45" s="123">
        <v>0</v>
      </c>
      <c r="E45" s="123">
        <v>0</v>
      </c>
      <c r="F45" s="123">
        <v>0</v>
      </c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M45" s="51"/>
      <c r="N45" s="51"/>
      <c r="O45" s="51"/>
      <c r="P45" s="51"/>
      <c r="Q45" s="51"/>
      <c r="R45" s="51"/>
      <c r="S45" s="51"/>
      <c r="T45" s="51"/>
    </row>
    <row r="46" spans="1:20">
      <c r="A46" s="57" t="s">
        <v>309</v>
      </c>
      <c r="B46" s="95" t="s">
        <v>176</v>
      </c>
      <c r="C46" s="28" t="s">
        <v>154</v>
      </c>
      <c r="D46" s="123">
        <v>73.599999999999994</v>
      </c>
      <c r="E46" s="123">
        <v>75.2</v>
      </c>
      <c r="F46" s="123">
        <v>79.900000000000006</v>
      </c>
      <c r="G46" s="123">
        <v>81</v>
      </c>
      <c r="H46" s="123">
        <v>84.2</v>
      </c>
      <c r="I46" s="123">
        <v>89.3</v>
      </c>
      <c r="J46" s="123">
        <v>93.7</v>
      </c>
      <c r="K46" s="123">
        <v>94</v>
      </c>
      <c r="M46" s="51"/>
      <c r="N46" s="51"/>
      <c r="O46" s="51"/>
      <c r="P46" s="51"/>
      <c r="Q46" s="51"/>
      <c r="R46" s="51"/>
      <c r="S46" s="51"/>
      <c r="T46" s="51"/>
    </row>
    <row r="47" spans="1:20">
      <c r="A47" s="57" t="s">
        <v>310</v>
      </c>
      <c r="B47" s="95" t="s">
        <v>177</v>
      </c>
      <c r="C47" s="28" t="s">
        <v>154</v>
      </c>
      <c r="D47" s="123">
        <v>0</v>
      </c>
      <c r="E47" s="123">
        <v>0</v>
      </c>
      <c r="F47" s="123">
        <v>0</v>
      </c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M47" s="51"/>
      <c r="N47" s="51"/>
      <c r="O47" s="51"/>
      <c r="P47" s="51"/>
      <c r="Q47" s="51"/>
      <c r="R47" s="51"/>
      <c r="S47" s="51"/>
      <c r="T47" s="51"/>
    </row>
    <row r="48" spans="1:20">
      <c r="A48" s="57" t="s">
        <v>311</v>
      </c>
      <c r="B48" s="130" t="s">
        <v>195</v>
      </c>
      <c r="C48" s="28" t="s">
        <v>154</v>
      </c>
      <c r="D48" s="123"/>
      <c r="E48" s="123"/>
      <c r="F48" s="123"/>
      <c r="G48" s="123"/>
      <c r="H48" s="123"/>
      <c r="I48" s="123"/>
      <c r="J48" s="123"/>
      <c r="K48" s="123"/>
      <c r="M48" s="51"/>
      <c r="N48" s="51"/>
      <c r="O48" s="51"/>
      <c r="P48" s="51"/>
      <c r="Q48" s="51"/>
      <c r="R48" s="51"/>
      <c r="S48" s="51"/>
      <c r="T48" s="51"/>
    </row>
    <row r="49" spans="1:20">
      <c r="A49" s="57" t="s">
        <v>312</v>
      </c>
      <c r="B49" s="130" t="s">
        <v>178</v>
      </c>
      <c r="C49" s="28" t="s">
        <v>154</v>
      </c>
      <c r="D49" s="123"/>
      <c r="E49" s="123"/>
      <c r="F49" s="123"/>
      <c r="G49" s="123"/>
      <c r="H49" s="123"/>
      <c r="I49" s="123"/>
      <c r="J49" s="123"/>
      <c r="K49" s="123"/>
      <c r="M49" s="51"/>
      <c r="N49" s="51"/>
      <c r="O49" s="51"/>
      <c r="P49" s="51"/>
      <c r="Q49" s="51"/>
      <c r="R49" s="51"/>
      <c r="S49" s="51"/>
      <c r="T49" s="51"/>
    </row>
    <row r="50" spans="1:20">
      <c r="A50" s="57" t="s">
        <v>313</v>
      </c>
      <c r="B50" s="130" t="s">
        <v>179</v>
      </c>
      <c r="C50" s="28" t="s">
        <v>154</v>
      </c>
      <c r="D50" s="123"/>
      <c r="E50" s="123"/>
      <c r="F50" s="123"/>
      <c r="G50" s="123"/>
      <c r="H50" s="123"/>
      <c r="I50" s="123"/>
      <c r="J50" s="123"/>
      <c r="K50" s="123"/>
      <c r="M50" s="51"/>
      <c r="N50" s="51"/>
      <c r="O50" s="51"/>
      <c r="P50" s="51"/>
      <c r="Q50" s="51"/>
      <c r="R50" s="51"/>
      <c r="S50" s="51"/>
      <c r="T50" s="51"/>
    </row>
    <row r="51" spans="1:20">
      <c r="A51" s="57" t="s">
        <v>314</v>
      </c>
      <c r="B51" s="130" t="s">
        <v>180</v>
      </c>
      <c r="C51" s="145" t="s">
        <v>154</v>
      </c>
      <c r="D51" s="123"/>
      <c r="E51" s="123"/>
      <c r="F51" s="123"/>
      <c r="G51" s="123"/>
      <c r="H51" s="123"/>
      <c r="I51" s="123"/>
      <c r="J51" s="123"/>
      <c r="K51" s="123"/>
      <c r="M51" s="51"/>
      <c r="N51" s="51"/>
      <c r="O51" s="51"/>
      <c r="P51" s="51"/>
      <c r="Q51" s="51"/>
      <c r="R51" s="51"/>
      <c r="S51" s="51"/>
      <c r="T51" s="51"/>
    </row>
    <row r="52" spans="1:20">
      <c r="A52" s="57" t="s">
        <v>315</v>
      </c>
      <c r="B52" s="130" t="s">
        <v>182</v>
      </c>
      <c r="C52" s="28" t="s">
        <v>154</v>
      </c>
      <c r="D52" s="123"/>
      <c r="E52" s="123"/>
      <c r="F52" s="123"/>
      <c r="G52" s="123"/>
      <c r="H52" s="123"/>
      <c r="I52" s="123"/>
      <c r="J52" s="123"/>
      <c r="K52" s="123"/>
      <c r="M52" s="51"/>
      <c r="N52" s="51"/>
      <c r="O52" s="51"/>
      <c r="P52" s="51"/>
      <c r="Q52" s="51"/>
      <c r="R52" s="51"/>
      <c r="S52" s="51"/>
      <c r="T52" s="51"/>
    </row>
    <row r="53" spans="1:20">
      <c r="A53" s="57" t="s">
        <v>316</v>
      </c>
      <c r="B53" s="95" t="s">
        <v>28</v>
      </c>
      <c r="C53" s="28" t="s">
        <v>154</v>
      </c>
      <c r="D53" s="123">
        <v>3.1</v>
      </c>
      <c r="E53" s="123">
        <v>3.1</v>
      </c>
      <c r="F53" s="123">
        <v>3.1</v>
      </c>
      <c r="G53" s="123">
        <v>3.1</v>
      </c>
      <c r="H53" s="123">
        <v>3.1</v>
      </c>
      <c r="I53" s="123">
        <v>3.1</v>
      </c>
      <c r="J53" s="123">
        <v>3.1</v>
      </c>
      <c r="K53" s="123">
        <v>3.1</v>
      </c>
      <c r="M53" s="51"/>
      <c r="N53" s="51"/>
      <c r="O53" s="51"/>
      <c r="P53" s="51"/>
      <c r="Q53" s="51"/>
      <c r="R53" s="51"/>
      <c r="S53" s="51"/>
      <c r="T53" s="51"/>
    </row>
    <row r="54" spans="1:20">
      <c r="A54" s="146"/>
      <c r="B54" s="95"/>
      <c r="C54" s="28"/>
      <c r="M54" s="51"/>
      <c r="N54" s="51"/>
      <c r="O54" s="51"/>
      <c r="P54" s="51"/>
      <c r="Q54" s="51"/>
      <c r="R54" s="51"/>
      <c r="S54" s="51"/>
      <c r="T54" s="51"/>
    </row>
    <row r="55" spans="1:20">
      <c r="A55" s="146"/>
      <c r="B55" s="81" t="s">
        <v>565</v>
      </c>
      <c r="C55" s="28"/>
      <c r="M55" s="51"/>
      <c r="N55" s="51"/>
      <c r="O55" s="51"/>
      <c r="P55" s="51"/>
      <c r="Q55" s="51"/>
      <c r="R55" s="51"/>
      <c r="S55" s="51"/>
      <c r="T55" s="51"/>
    </row>
    <row r="56" spans="1:20">
      <c r="A56" s="57" t="s">
        <v>317</v>
      </c>
      <c r="B56" s="95" t="s">
        <v>184</v>
      </c>
      <c r="C56" s="28" t="s">
        <v>154</v>
      </c>
      <c r="D56" s="123">
        <v>0.17</v>
      </c>
      <c r="E56" s="123">
        <v>0.17</v>
      </c>
      <c r="F56" s="123">
        <v>0.17</v>
      </c>
      <c r="G56" s="123">
        <v>0.17</v>
      </c>
      <c r="H56" s="123">
        <v>0.18</v>
      </c>
      <c r="I56" s="123">
        <v>0.18</v>
      </c>
      <c r="J56" s="123">
        <v>0.18</v>
      </c>
      <c r="K56" s="123">
        <v>0.18</v>
      </c>
      <c r="M56" s="51"/>
      <c r="N56" s="51"/>
      <c r="O56" s="51"/>
      <c r="P56" s="51"/>
      <c r="Q56" s="51"/>
      <c r="R56" s="51"/>
      <c r="S56" s="51"/>
      <c r="T56" s="51"/>
    </row>
    <row r="57" spans="1:20">
      <c r="A57" s="57" t="s">
        <v>318</v>
      </c>
      <c r="B57" s="95" t="s">
        <v>185</v>
      </c>
      <c r="C57" s="28" t="s">
        <v>154</v>
      </c>
      <c r="D57" s="123">
        <v>5.4</v>
      </c>
      <c r="E57" s="123">
        <v>5.4</v>
      </c>
      <c r="F57" s="123">
        <v>5.5</v>
      </c>
      <c r="G57" s="123">
        <v>5.5</v>
      </c>
      <c r="H57" s="123">
        <v>5.6</v>
      </c>
      <c r="I57" s="123">
        <v>5.7</v>
      </c>
      <c r="J57" s="123">
        <v>5.7</v>
      </c>
      <c r="K57" s="123">
        <v>5.7</v>
      </c>
      <c r="M57" s="51"/>
      <c r="N57" s="51"/>
      <c r="O57" s="51"/>
      <c r="P57" s="51"/>
      <c r="Q57" s="51"/>
      <c r="R57" s="51"/>
      <c r="S57" s="51"/>
      <c r="T57" s="51"/>
    </row>
    <row r="58" spans="1:20">
      <c r="A58" s="57" t="s">
        <v>319</v>
      </c>
      <c r="B58" s="95" t="s">
        <v>186</v>
      </c>
      <c r="C58" s="28" t="s">
        <v>154</v>
      </c>
      <c r="D58" s="123">
        <v>12</v>
      </c>
      <c r="E58" s="123">
        <v>12</v>
      </c>
      <c r="F58" s="123">
        <v>12.1</v>
      </c>
      <c r="G58" s="123">
        <v>12.1</v>
      </c>
      <c r="H58" s="123">
        <v>12.1</v>
      </c>
      <c r="I58" s="123">
        <v>12.1</v>
      </c>
      <c r="J58" s="123">
        <v>12.1</v>
      </c>
      <c r="K58" s="123">
        <v>12.1</v>
      </c>
      <c r="M58" s="51"/>
      <c r="N58" s="51"/>
      <c r="O58" s="51"/>
      <c r="P58" s="51"/>
      <c r="Q58" s="51"/>
      <c r="R58" s="51"/>
      <c r="S58" s="51"/>
      <c r="T58" s="51"/>
    </row>
    <row r="59" spans="1:20">
      <c r="A59" s="57" t="s">
        <v>320</v>
      </c>
      <c r="B59" s="95" t="s">
        <v>187</v>
      </c>
      <c r="C59" s="28" t="s">
        <v>154</v>
      </c>
      <c r="D59" s="123">
        <v>0</v>
      </c>
      <c r="E59" s="123">
        <v>0</v>
      </c>
      <c r="F59" s="123">
        <v>0</v>
      </c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M59" s="51"/>
      <c r="N59" s="51"/>
      <c r="O59" s="51"/>
      <c r="P59" s="51"/>
      <c r="Q59" s="51"/>
      <c r="R59" s="51"/>
      <c r="S59" s="51"/>
      <c r="T59" s="51"/>
    </row>
    <row r="60" spans="1:20">
      <c r="A60" s="57" t="s">
        <v>321</v>
      </c>
      <c r="B60" s="95" t="s">
        <v>188</v>
      </c>
      <c r="C60" s="28" t="s">
        <v>154</v>
      </c>
      <c r="D60" s="123">
        <v>120</v>
      </c>
      <c r="E60" s="123">
        <v>122</v>
      </c>
      <c r="F60" s="123">
        <v>124</v>
      </c>
      <c r="G60" s="123">
        <v>124</v>
      </c>
      <c r="H60" s="123">
        <v>126</v>
      </c>
      <c r="I60" s="123">
        <v>128</v>
      </c>
      <c r="J60" s="123">
        <v>130</v>
      </c>
      <c r="K60" s="123">
        <v>130</v>
      </c>
      <c r="M60" s="51"/>
      <c r="N60" s="51"/>
      <c r="O60" s="51"/>
      <c r="P60" s="51"/>
      <c r="Q60" s="51"/>
      <c r="R60" s="51"/>
      <c r="S60" s="51"/>
      <c r="T60" s="51"/>
    </row>
    <row r="61" spans="1:20">
      <c r="A61" s="57" t="s">
        <v>322</v>
      </c>
      <c r="B61" s="95" t="s">
        <v>189</v>
      </c>
      <c r="C61" s="28" t="s">
        <v>154</v>
      </c>
      <c r="D61" s="123">
        <v>0</v>
      </c>
      <c r="E61" s="123">
        <v>0</v>
      </c>
      <c r="F61" s="123">
        <v>0</v>
      </c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M61" s="51"/>
      <c r="N61" s="51"/>
      <c r="O61" s="51"/>
      <c r="P61" s="51"/>
      <c r="Q61" s="51"/>
      <c r="R61" s="51"/>
      <c r="S61" s="51"/>
      <c r="T61" s="51"/>
    </row>
    <row r="62" spans="1:20">
      <c r="A62" s="57" t="s">
        <v>323</v>
      </c>
      <c r="B62" s="130" t="s">
        <v>190</v>
      </c>
      <c r="C62" s="28" t="s">
        <v>154</v>
      </c>
      <c r="D62" s="123"/>
      <c r="E62" s="123"/>
      <c r="F62" s="123"/>
      <c r="G62" s="123"/>
      <c r="H62" s="123"/>
      <c r="I62" s="123"/>
      <c r="J62" s="123"/>
      <c r="K62" s="123"/>
      <c r="M62" s="51"/>
      <c r="N62" s="51"/>
      <c r="O62" s="51"/>
      <c r="P62" s="51"/>
      <c r="Q62" s="51"/>
      <c r="R62" s="51"/>
      <c r="S62" s="51"/>
      <c r="T62" s="51"/>
    </row>
    <row r="63" spans="1:20">
      <c r="A63" s="57" t="s">
        <v>324</v>
      </c>
      <c r="B63" s="130" t="s">
        <v>196</v>
      </c>
      <c r="C63" s="28" t="s">
        <v>154</v>
      </c>
      <c r="D63" s="123"/>
      <c r="E63" s="123"/>
      <c r="F63" s="123"/>
      <c r="G63" s="123"/>
      <c r="H63" s="123"/>
      <c r="I63" s="123"/>
      <c r="J63" s="123"/>
      <c r="K63" s="123"/>
      <c r="M63" s="51"/>
      <c r="N63" s="51"/>
      <c r="O63" s="51"/>
      <c r="P63" s="51"/>
      <c r="Q63" s="51"/>
      <c r="R63" s="51"/>
      <c r="S63" s="51"/>
      <c r="T63" s="51"/>
    </row>
    <row r="64" spans="1:20">
      <c r="A64" s="57" t="s">
        <v>325</v>
      </c>
      <c r="B64" s="130" t="s">
        <v>197</v>
      </c>
      <c r="C64" s="28" t="s">
        <v>154</v>
      </c>
      <c r="D64" s="123"/>
      <c r="E64" s="123"/>
      <c r="F64" s="123"/>
      <c r="G64" s="123"/>
      <c r="H64" s="123"/>
      <c r="I64" s="123"/>
      <c r="J64" s="123"/>
      <c r="K64" s="123"/>
      <c r="M64" s="51"/>
      <c r="N64" s="51"/>
      <c r="O64" s="51"/>
      <c r="P64" s="51"/>
      <c r="Q64" s="51"/>
      <c r="R64" s="51"/>
      <c r="S64" s="51"/>
      <c r="T64" s="51"/>
    </row>
    <row r="65" spans="1:20">
      <c r="A65" s="57" t="s">
        <v>326</v>
      </c>
      <c r="B65" s="130" t="s">
        <v>191</v>
      </c>
      <c r="C65" s="28" t="s">
        <v>154</v>
      </c>
      <c r="D65" s="123"/>
      <c r="E65" s="123"/>
      <c r="F65" s="123"/>
      <c r="G65" s="123"/>
      <c r="H65" s="123"/>
      <c r="I65" s="123"/>
      <c r="J65" s="123"/>
      <c r="K65" s="123"/>
      <c r="M65" s="51"/>
      <c r="N65" s="51"/>
      <c r="O65" s="51"/>
      <c r="P65" s="51"/>
      <c r="Q65" s="51"/>
      <c r="R65" s="51"/>
      <c r="S65" s="51"/>
      <c r="T65" s="51"/>
    </row>
    <row r="66" spans="1:20">
      <c r="A66" s="57" t="s">
        <v>327</v>
      </c>
      <c r="B66" s="130" t="s">
        <v>192</v>
      </c>
      <c r="C66" s="28" t="s">
        <v>154</v>
      </c>
      <c r="D66" s="123"/>
      <c r="E66" s="123"/>
      <c r="F66" s="123"/>
      <c r="G66" s="123"/>
      <c r="H66" s="123"/>
      <c r="I66" s="123"/>
      <c r="J66" s="123"/>
      <c r="K66" s="123"/>
      <c r="M66" s="51"/>
      <c r="N66" s="51"/>
      <c r="O66" s="51"/>
      <c r="P66" s="51"/>
      <c r="Q66" s="51"/>
      <c r="R66" s="51"/>
      <c r="S66" s="51"/>
      <c r="T66" s="51"/>
    </row>
    <row r="67" spans="1:20">
      <c r="A67" s="57" t="s">
        <v>328</v>
      </c>
      <c r="B67" s="95" t="s">
        <v>28</v>
      </c>
      <c r="C67" s="28" t="s">
        <v>154</v>
      </c>
      <c r="D67" s="123">
        <v>3.1</v>
      </c>
      <c r="E67" s="123">
        <v>3.1</v>
      </c>
      <c r="F67" s="123">
        <v>3.1</v>
      </c>
      <c r="G67" s="123">
        <v>3.1</v>
      </c>
      <c r="H67" s="123">
        <v>3.1</v>
      </c>
      <c r="I67" s="123">
        <v>3.1</v>
      </c>
      <c r="J67" s="123">
        <v>3.1</v>
      </c>
      <c r="K67" s="123">
        <v>3.1</v>
      </c>
      <c r="M67" s="51"/>
      <c r="N67" s="51"/>
      <c r="O67" s="51"/>
      <c r="P67" s="51"/>
      <c r="Q67" s="51"/>
      <c r="R67" s="51"/>
      <c r="S67" s="51"/>
      <c r="T67" s="51"/>
    </row>
    <row r="68" spans="1:20">
      <c r="A68" s="146"/>
      <c r="B68" s="95"/>
      <c r="C68" s="28"/>
      <c r="M68" s="51"/>
      <c r="N68" s="51"/>
      <c r="O68" s="51"/>
      <c r="P68" s="51"/>
      <c r="Q68" s="51"/>
      <c r="R68" s="51"/>
      <c r="S68" s="51"/>
      <c r="T68" s="51"/>
    </row>
    <row r="69" spans="1:20" ht="15.75">
      <c r="A69" s="146"/>
      <c r="B69" s="79" t="s">
        <v>622</v>
      </c>
      <c r="C69" s="28"/>
      <c r="M69" s="51"/>
      <c r="N69" s="51"/>
      <c r="O69" s="51"/>
      <c r="P69" s="51"/>
      <c r="Q69" s="51"/>
      <c r="R69" s="51"/>
      <c r="S69" s="51"/>
      <c r="T69" s="51"/>
    </row>
    <row r="70" spans="1:20">
      <c r="A70" s="146"/>
      <c r="B70" s="81" t="s">
        <v>566</v>
      </c>
      <c r="C70" s="28"/>
      <c r="M70" s="51"/>
      <c r="N70" s="51"/>
      <c r="O70" s="51"/>
      <c r="P70" s="51"/>
      <c r="Q70" s="51"/>
      <c r="R70" s="51"/>
      <c r="S70" s="51"/>
      <c r="T70" s="51"/>
    </row>
    <row r="71" spans="1:20">
      <c r="A71" s="57" t="s">
        <v>329</v>
      </c>
      <c r="B71" s="95" t="s">
        <v>198</v>
      </c>
      <c r="C71" s="28" t="s">
        <v>154</v>
      </c>
      <c r="D71" s="123">
        <v>3446</v>
      </c>
      <c r="E71" s="123">
        <v>3543</v>
      </c>
      <c r="F71" s="123">
        <v>3662</v>
      </c>
      <c r="G71" s="123">
        <v>3949</v>
      </c>
      <c r="H71" s="123">
        <v>4150</v>
      </c>
      <c r="I71" s="123">
        <v>4202</v>
      </c>
      <c r="J71" s="123">
        <v>4480</v>
      </c>
      <c r="K71" s="123">
        <v>4619</v>
      </c>
      <c r="M71" s="51"/>
      <c r="N71" s="51"/>
      <c r="O71" s="51"/>
      <c r="P71" s="51"/>
      <c r="Q71" s="51"/>
      <c r="R71" s="51"/>
      <c r="S71" s="51"/>
      <c r="T71" s="51"/>
    </row>
    <row r="72" spans="1:20">
      <c r="A72" s="57" t="s">
        <v>330</v>
      </c>
      <c r="B72" s="95" t="s">
        <v>199</v>
      </c>
      <c r="C72" s="28" t="s">
        <v>154</v>
      </c>
      <c r="D72" s="123">
        <v>240.84803000000005</v>
      </c>
      <c r="E72" s="123">
        <v>241.67705000000001</v>
      </c>
      <c r="F72" s="123">
        <v>247.50108844460786</v>
      </c>
      <c r="G72" s="123">
        <v>257.07259544985834</v>
      </c>
      <c r="H72" s="123">
        <v>251.75184741051712</v>
      </c>
      <c r="I72" s="123">
        <v>262.95161000000002</v>
      </c>
      <c r="J72" s="123">
        <v>283.48281000000009</v>
      </c>
      <c r="K72" s="123">
        <v>281.54412000000013</v>
      </c>
      <c r="M72" s="51"/>
      <c r="N72" s="51"/>
      <c r="O72" s="51"/>
      <c r="P72" s="51"/>
      <c r="Q72" s="51"/>
      <c r="R72" s="51"/>
      <c r="S72" s="51"/>
      <c r="T72" s="51"/>
    </row>
    <row r="73" spans="1:20">
      <c r="A73" s="57" t="s">
        <v>331</v>
      </c>
      <c r="B73" s="95" t="s">
        <v>200</v>
      </c>
      <c r="C73" s="28" t="s">
        <v>154</v>
      </c>
      <c r="D73" s="123">
        <v>23.389520000000001</v>
      </c>
      <c r="E73" s="123">
        <v>23.389520000000001</v>
      </c>
      <c r="F73" s="123">
        <v>23.389520000000001</v>
      </c>
      <c r="G73" s="123">
        <v>23.389520000000001</v>
      </c>
      <c r="H73" s="123">
        <v>23.389520000000001</v>
      </c>
      <c r="I73" s="123">
        <v>23.389520000000001</v>
      </c>
      <c r="J73" s="123">
        <v>23.389520000000001</v>
      </c>
      <c r="K73" s="123">
        <v>23.389520000000001</v>
      </c>
      <c r="M73" s="51"/>
      <c r="N73" s="51"/>
      <c r="O73" s="51"/>
      <c r="P73" s="51"/>
      <c r="Q73" s="51"/>
      <c r="R73" s="51"/>
      <c r="S73" s="51"/>
      <c r="T73" s="51"/>
    </row>
    <row r="74" spans="1:20">
      <c r="M74" s="51"/>
      <c r="N74" s="51"/>
      <c r="O74" s="51"/>
      <c r="P74" s="51"/>
      <c r="Q74" s="51"/>
      <c r="R74" s="51"/>
      <c r="S74" s="51"/>
      <c r="T74" s="51"/>
    </row>
    <row r="75" spans="1:20">
      <c r="A75" s="146"/>
      <c r="B75" s="81" t="s">
        <v>567</v>
      </c>
      <c r="C75" s="28"/>
      <c r="M75" s="51"/>
      <c r="N75" s="51"/>
      <c r="O75" s="51"/>
      <c r="P75" s="51"/>
      <c r="Q75" s="51"/>
      <c r="R75" s="51"/>
      <c r="S75" s="51"/>
      <c r="T75" s="51"/>
    </row>
    <row r="76" spans="1:20">
      <c r="A76" s="57" t="s">
        <v>332</v>
      </c>
      <c r="B76" s="149" t="s">
        <v>201</v>
      </c>
      <c r="C76" s="145" t="s">
        <v>154</v>
      </c>
      <c r="D76" s="123"/>
      <c r="E76" s="123"/>
      <c r="F76" s="123"/>
      <c r="G76" s="123"/>
      <c r="H76" s="123"/>
      <c r="I76" s="123"/>
      <c r="J76" s="123"/>
      <c r="K76" s="123"/>
      <c r="M76" s="51"/>
      <c r="N76" s="51"/>
      <c r="O76" s="51"/>
      <c r="P76" s="51"/>
      <c r="Q76" s="51"/>
      <c r="R76" s="51"/>
      <c r="S76" s="51"/>
      <c r="T76" s="51"/>
    </row>
    <row r="77" spans="1:20">
      <c r="A77" s="57" t="s">
        <v>333</v>
      </c>
      <c r="B77" s="149" t="s">
        <v>202</v>
      </c>
      <c r="C77" s="145" t="s">
        <v>154</v>
      </c>
      <c r="D77" s="123"/>
      <c r="E77" s="123"/>
      <c r="F77" s="123"/>
      <c r="G77" s="123"/>
      <c r="H77" s="123"/>
      <c r="I77" s="123"/>
      <c r="J77" s="123"/>
      <c r="K77" s="123"/>
      <c r="M77" s="51"/>
      <c r="N77" s="51"/>
      <c r="O77" s="51"/>
      <c r="P77" s="51"/>
      <c r="Q77" s="51"/>
      <c r="R77" s="51"/>
      <c r="S77" s="51"/>
      <c r="T77" s="51"/>
    </row>
    <row r="78" spans="1:20">
      <c r="A78" s="57" t="s">
        <v>334</v>
      </c>
      <c r="B78" s="149" t="s">
        <v>203</v>
      </c>
      <c r="C78" s="145" t="s">
        <v>154</v>
      </c>
      <c r="D78" s="123">
        <v>2752</v>
      </c>
      <c r="E78" s="123">
        <v>2842</v>
      </c>
      <c r="F78" s="123">
        <v>2923</v>
      </c>
      <c r="G78" s="123">
        <v>2963</v>
      </c>
      <c r="H78" s="123">
        <v>2998</v>
      </c>
      <c r="I78" s="123">
        <v>3062</v>
      </c>
      <c r="J78" s="123">
        <v>3125</v>
      </c>
      <c r="K78" s="123">
        <v>3258</v>
      </c>
      <c r="M78" s="51"/>
      <c r="N78" s="51"/>
      <c r="O78" s="51"/>
      <c r="P78" s="51"/>
      <c r="Q78" s="51"/>
      <c r="R78" s="51"/>
      <c r="S78" s="51"/>
      <c r="T78" s="51"/>
    </row>
    <row r="79" spans="1:20">
      <c r="A79" s="57" t="s">
        <v>335</v>
      </c>
      <c r="B79" s="149" t="s">
        <v>204</v>
      </c>
      <c r="C79" s="145" t="s">
        <v>154</v>
      </c>
      <c r="D79" s="123">
        <v>2752</v>
      </c>
      <c r="E79" s="123">
        <v>2842</v>
      </c>
      <c r="F79" s="123">
        <v>2923</v>
      </c>
      <c r="G79" s="123">
        <v>2963</v>
      </c>
      <c r="H79" s="123">
        <v>2998</v>
      </c>
      <c r="I79" s="123">
        <v>3062</v>
      </c>
      <c r="J79" s="123">
        <v>3125</v>
      </c>
      <c r="K79" s="123">
        <v>3258</v>
      </c>
      <c r="M79" s="51"/>
      <c r="N79" s="51"/>
      <c r="O79" s="51"/>
      <c r="P79" s="51"/>
      <c r="Q79" s="51"/>
      <c r="R79" s="51"/>
      <c r="S79" s="51"/>
      <c r="T79" s="51"/>
    </row>
    <row r="80" spans="1:20">
      <c r="A80" s="57" t="s">
        <v>336</v>
      </c>
      <c r="B80" s="149" t="s">
        <v>205</v>
      </c>
      <c r="C80" s="145" t="s">
        <v>154</v>
      </c>
      <c r="D80" s="123">
        <v>0</v>
      </c>
      <c r="E80" s="123">
        <v>0</v>
      </c>
      <c r="F80" s="123">
        <v>0</v>
      </c>
      <c r="G80" s="123">
        <v>0</v>
      </c>
      <c r="H80" s="123">
        <v>0</v>
      </c>
      <c r="I80" s="123"/>
      <c r="J80" s="123"/>
      <c r="K80" s="123"/>
      <c r="M80" s="51"/>
      <c r="N80" s="51"/>
      <c r="O80" s="51"/>
      <c r="P80" s="51"/>
      <c r="Q80" s="51"/>
      <c r="R80" s="51"/>
      <c r="S80" s="51"/>
      <c r="T80" s="51"/>
    </row>
    <row r="81" spans="1:20">
      <c r="A81" s="146"/>
      <c r="B81" s="149"/>
      <c r="C81" s="145"/>
      <c r="M81" s="51"/>
      <c r="N81" s="51"/>
      <c r="O81" s="51"/>
      <c r="P81" s="51"/>
      <c r="Q81" s="51"/>
      <c r="R81" s="51"/>
      <c r="S81" s="51"/>
      <c r="T81" s="51"/>
    </row>
    <row r="82" spans="1:20">
      <c r="A82" s="146"/>
      <c r="B82" s="128" t="s">
        <v>568</v>
      </c>
      <c r="C82" s="129"/>
      <c r="D82" s="127"/>
      <c r="E82" s="127"/>
      <c r="F82" s="127"/>
      <c r="G82" s="127"/>
      <c r="H82" s="127"/>
      <c r="I82" s="127"/>
      <c r="J82" s="127"/>
      <c r="K82" s="127"/>
      <c r="M82" s="51"/>
      <c r="N82" s="51"/>
      <c r="O82" s="51"/>
      <c r="P82" s="51"/>
      <c r="Q82" s="51"/>
      <c r="R82" s="51"/>
      <c r="S82" s="51"/>
      <c r="T82" s="51"/>
    </row>
    <row r="83" spans="1:20">
      <c r="A83" s="57" t="s">
        <v>337</v>
      </c>
      <c r="B83" s="130" t="s">
        <v>206</v>
      </c>
      <c r="C83" s="129" t="s">
        <v>154</v>
      </c>
      <c r="D83" s="150"/>
      <c r="E83" s="150"/>
      <c r="F83" s="150"/>
      <c r="G83" s="150"/>
      <c r="H83" s="150"/>
      <c r="I83" s="150"/>
      <c r="J83" s="150"/>
      <c r="K83" s="150"/>
      <c r="M83" s="51"/>
      <c r="N83" s="51"/>
      <c r="O83" s="51"/>
      <c r="P83" s="51"/>
      <c r="Q83" s="51"/>
      <c r="R83" s="51"/>
      <c r="S83" s="51"/>
      <c r="T83" s="51"/>
    </row>
    <row r="84" spans="1:20">
      <c r="A84" s="146"/>
      <c r="B84" s="149"/>
      <c r="C84" s="145"/>
      <c r="M84" s="51"/>
      <c r="N84" s="51"/>
      <c r="O84" s="51"/>
      <c r="P84" s="51"/>
      <c r="Q84" s="51"/>
      <c r="R84" s="51"/>
      <c r="S84" s="51"/>
      <c r="T84" s="51"/>
    </row>
    <row r="85" spans="1:20" ht="15.75">
      <c r="A85" s="146"/>
      <c r="B85" s="79" t="s">
        <v>623</v>
      </c>
      <c r="C85" s="145"/>
      <c r="M85" s="51"/>
      <c r="N85" s="51"/>
      <c r="O85" s="51"/>
      <c r="P85" s="51"/>
      <c r="Q85" s="51"/>
      <c r="R85" s="51"/>
      <c r="S85" s="51"/>
      <c r="T85" s="51"/>
    </row>
    <row r="86" spans="1:20">
      <c r="A86" s="57" t="s">
        <v>338</v>
      </c>
      <c r="B86" s="120" t="s">
        <v>207</v>
      </c>
      <c r="C86" s="28" t="s">
        <v>208</v>
      </c>
      <c r="D86" s="123">
        <v>114446</v>
      </c>
      <c r="E86" s="123">
        <v>114966</v>
      </c>
      <c r="F86" s="123">
        <v>115342</v>
      </c>
      <c r="G86" s="123">
        <v>115835</v>
      </c>
      <c r="H86" s="123">
        <v>117061</v>
      </c>
      <c r="I86" s="123">
        <v>118015</v>
      </c>
      <c r="J86" s="123">
        <v>118407</v>
      </c>
      <c r="K86" s="123">
        <v>118780</v>
      </c>
      <c r="M86" s="51"/>
      <c r="N86" s="51"/>
      <c r="O86" s="51"/>
      <c r="P86" s="51"/>
      <c r="Q86" s="51"/>
      <c r="R86" s="51"/>
      <c r="S86" s="51"/>
      <c r="T86" s="51"/>
    </row>
    <row r="87" spans="1:20">
      <c r="A87" s="57" t="s">
        <v>339</v>
      </c>
      <c r="B87" s="120" t="s">
        <v>209</v>
      </c>
      <c r="C87" s="28" t="s">
        <v>208</v>
      </c>
      <c r="D87" s="123">
        <v>30870.5</v>
      </c>
      <c r="E87" s="123">
        <v>31511</v>
      </c>
      <c r="F87" s="123">
        <v>32101</v>
      </c>
      <c r="G87" s="123">
        <v>32622</v>
      </c>
      <c r="H87" s="123">
        <v>33480</v>
      </c>
      <c r="I87" s="123">
        <v>34462</v>
      </c>
      <c r="J87" s="123">
        <v>34870</v>
      </c>
      <c r="K87" s="123">
        <v>35364</v>
      </c>
      <c r="M87" s="51"/>
      <c r="N87" s="51"/>
      <c r="O87" s="51"/>
      <c r="P87" s="51"/>
      <c r="Q87" s="51"/>
      <c r="R87" s="51"/>
      <c r="S87" s="51"/>
      <c r="T87" s="51"/>
    </row>
    <row r="88" spans="1:20">
      <c r="A88" s="57" t="s">
        <v>340</v>
      </c>
      <c r="B88" s="151" t="s">
        <v>210</v>
      </c>
      <c r="C88" s="129" t="s">
        <v>208</v>
      </c>
      <c r="D88" s="150"/>
      <c r="E88" s="150"/>
      <c r="F88" s="150"/>
      <c r="G88" s="150"/>
      <c r="H88" s="150"/>
      <c r="I88" s="150"/>
      <c r="J88" s="150"/>
      <c r="K88" s="150"/>
    </row>
    <row r="89" spans="1:20">
      <c r="B89" s="149"/>
      <c r="C89" s="145"/>
    </row>
    <row r="90" spans="1:20">
      <c r="B90" s="149"/>
      <c r="C90" s="145"/>
    </row>
    <row r="91" spans="1:20">
      <c r="B91" s="152"/>
      <c r="C91" s="145"/>
    </row>
    <row r="92" spans="1:20">
      <c r="B92" s="120"/>
      <c r="C92" s="28"/>
    </row>
    <row r="93" spans="1:20">
      <c r="B93" s="120"/>
      <c r="C93" s="28"/>
    </row>
    <row r="94" spans="1:20">
      <c r="B94" s="149"/>
      <c r="C94" s="145"/>
    </row>
    <row r="95" spans="1:20">
      <c r="B95" s="101"/>
    </row>
  </sheetData>
  <pageMargins left="0.25" right="0.25" top="0.75" bottom="0.75" header="0.3" footer="0.3"/>
  <pageSetup paperSize="8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227</vt:i4>
      </vt:variant>
    </vt:vector>
  </HeadingPairs>
  <TitlesOfParts>
    <vt:vector size="237" baseType="lpstr">
      <vt:lpstr>Business &amp; other details</vt:lpstr>
      <vt:lpstr>cover</vt:lpstr>
      <vt:lpstr>1. Contents</vt:lpstr>
      <vt:lpstr>3.1 Revenue</vt:lpstr>
      <vt:lpstr>3.2 Operating expenditure</vt:lpstr>
      <vt:lpstr>3.3 Assets (RAB)</vt:lpstr>
      <vt:lpstr>3.4 Operational data</vt:lpstr>
      <vt:lpstr>3.5 Physical Assets</vt:lpstr>
      <vt:lpstr>3.6 Quality of services</vt:lpstr>
      <vt:lpstr>3.7 Operating environment</vt:lpstr>
      <vt:lpstr>'3.4 Operational data'!_ftn1</vt:lpstr>
      <vt:lpstr>'3.4 Operational data'!_ftnref1</vt:lpstr>
      <vt:lpstr>CRY</vt:lpstr>
      <vt:lpstr>dms_0203_ProjectType</vt:lpstr>
      <vt:lpstr>dms_030101_01_ACS_Values</vt:lpstr>
      <vt:lpstr>dms_030101_01_Rows</vt:lpstr>
      <vt:lpstr>dms_030101_01_SCS_Values</vt:lpstr>
      <vt:lpstr>dms_030102_01_ACS_Values</vt:lpstr>
      <vt:lpstr>dms_030102_01_Rows</vt:lpstr>
      <vt:lpstr>dms_030102_01_SCS_Values</vt:lpstr>
      <vt:lpstr>dms_030103_01_ACS_Values</vt:lpstr>
      <vt:lpstr>dms_030103_01_Rows</vt:lpstr>
      <vt:lpstr>dms_030103_01_SCS_Values</vt:lpstr>
      <vt:lpstr>dms_030201_01_ACS_Values</vt:lpstr>
      <vt:lpstr>dms_030201_01_Rows</vt:lpstr>
      <vt:lpstr>dms_030201_01_SCS_Values</vt:lpstr>
      <vt:lpstr>dms_030201_02a_ACS_Values</vt:lpstr>
      <vt:lpstr>dms_030201_02a_Rows</vt:lpstr>
      <vt:lpstr>dms_030201_02a_SCS_Values</vt:lpstr>
      <vt:lpstr>dms_030201_02b_ACS_Values</vt:lpstr>
      <vt:lpstr>dms_030201_02b_Rows</vt:lpstr>
      <vt:lpstr>dms_030201_02b_SCS_Values</vt:lpstr>
      <vt:lpstr>dms_030202_01_ACS_Values</vt:lpstr>
      <vt:lpstr>dms_030202_01_Rows</vt:lpstr>
      <vt:lpstr>dms_030202_01_SCS_Values</vt:lpstr>
      <vt:lpstr>dms_030202_02_ACS_Values</vt:lpstr>
      <vt:lpstr>dms_030202_02_Rows</vt:lpstr>
      <vt:lpstr>dms_030202_02_SCS_Values</vt:lpstr>
      <vt:lpstr>dms_030204_Rows</vt:lpstr>
      <vt:lpstr>dms_030204_Values</vt:lpstr>
      <vt:lpstr>dms_030301_01_ACS_Values</vt:lpstr>
      <vt:lpstr>dms_030301_01_NS_Values</vt:lpstr>
      <vt:lpstr>dms_030301_01_Rows</vt:lpstr>
      <vt:lpstr>dms_030301_01_SCS_Values</vt:lpstr>
      <vt:lpstr>dms_030302_01_ACS_Values</vt:lpstr>
      <vt:lpstr>dms_030302_01_NS_Values</vt:lpstr>
      <vt:lpstr>dms_030302_01_Rows</vt:lpstr>
      <vt:lpstr>dms_030302_01_SCS_Values</vt:lpstr>
      <vt:lpstr>dms_030302_02_ACS_Values</vt:lpstr>
      <vt:lpstr>dms_030302_02_NS_Values</vt:lpstr>
      <vt:lpstr>dms_030302_02_SCS_Values</vt:lpstr>
      <vt:lpstr>dms_030302_03_ACS_Values</vt:lpstr>
      <vt:lpstr>dms_030302_03_NS_Values</vt:lpstr>
      <vt:lpstr>dms_030302_03_SCS_Values</vt:lpstr>
      <vt:lpstr>dms_030302_04_ACS_Values</vt:lpstr>
      <vt:lpstr>dms_030302_04_NS_Values</vt:lpstr>
      <vt:lpstr>dms_030302_04_SCS_Values</vt:lpstr>
      <vt:lpstr>dms_030302_05_ACS_Values</vt:lpstr>
      <vt:lpstr>dms_030302_05_NS_Values</vt:lpstr>
      <vt:lpstr>dms_030302_05_SCS_Values</vt:lpstr>
      <vt:lpstr>dms_030302_06_ACS_Values</vt:lpstr>
      <vt:lpstr>dms_030302_06_NS_Values</vt:lpstr>
      <vt:lpstr>dms_030302_06_SCS_Values</vt:lpstr>
      <vt:lpstr>dms_030302_07_ACS_Values</vt:lpstr>
      <vt:lpstr>dms_030302_07_NS_Values</vt:lpstr>
      <vt:lpstr>dms_030302_07_Rows</vt:lpstr>
      <vt:lpstr>dms_030302_07_SCS_Values</vt:lpstr>
      <vt:lpstr>dms_030302_08_ACS_Values</vt:lpstr>
      <vt:lpstr>dms_030302_08_NS_Values</vt:lpstr>
      <vt:lpstr>dms_030302_08_SCS_Values</vt:lpstr>
      <vt:lpstr>dms_030302_09_ACS_Values</vt:lpstr>
      <vt:lpstr>dms_030302_09_NS_Values</vt:lpstr>
      <vt:lpstr>dms_030302_09_SCS_Values</vt:lpstr>
      <vt:lpstr>dms_030302_10_ACS_Values</vt:lpstr>
      <vt:lpstr>dms_030302_10_NS_Values</vt:lpstr>
      <vt:lpstr>dms_030302_10_SCS_Values</vt:lpstr>
      <vt:lpstr>dms_030303_01_ACS_Values</vt:lpstr>
      <vt:lpstr>dms_030303_01_NS_Values</vt:lpstr>
      <vt:lpstr>dms_030303_01_Rows</vt:lpstr>
      <vt:lpstr>dms_030303_01_SCS_Values</vt:lpstr>
      <vt:lpstr>dms_030304_01_ACS_Values</vt:lpstr>
      <vt:lpstr>dms_030304_01_NS_Values</vt:lpstr>
      <vt:lpstr>dms_030304_01_Rows</vt:lpstr>
      <vt:lpstr>dms_030304_01_SCS_Values</vt:lpstr>
      <vt:lpstr>dms_030304_02_ACS_Values</vt:lpstr>
      <vt:lpstr>dms_030304_02_NS_Values</vt:lpstr>
      <vt:lpstr>dms_030304_02_Rows</vt:lpstr>
      <vt:lpstr>dms_030304_02_SCS_Values</vt:lpstr>
      <vt:lpstr>dms_030401_01_Rows</vt:lpstr>
      <vt:lpstr>dms_030401_01_Values</vt:lpstr>
      <vt:lpstr>dms_030401_02_Rows</vt:lpstr>
      <vt:lpstr>dms_030401_02_Values</vt:lpstr>
      <vt:lpstr>dms_030401_03_Rows</vt:lpstr>
      <vt:lpstr>dms_030401_03_Values</vt:lpstr>
      <vt:lpstr>dms_030401_04_Rows</vt:lpstr>
      <vt:lpstr>dms_030401_04_Values</vt:lpstr>
      <vt:lpstr>dms_030402_01_Rows</vt:lpstr>
      <vt:lpstr>dms_030402_01_Values</vt:lpstr>
      <vt:lpstr>dms_030402_02_Rows</vt:lpstr>
      <vt:lpstr>dms_030402_02_Values</vt:lpstr>
      <vt:lpstr>dms_030403_01_Rows</vt:lpstr>
      <vt:lpstr>dms_030403_01_Values</vt:lpstr>
      <vt:lpstr>dms_030403_02_Rows</vt:lpstr>
      <vt:lpstr>dms_030403_02_Values</vt:lpstr>
      <vt:lpstr>dms_030403_03_Rows</vt:lpstr>
      <vt:lpstr>dms_030403_03_Values</vt:lpstr>
      <vt:lpstr>dms_030403_04_Rows</vt:lpstr>
      <vt:lpstr>dms_030403_04_Values</vt:lpstr>
      <vt:lpstr>dms_030403_05_Rows</vt:lpstr>
      <vt:lpstr>dms_030403_05_Values</vt:lpstr>
      <vt:lpstr>dms_030403_06_Rows</vt:lpstr>
      <vt:lpstr>dms_030403_06_Values</vt:lpstr>
      <vt:lpstr>dms_030403_07_Rows</vt:lpstr>
      <vt:lpstr>dms_030403_07_Values</vt:lpstr>
      <vt:lpstr>dms_030501_01_Rows</vt:lpstr>
      <vt:lpstr>dms_030501_01_Values</vt:lpstr>
      <vt:lpstr>dms_030501_02_Rows</vt:lpstr>
      <vt:lpstr>dms_030501_02_Values</vt:lpstr>
      <vt:lpstr>dms_030501_03_Rows</vt:lpstr>
      <vt:lpstr>dms_030501_03_Values</vt:lpstr>
      <vt:lpstr>dms_030501_04_Rows</vt:lpstr>
      <vt:lpstr>dms_030501_04_Values</vt:lpstr>
      <vt:lpstr>dms_030502_01_Rows</vt:lpstr>
      <vt:lpstr>dms_030502_01_Values</vt:lpstr>
      <vt:lpstr>dms_030502_02_Rows</vt:lpstr>
      <vt:lpstr>dms_030502_02_Values</vt:lpstr>
      <vt:lpstr>dms_030502_03_Rows</vt:lpstr>
      <vt:lpstr>dms_030502_03_Values</vt:lpstr>
      <vt:lpstr>dms_030503_Rows</vt:lpstr>
      <vt:lpstr>dms_030503_Values</vt:lpstr>
      <vt:lpstr>dms_030601_01_Rows</vt:lpstr>
      <vt:lpstr>dms_030601_01_UOM</vt:lpstr>
      <vt:lpstr>dms_030601_01_Values</vt:lpstr>
      <vt:lpstr>dms_030601_02_Rows</vt:lpstr>
      <vt:lpstr>dms_030601_02_UOM</vt:lpstr>
      <vt:lpstr>dms_030601_02_Values</vt:lpstr>
      <vt:lpstr>dms_030602_Rows</vt:lpstr>
      <vt:lpstr>dms_030602_Values</vt:lpstr>
      <vt:lpstr>dms_030603_Rows</vt:lpstr>
      <vt:lpstr>dms_030603_Values</vt:lpstr>
      <vt:lpstr>dms_030604_Rows</vt:lpstr>
      <vt:lpstr>dms_030604_Values</vt:lpstr>
      <vt:lpstr>dms_030701_01_Rows</vt:lpstr>
      <vt:lpstr>dms_030701_01_UOM</vt:lpstr>
      <vt:lpstr>dms_030701_01_Values</vt:lpstr>
      <vt:lpstr>dms_030702_01_Rows</vt:lpstr>
      <vt:lpstr>dms_030702_01_UOM</vt:lpstr>
      <vt:lpstr>dms_030702_01_Values</vt:lpstr>
      <vt:lpstr>dms_030703_01_Rows</vt:lpstr>
      <vt:lpstr>dms_030703_01_UOM</vt:lpstr>
      <vt:lpstr>dms_030703_01_Values</vt:lpstr>
      <vt:lpstr>dms_663</vt:lpstr>
      <vt:lpstr>dms_663_List</vt:lpstr>
      <vt:lpstr>dms_ABN</vt:lpstr>
      <vt:lpstr>dms_ABN_List</vt:lpstr>
      <vt:lpstr>dms_Addr1</vt:lpstr>
      <vt:lpstr>dms_Addr2</vt:lpstr>
      <vt:lpstr>dms_AmendmentReason</vt:lpstr>
      <vt:lpstr>dms_CFinalYear_List</vt:lpstr>
      <vt:lpstr>dms_Classification</vt:lpstr>
      <vt:lpstr>dms_ContactEmail</vt:lpstr>
      <vt:lpstr>dms_ContactEmail2</vt:lpstr>
      <vt:lpstr>dms_ContactName1</vt:lpstr>
      <vt:lpstr>dms_ContactName2</vt:lpstr>
      <vt:lpstr>dms_ContactPh1</vt:lpstr>
      <vt:lpstr>dms_ContactPh2</vt:lpstr>
      <vt:lpstr>dms_CRCP_FinalYear</vt:lpstr>
      <vt:lpstr>dms_CRCP_FinalYear_Num</vt:lpstr>
      <vt:lpstr>dms_CRCP_FinalYear_Result</vt:lpstr>
      <vt:lpstr>dms_CRCPlength</vt:lpstr>
      <vt:lpstr>dms_CRCPlength_List</vt:lpstr>
      <vt:lpstr>dms_CRCPlength_Num</vt:lpstr>
      <vt:lpstr>dms_CRCPlength_Num_List</vt:lpstr>
      <vt:lpstr>dms_CRY_ListC</vt:lpstr>
      <vt:lpstr>dms_CRY_ListF</vt:lpstr>
      <vt:lpstr>dms_DataQuality</vt:lpstr>
      <vt:lpstr>dms_Defined_Names_Used</vt:lpstr>
      <vt:lpstr>dms_DeterminationRef_List</vt:lpstr>
      <vt:lpstr>dms_dollar_nom_UOM</vt:lpstr>
      <vt:lpstr>dms_DollarReal</vt:lpstr>
      <vt:lpstr>dms_EB_UOM</vt:lpstr>
      <vt:lpstr>dms_EBSS_status</vt:lpstr>
      <vt:lpstr>dms_FinalYear_List</vt:lpstr>
      <vt:lpstr>dms_FormControl</vt:lpstr>
      <vt:lpstr>dms_FormControl_Choices</vt:lpstr>
      <vt:lpstr>dms_FormControl_List</vt:lpstr>
      <vt:lpstr>dms_FRCP_FinalYear</vt:lpstr>
      <vt:lpstr>dms_FRCP_FinalYear_Num</vt:lpstr>
      <vt:lpstr>dms_FRCPlength</vt:lpstr>
      <vt:lpstr>dms_FRCPlength_List</vt:lpstr>
      <vt:lpstr>dms_FRCPlength_Num</vt:lpstr>
      <vt:lpstr>dms_FRCPlength_Num_List</vt:lpstr>
      <vt:lpstr>dms_Jurisdiction</vt:lpstr>
      <vt:lpstr>dms_JurisdictionList</vt:lpstr>
      <vt:lpstr>dms_Model</vt:lpstr>
      <vt:lpstr>dms_Model_List</vt:lpstr>
      <vt:lpstr>dms_PAddr1</vt:lpstr>
      <vt:lpstr>dms_PAddr2</vt:lpstr>
      <vt:lpstr>dms_PostCode</vt:lpstr>
      <vt:lpstr>dms_PPostCode</vt:lpstr>
      <vt:lpstr>dms_PState</vt:lpstr>
      <vt:lpstr>dms_PSuburb</vt:lpstr>
      <vt:lpstr>dms_Reg_Year_Span</vt:lpstr>
      <vt:lpstr>dms_RINversion</vt:lpstr>
      <vt:lpstr>dms_RPT</vt:lpstr>
      <vt:lpstr>dms_RPT_List</vt:lpstr>
      <vt:lpstr>dms_RPTMonth</vt:lpstr>
      <vt:lpstr>dms_RPTMonth_List</vt:lpstr>
      <vt:lpstr>dms_RYE</vt:lpstr>
      <vt:lpstr>dms_RYE_Formula_Result</vt:lpstr>
      <vt:lpstr>dms_RYE_List2</vt:lpstr>
      <vt:lpstr>dms_Sector</vt:lpstr>
      <vt:lpstr>dms_Sector_List</vt:lpstr>
      <vt:lpstr>dms_Segment</vt:lpstr>
      <vt:lpstr>dms_Segment_List</vt:lpstr>
      <vt:lpstr>dms_Source</vt:lpstr>
      <vt:lpstr>dms_SourceList</vt:lpstr>
      <vt:lpstr>dms_State</vt:lpstr>
      <vt:lpstr>dms_SubmissionDate</vt:lpstr>
      <vt:lpstr>dms_Suburb</vt:lpstr>
      <vt:lpstr>dms_TemplateNumber</vt:lpstr>
      <vt:lpstr>dms_TradingName</vt:lpstr>
      <vt:lpstr>dms_TradingName_List</vt:lpstr>
      <vt:lpstr>dms_TradingNameFull</vt:lpstr>
      <vt:lpstr>dms_TradingNameFull_List</vt:lpstr>
      <vt:lpstr>dms_Worksheet_List</vt:lpstr>
      <vt:lpstr>'1. Contents'!Print_Area</vt:lpstr>
      <vt:lpstr>'3.1 Revenue'!Print_Area</vt:lpstr>
      <vt:lpstr>'3.2 Operating expenditure'!Print_Area</vt:lpstr>
      <vt:lpstr>'3.4 Operational data'!Print_Area</vt:lpstr>
      <vt:lpstr>'3.5 Physical Assets'!Print_Area</vt:lpstr>
      <vt:lpstr>'3.6 Quality of services'!Print_Area</vt:lpstr>
      <vt:lpstr>'3.7 Operating environment'!Print_Area</vt:lpstr>
      <vt:lpstr>cover!Print_Area</vt:lpstr>
      <vt:lpstr>'3.4 Operational data'!Print_Titles</vt:lpstr>
      <vt:lpstr>'3.5 Physical Assets'!Print_Titles</vt:lpstr>
      <vt:lpstr>SheetHeader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INGESTED PROD - 20170302</dc:subject>
  <dc:creator>kcheu</dc:creator>
  <cp:keywords>EB; DNSP; 2006-13; VIC; V2; current</cp:keywords>
  <dc:description>20170302 - sent to UAT @ 1620</dc:description>
  <cp:lastModifiedBy>Thai, Chi</cp:lastModifiedBy>
  <cp:lastPrinted>2014-04-29T08:32:19Z</cp:lastPrinted>
  <dcterms:created xsi:type="dcterms:W3CDTF">2013-06-17T05:26:37Z</dcterms:created>
  <dcterms:modified xsi:type="dcterms:W3CDTF">2019-07-18T06:38:53Z</dcterms:modified>
  <cp:category>EB;DNSP;2006-13;VIC;V2;current</cp:category>
  <cp:contentStatus>INGESTED UAT - 20170302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\\SCBRFS001.accc.local\home$\kjo\DMS testing\Spreadsheets by type\Benchmarking\DNSP\Estimate\United 2006-2013 STD REV - Estimated Data Lodged to the AER.xlsx</vt:lpwstr>
  </property>
</Properties>
</file>