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/>
  <xr:revisionPtr revIDLastSave="0" documentId="13_ncr:1_{0C35B695-5D5D-430F-8B54-A21E7A1DF9AA}" xr6:coauthVersionLast="45" xr6:coauthVersionMax="45" xr10:uidLastSave="{00000000-0000-0000-0000-000000000000}"/>
  <bookViews>
    <workbookView xWindow="-108" yWindow="-108" windowWidth="23256" windowHeight="12600" tabRatio="896" xr2:uid="{00000000-000D-0000-FFFF-FFFF00000000}"/>
  </bookViews>
  <sheets>
    <sheet name="Output" sheetId="72" r:id="rId1"/>
    <sheet name="Summary" sheetId="70" r:id="rId2"/>
    <sheet name="Assumptions" sheetId="74" r:id="rId3"/>
    <sheet name="B_K_depots" sheetId="71" r:id="rId4"/>
  </sheets>
  <definedNames>
    <definedName name="Conv_2021">Assumptions!$B$18</definedName>
    <definedName name="Depot_categories">B_K_depots!$C$32:$C$40</definedName>
    <definedName name="Facilities_categories">#REF!</definedName>
    <definedName name="Facilities_costs">#REF!</definedName>
    <definedName name="_xlnm.Print_Area" localSheetId="1">Summary!$A$1:$J$10</definedName>
    <definedName name="yea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70" l="1"/>
  <c r="Z20" i="72"/>
  <c r="Y20" i="72"/>
  <c r="X20" i="72"/>
  <c r="W20" i="72"/>
  <c r="V20" i="72"/>
  <c r="S20" i="72"/>
  <c r="T20" i="72" s="1"/>
  <c r="P20" i="72"/>
  <c r="M20" i="72"/>
  <c r="N20" i="72" s="1"/>
  <c r="J20" i="72"/>
  <c r="G20" i="72"/>
  <c r="H20" i="72" s="1"/>
  <c r="K20" i="72" l="1"/>
  <c r="Q20" i="72"/>
  <c r="A1" i="72" l="1"/>
  <c r="D6" i="72"/>
  <c r="D7" i="70" s="1"/>
  <c r="C50" i="71"/>
  <c r="C54" i="71"/>
  <c r="K32" i="71"/>
  <c r="L32" i="71"/>
  <c r="H32" i="71"/>
  <c r="E41" i="74"/>
  <c r="E40" i="74"/>
  <c r="E39" i="74"/>
  <c r="E38" i="74"/>
  <c r="E37" i="74"/>
  <c r="E36" i="74"/>
  <c r="E34" i="74"/>
  <c r="E33" i="74"/>
  <c r="A20" i="71"/>
  <c r="A24" i="74"/>
  <c r="A23" i="74"/>
  <c r="E14" i="74"/>
  <c r="F14" i="74" s="1"/>
  <c r="G10" i="72"/>
  <c r="H10" i="72" s="1"/>
  <c r="J10" i="72"/>
  <c r="K10" i="72" s="1"/>
  <c r="M10" i="72"/>
  <c r="N10" i="72" s="1"/>
  <c r="P10" i="72"/>
  <c r="S10" i="72"/>
  <c r="T10" i="72" s="1"/>
  <c r="V10" i="72"/>
  <c r="W10" i="72"/>
  <c r="X10" i="72"/>
  <c r="Y10" i="72"/>
  <c r="Z10" i="72"/>
  <c r="C42" i="71"/>
  <c r="A2" i="71"/>
  <c r="A1" i="71"/>
  <c r="A2" i="72"/>
  <c r="A2" i="70"/>
  <c r="A1" i="70"/>
  <c r="A10" i="71"/>
  <c r="Q10" i="72" l="1"/>
  <c r="Y24" i="72" s="1"/>
  <c r="G14" i="74"/>
  <c r="Z24" i="72" l="1"/>
  <c r="W24" i="72"/>
  <c r="V24" i="72"/>
  <c r="Z23" i="72"/>
  <c r="X23" i="72"/>
  <c r="Y23" i="72"/>
  <c r="V23" i="72"/>
  <c r="W23" i="72"/>
  <c r="X24" i="72"/>
  <c r="H14" i="74"/>
  <c r="I14" i="74" s="1"/>
  <c r="J14" i="74" s="1"/>
  <c r="AB24" i="72" l="1"/>
  <c r="AB23" i="72"/>
  <c r="B18" i="74"/>
  <c r="V14" i="72" l="1"/>
  <c r="W14" i="72"/>
  <c r="Y14" i="72"/>
  <c r="Z14" i="72"/>
  <c r="L16" i="70"/>
  <c r="X14" i="72"/>
  <c r="W15" i="72" l="1"/>
  <c r="X15" i="72"/>
  <c r="L14" i="70"/>
  <c r="AB14" i="72"/>
  <c r="Z15" i="72"/>
  <c r="AD14" i="72" l="1"/>
  <c r="AE14" i="72"/>
  <c r="AF14" i="72"/>
  <c r="Y15" i="72"/>
  <c r="V15" i="72"/>
  <c r="N14" i="70"/>
  <c r="AH14" i="72" l="1"/>
  <c r="AB15" i="72"/>
  <c r="AE15" i="72" l="1"/>
  <c r="AF15" i="72"/>
  <c r="AD15" i="72"/>
  <c r="N15" i="70"/>
  <c r="L15" i="70"/>
  <c r="AH15" i="72" l="1"/>
  <c r="J32" i="71" l="1"/>
  <c r="I32" i="71" l="1"/>
  <c r="H35" i="71" l="1"/>
  <c r="J35" i="71"/>
  <c r="K35" i="71"/>
  <c r="L35" i="71"/>
  <c r="I36" i="71"/>
  <c r="J36" i="71"/>
  <c r="K36" i="71"/>
  <c r="H37" i="71"/>
  <c r="I37" i="71"/>
  <c r="J37" i="71"/>
  <c r="L37" i="71"/>
  <c r="H38" i="71"/>
  <c r="I38" i="71"/>
  <c r="K38" i="71"/>
  <c r="L38" i="71"/>
  <c r="H39" i="71"/>
  <c r="J39" i="71"/>
  <c r="K39" i="71"/>
  <c r="L39" i="71"/>
  <c r="I40" i="71"/>
  <c r="J40" i="71"/>
  <c r="K40" i="71"/>
  <c r="I33" i="71"/>
  <c r="J33" i="71"/>
  <c r="L33" i="71"/>
  <c r="H33" i="71"/>
  <c r="L49" i="71" l="1"/>
  <c r="L34" i="71"/>
  <c r="H49" i="71"/>
  <c r="H34" i="71"/>
  <c r="K49" i="71"/>
  <c r="K34" i="71"/>
  <c r="I49" i="71"/>
  <c r="I34" i="71"/>
  <c r="K33" i="71"/>
  <c r="L40" i="71"/>
  <c r="H40" i="71"/>
  <c r="I39" i="71"/>
  <c r="J38" i="71"/>
  <c r="K37" i="71"/>
  <c r="L36" i="71"/>
  <c r="H36" i="71"/>
  <c r="I35" i="71"/>
  <c r="J34" i="71"/>
  <c r="J49" i="71"/>
  <c r="Y13" i="72" l="1"/>
  <c r="J41" i="71"/>
  <c r="J42" i="71" s="1"/>
  <c r="J46" i="71"/>
  <c r="H48" i="71"/>
  <c r="I48" i="71"/>
  <c r="I46" i="71"/>
  <c r="L48" i="71"/>
  <c r="J47" i="71"/>
  <c r="L46" i="71"/>
  <c r="J43" i="71"/>
  <c r="X13" i="72"/>
  <c r="I41" i="71"/>
  <c r="V13" i="72"/>
  <c r="H41" i="71"/>
  <c r="I47" i="71"/>
  <c r="J48" i="71"/>
  <c r="L41" i="71"/>
  <c r="H46" i="71"/>
  <c r="H47" i="71"/>
  <c r="W13" i="72"/>
  <c r="L47" i="71"/>
  <c r="K46" i="71"/>
  <c r="K41" i="71"/>
  <c r="K48" i="71"/>
  <c r="K47" i="71"/>
  <c r="Z13" i="72"/>
  <c r="F18" i="70" l="1"/>
  <c r="F25" i="72"/>
  <c r="Q25" i="72"/>
  <c r="Q26" i="72" s="1"/>
  <c r="Q12" i="72" s="1"/>
  <c r="Q18" i="72" s="1"/>
  <c r="N25" i="72"/>
  <c r="N26" i="72" s="1"/>
  <c r="N12" i="72" s="1"/>
  <c r="N18" i="72" s="1"/>
  <c r="M25" i="72"/>
  <c r="M26" i="72" s="1"/>
  <c r="M12" i="72" s="1"/>
  <c r="M18" i="72" s="1"/>
  <c r="H25" i="72"/>
  <c r="H26" i="72" s="1"/>
  <c r="H12" i="72" s="1"/>
  <c r="H18" i="72" s="1"/>
  <c r="G25" i="72"/>
  <c r="G26" i="72" s="1"/>
  <c r="G12" i="72" s="1"/>
  <c r="G18" i="72" s="1"/>
  <c r="J25" i="72"/>
  <c r="J26" i="72" s="1"/>
  <c r="J12" i="72" s="1"/>
  <c r="J18" i="72" s="1"/>
  <c r="T25" i="72"/>
  <c r="T26" i="72" s="1"/>
  <c r="T12" i="72" s="1"/>
  <c r="T18" i="72" s="1"/>
  <c r="H18" i="70"/>
  <c r="H21" i="70" s="1"/>
  <c r="L25" i="72"/>
  <c r="O25" i="72"/>
  <c r="I18" i="70"/>
  <c r="I21" i="70" s="1"/>
  <c r="G18" i="70"/>
  <c r="G21" i="70" s="1"/>
  <c r="I25" i="72"/>
  <c r="P25" i="72"/>
  <c r="P26" i="72" s="1"/>
  <c r="P12" i="72" s="1"/>
  <c r="P18" i="72" s="1"/>
  <c r="S25" i="72"/>
  <c r="S26" i="72" s="1"/>
  <c r="S12" i="72" s="1"/>
  <c r="S18" i="72" s="1"/>
  <c r="R25" i="72"/>
  <c r="J18" i="70"/>
  <c r="J21" i="70" s="1"/>
  <c r="K25" i="72"/>
  <c r="K26" i="72" s="1"/>
  <c r="K12" i="72" s="1"/>
  <c r="K18" i="72" s="1"/>
  <c r="J50" i="71"/>
  <c r="J51" i="71" s="1"/>
  <c r="H50" i="71"/>
  <c r="H42" i="71"/>
  <c r="H43" i="71"/>
  <c r="L42" i="71"/>
  <c r="L43" i="71"/>
  <c r="AB13" i="72"/>
  <c r="K50" i="71"/>
  <c r="L50" i="71"/>
  <c r="I50" i="71"/>
  <c r="K43" i="71"/>
  <c r="K42" i="71"/>
  <c r="L19" i="70"/>
  <c r="I42" i="71"/>
  <c r="I43" i="71"/>
  <c r="R26" i="72" l="1"/>
  <c r="R12" i="72" s="1"/>
  <c r="R18" i="72" s="1"/>
  <c r="Z18" i="72" s="1"/>
  <c r="Z25" i="72"/>
  <c r="Z26" i="72" s="1"/>
  <c r="L26" i="72"/>
  <c r="L12" i="72" s="1"/>
  <c r="X25" i="72"/>
  <c r="X26" i="72" s="1"/>
  <c r="F26" i="72"/>
  <c r="F12" i="72" s="1"/>
  <c r="F18" i="72" s="1"/>
  <c r="V18" i="72" s="1"/>
  <c r="V25" i="72"/>
  <c r="I26" i="72"/>
  <c r="I12" i="72" s="1"/>
  <c r="W25" i="72"/>
  <c r="W26" i="72" s="1"/>
  <c r="O26" i="72"/>
  <c r="O12" i="72" s="1"/>
  <c r="O18" i="72" s="1"/>
  <c r="Y18" i="72" s="1"/>
  <c r="Y25" i="72"/>
  <c r="Y26" i="72" s="1"/>
  <c r="AF18" i="72"/>
  <c r="N19" i="70"/>
  <c r="Z12" i="72"/>
  <c r="AE18" i="72"/>
  <c r="I51" i="71"/>
  <c r="L51" i="71"/>
  <c r="H51" i="71"/>
  <c r="K51" i="71"/>
  <c r="N43" i="71"/>
  <c r="N3" i="71" s="1"/>
  <c r="AF13" i="72"/>
  <c r="AD13" i="72"/>
  <c r="AE13" i="72"/>
  <c r="F21" i="70"/>
  <c r="L18" i="70"/>
  <c r="D54" i="71"/>
  <c r="Y12" i="72" l="1"/>
  <c r="V12" i="72"/>
  <c r="I18" i="72"/>
  <c r="W18" i="72" s="1"/>
  <c r="W12" i="72"/>
  <c r="L18" i="72"/>
  <c r="X18" i="72" s="1"/>
  <c r="X12" i="72"/>
  <c r="V26" i="72"/>
  <c r="AB25" i="72"/>
  <c r="AB26" i="72" s="1"/>
  <c r="N51" i="71"/>
  <c r="L21" i="70"/>
  <c r="AH13" i="72"/>
  <c r="AB12" i="72" l="1"/>
  <c r="AE12" i="72" s="1"/>
  <c r="AD18" i="72"/>
  <c r="AE19" i="72" s="1"/>
  <c r="AB18" i="72"/>
  <c r="AD12" i="72" l="1"/>
  <c r="AF12" i="72"/>
  <c r="N16" i="70"/>
  <c r="AF19" i="72"/>
  <c r="AD19" i="72"/>
  <c r="AH12" i="72" l="1"/>
</calcChain>
</file>

<file path=xl/sharedStrings.xml><?xml version="1.0" encoding="utf-8"?>
<sst xmlns="http://schemas.openxmlformats.org/spreadsheetml/2006/main" count="243" uniqueCount="81">
  <si>
    <t>Materials</t>
  </si>
  <si>
    <t>Labour</t>
  </si>
  <si>
    <t>Assumptions</t>
  </si>
  <si>
    <t>Contracts</t>
  </si>
  <si>
    <t>CapEx</t>
  </si>
  <si>
    <t>Parameters</t>
  </si>
  <si>
    <t>Area Applied</t>
  </si>
  <si>
    <t>Assumption Types</t>
  </si>
  <si>
    <t>Type</t>
  </si>
  <si>
    <t>Cost ($)</t>
  </si>
  <si>
    <t>Check</t>
  </si>
  <si>
    <t>Summary</t>
  </si>
  <si>
    <t>Real Discount rate:</t>
  </si>
  <si>
    <t>2021/22</t>
  </si>
  <si>
    <t>2022/23</t>
  </si>
  <si>
    <t>2023/24</t>
  </si>
  <si>
    <t>2024/25</t>
  </si>
  <si>
    <t>2025/26</t>
  </si>
  <si>
    <t>Capex/Opex</t>
  </si>
  <si>
    <t>Total</t>
  </si>
  <si>
    <t>Function Code</t>
  </si>
  <si>
    <t>Service</t>
  </si>
  <si>
    <t>Actual</t>
  </si>
  <si>
    <t>Forecast</t>
  </si>
  <si>
    <t>Cumulative CPI from 2015</t>
  </si>
  <si>
    <t>Multiply by:</t>
  </si>
  <si>
    <t>To:</t>
  </si>
  <si>
    <t>Cost inputs are in:</t>
  </si>
  <si>
    <t>2020/21</t>
  </si>
  <si>
    <t>To convert from nominal:</t>
  </si>
  <si>
    <t>dollars (mid year)</t>
  </si>
  <si>
    <t>dollars (end of FY)</t>
  </si>
  <si>
    <t>Checks OK</t>
  </si>
  <si>
    <t>Description</t>
  </si>
  <si>
    <t>Output ($, 2020/21)</t>
  </si>
  <si>
    <t>Forecast direct capex ($'000, 2020/21)</t>
  </si>
  <si>
    <t>Summary ($, 2020/21)</t>
  </si>
  <si>
    <t>Total Cost ($, 2020/21)</t>
  </si>
  <si>
    <t>Options</t>
  </si>
  <si>
    <t>Non-Network Capex</t>
  </si>
  <si>
    <t>Fleet</t>
  </si>
  <si>
    <t>Property</t>
  </si>
  <si>
    <t>Other non network</t>
  </si>
  <si>
    <t>Contract</t>
  </si>
  <si>
    <t xml:space="preserve">New Depot Design </t>
  </si>
  <si>
    <t>Staff Relocation / Alternative Accom</t>
  </si>
  <si>
    <t>Land acquisition</t>
  </si>
  <si>
    <t>Civil Works/Demolition works</t>
  </si>
  <si>
    <t xml:space="preserve">Building works </t>
  </si>
  <si>
    <t xml:space="preserve">Services </t>
  </si>
  <si>
    <t>Fixtures, Furniture &amp; equipment</t>
  </si>
  <si>
    <t>Other</t>
  </si>
  <si>
    <t>Project Management</t>
  </si>
  <si>
    <t>Land</t>
  </si>
  <si>
    <t>Depot</t>
  </si>
  <si>
    <t>Tools and equipment</t>
  </si>
  <si>
    <t>Non Network Capex</t>
  </si>
  <si>
    <t>Capex</t>
  </si>
  <si>
    <t>Tools &amp; Equipment</t>
  </si>
  <si>
    <t>Facilities</t>
  </si>
  <si>
    <t>Dollars</t>
  </si>
  <si>
    <t>CPI</t>
  </si>
  <si>
    <t>Annual CPI - 12 months unlagged</t>
  </si>
  <si>
    <t>UE</t>
  </si>
  <si>
    <t>Burwood</t>
  </si>
  <si>
    <t>Keysborough</t>
  </si>
  <si>
    <t>GEA</t>
  </si>
  <si>
    <t>GPA / GPC</t>
  </si>
  <si>
    <t>GTA / GVA</t>
  </si>
  <si>
    <t>Mid CY</t>
  </si>
  <si>
    <t>End FY</t>
  </si>
  <si>
    <t>Inputs are in $2020</t>
  </si>
  <si>
    <t>Total Expenditure $2020</t>
  </si>
  <si>
    <t>Mornington depot</t>
  </si>
  <si>
    <t>Total Property</t>
  </si>
  <si>
    <t>Total Non-network</t>
  </si>
  <si>
    <t>Burwood &amp; Keysborough depots</t>
  </si>
  <si>
    <t>Burwood and Keysborough depots</t>
  </si>
  <si>
    <t>0</t>
  </si>
  <si>
    <t>AER draft decision</t>
  </si>
  <si>
    <t>RRP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</si>
</sst>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;[Red]\-&quot;$&quot;#,##0;\ &quot;-&quot;"/>
    <numFmt numFmtId="169" formatCode="#,##0_ ;[Red]\-#,##0;\ &quot;-&quot;"/>
    <numFmt numFmtId="170" formatCode="#,##0_ ;[Red]\-#,##0\ "/>
    <numFmt numFmtId="171" formatCode="&quot;Convert to December&quot;\ ####"/>
    <numFmt numFmtId="172" formatCode="0.00000000000000000"/>
    <numFmt numFmtId="173" formatCode="0.000000"/>
    <numFmt numFmtId="174" formatCode="#,##0.00000000"/>
    <numFmt numFmtId="175" formatCode="&quot;$&quot;#,##0.000000000;[Red]\-&quot;$&quot;#,##0.000000000;\ &quot;-&quot;"/>
    <numFmt numFmtId="176" formatCode="0.0%"/>
    <numFmt numFmtId="177" formatCode="_-* #,##0_-;\-* #,##0_-;_-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sz val="8"/>
      <color theme="0" tint="-0.499984740745262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sz val="10"/>
      <color theme="3"/>
      <name val="Arial"/>
      <family val="2"/>
    </font>
    <font>
      <sz val="8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166" fontId="5" fillId="0" borderId="0" applyFont="0" applyFill="0" applyBorder="0" applyAlignment="0" applyProtection="0"/>
    <xf numFmtId="0" fontId="1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48" fillId="2" borderId="9" applyNumberFormat="0" applyAlignment="0">
      <alignment horizontal="right"/>
      <protection locked="0"/>
    </xf>
    <xf numFmtId="167" fontId="3" fillId="0" borderId="0" applyFont="0" applyFill="0" applyBorder="0" applyAlignment="0" applyProtection="0"/>
    <xf numFmtId="0" fontId="3" fillId="0" borderId="12" applyNumberFormat="0" applyAlignment="0"/>
  </cellStyleXfs>
  <cellXfs count="150">
    <xf numFmtId="0" fontId="0" fillId="0" borderId="0" xfId="0"/>
    <xf numFmtId="0" fontId="12" fillId="0" borderId="0" xfId="0" applyFont="1"/>
    <xf numFmtId="0" fontId="12" fillId="0" borderId="0" xfId="0" applyFont="1" applyFill="1"/>
    <xf numFmtId="3" fontId="12" fillId="0" borderId="0" xfId="0" applyNumberFormat="1" applyFont="1"/>
    <xf numFmtId="0" fontId="12" fillId="0" borderId="0" xfId="0" applyFont="1" applyBorder="1"/>
    <xf numFmtId="0" fontId="13" fillId="0" borderId="3" xfId="0" applyFont="1" applyBorder="1"/>
    <xf numFmtId="0" fontId="13" fillId="0" borderId="0" xfId="0" applyFont="1" applyBorder="1"/>
    <xf numFmtId="168" fontId="12" fillId="0" borderId="0" xfId="0" applyNumberFormat="1" applyFont="1" applyFill="1" applyBorder="1" applyAlignment="1">
      <alignment horizontal="right" vertical="top"/>
    </xf>
    <xf numFmtId="0" fontId="13" fillId="0" borderId="4" xfId="0" applyFont="1" applyBorder="1"/>
    <xf numFmtId="168" fontId="13" fillId="0" borderId="4" xfId="0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5" fillId="0" borderId="0" xfId="0" applyFont="1" applyFill="1"/>
    <xf numFmtId="0" fontId="14" fillId="0" borderId="0" xfId="0" applyFont="1" applyFill="1"/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8" fontId="13" fillId="0" borderId="5" xfId="0" applyNumberFormat="1" applyFont="1" applyFill="1" applyBorder="1" applyAlignment="1">
      <alignment horizontal="right" vertical="top"/>
    </xf>
    <xf numFmtId="0" fontId="12" fillId="0" borderId="2" xfId="0" applyFont="1" applyBorder="1"/>
    <xf numFmtId="168" fontId="12" fillId="0" borderId="2" xfId="0" applyNumberFormat="1" applyFont="1" applyFill="1" applyBorder="1" applyAlignment="1">
      <alignment horizontal="right" vertical="top"/>
    </xf>
    <xf numFmtId="0" fontId="2" fillId="0" borderId="0" xfId="13" applyFont="1" applyFill="1" applyAlignment="1">
      <alignment horizontal="left" vertical="center"/>
    </xf>
    <xf numFmtId="0" fontId="0" fillId="0" borderId="0" xfId="0" applyFill="1"/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1" fillId="0" borderId="0" xfId="0" applyFont="1"/>
    <xf numFmtId="164" fontId="13" fillId="0" borderId="0" xfId="0" applyNumberFormat="1" applyFont="1"/>
    <xf numFmtId="168" fontId="12" fillId="0" borderId="0" xfId="0" applyNumberFormat="1" applyFont="1" applyFill="1"/>
    <xf numFmtId="164" fontId="12" fillId="0" borderId="2" xfId="0" applyNumberFormat="1" applyFont="1" applyFill="1" applyBorder="1" applyAlignment="1">
      <alignment horizontal="right" vertical="top"/>
    </xf>
    <xf numFmtId="0" fontId="22" fillId="3" borderId="0" xfId="0" applyFont="1" applyFill="1"/>
    <xf numFmtId="0" fontId="22" fillId="3" borderId="0" xfId="0" applyFont="1" applyFill="1" applyAlignment="1">
      <alignment horizontal="center"/>
    </xf>
    <xf numFmtId="0" fontId="23" fillId="0" borderId="0" xfId="0" applyFont="1"/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25" fillId="0" borderId="0" xfId="0" applyFont="1"/>
    <xf numFmtId="0" fontId="26" fillId="5" borderId="0" xfId="14" applyFont="1" applyFill="1" applyAlignment="1" applyProtection="1"/>
    <xf numFmtId="0" fontId="26" fillId="5" borderId="0" xfId="14" applyFont="1" applyFill="1" applyProtection="1"/>
    <xf numFmtId="0" fontId="26" fillId="5" borderId="0" xfId="14" applyFont="1" applyFill="1" applyAlignment="1" applyProtection="1">
      <alignment textRotation="2"/>
    </xf>
    <xf numFmtId="0" fontId="26" fillId="5" borderId="0" xfId="14" applyFont="1" applyFill="1" applyBorder="1" applyAlignment="1" applyProtection="1">
      <alignment textRotation="2"/>
    </xf>
    <xf numFmtId="0" fontId="27" fillId="6" borderId="0" xfId="14" applyFont="1" applyFill="1" applyAlignment="1" applyProtection="1"/>
    <xf numFmtId="0" fontId="28" fillId="5" borderId="0" xfId="14" applyFont="1" applyFill="1" applyProtection="1"/>
    <xf numFmtId="0" fontId="29" fillId="5" borderId="0" xfId="14" applyFont="1" applyFill="1" applyAlignment="1" applyProtection="1">
      <alignment textRotation="2"/>
    </xf>
    <xf numFmtId="0" fontId="29" fillId="5" borderId="0" xfId="14" applyFont="1" applyFill="1" applyProtection="1"/>
    <xf numFmtId="0" fontId="29" fillId="5" borderId="0" xfId="14" applyFont="1" applyFill="1" applyBorder="1" applyAlignment="1" applyProtection="1">
      <alignment textRotation="2"/>
    </xf>
    <xf numFmtId="0" fontId="29" fillId="5" borderId="0" xfId="14" applyFont="1" applyFill="1" applyAlignment="1" applyProtection="1"/>
    <xf numFmtId="0" fontId="30" fillId="5" borderId="0" xfId="14" applyFont="1" applyFill="1" applyAlignment="1" applyProtection="1"/>
    <xf numFmtId="0" fontId="31" fillId="6" borderId="0" xfId="14" applyFont="1" applyFill="1" applyBorder="1" applyProtection="1"/>
    <xf numFmtId="0" fontId="28" fillId="6" borderId="0" xfId="14" applyFont="1" applyFill="1" applyBorder="1" applyProtection="1"/>
    <xf numFmtId="0" fontId="31" fillId="5" borderId="0" xfId="14" applyFont="1" applyFill="1" applyProtection="1"/>
    <xf numFmtId="0" fontId="13" fillId="7" borderId="0" xfId="14" applyFont="1" applyFill="1" applyBorder="1"/>
    <xf numFmtId="0" fontId="12" fillId="7" borderId="0" xfId="14" applyFont="1" applyFill="1" applyBorder="1"/>
    <xf numFmtId="0" fontId="13" fillId="7" borderId="6" xfId="14" applyNumberFormat="1" applyFont="1" applyFill="1" applyBorder="1" applyAlignment="1">
      <alignment horizontal="right"/>
    </xf>
    <xf numFmtId="0" fontId="13" fillId="7" borderId="0" xfId="14" applyNumberFormat="1" applyFont="1" applyFill="1" applyBorder="1" applyAlignment="1">
      <alignment horizontal="right"/>
    </xf>
    <xf numFmtId="0" fontId="28" fillId="7" borderId="0" xfId="14" applyFont="1" applyFill="1" applyBorder="1"/>
    <xf numFmtId="0" fontId="13" fillId="7" borderId="6" xfId="0" applyNumberFormat="1" applyFont="1" applyFill="1" applyBorder="1" applyAlignment="1">
      <alignment horizontal="right" vertical="center" wrapText="1"/>
    </xf>
    <xf numFmtId="0" fontId="13" fillId="7" borderId="0" xfId="0" applyNumberFormat="1" applyFont="1" applyFill="1" applyBorder="1" applyAlignment="1">
      <alignment horizontal="right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31" fillId="5" borderId="0" xfId="14" applyFont="1" applyFill="1" applyAlignment="1" applyProtection="1">
      <alignment horizontal="center"/>
    </xf>
    <xf numFmtId="0" fontId="31" fillId="6" borderId="0" xfId="14" applyFont="1" applyFill="1" applyBorder="1"/>
    <xf numFmtId="3" fontId="31" fillId="6" borderId="0" xfId="14" applyNumberFormat="1" applyFont="1" applyFill="1" applyBorder="1"/>
    <xf numFmtId="0" fontId="23" fillId="0" borderId="0" xfId="0" applyFont="1" applyAlignment="1">
      <alignment horizontal="center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32" fillId="0" borderId="0" xfId="0" applyFont="1" applyBorder="1"/>
    <xf numFmtId="0" fontId="32" fillId="0" borderId="0" xfId="0" applyFont="1" applyBorder="1" applyAlignment="1">
      <alignment horizontal="right"/>
    </xf>
    <xf numFmtId="0" fontId="0" fillId="0" borderId="0" xfId="0" applyFont="1"/>
    <xf numFmtId="0" fontId="33" fillId="0" borderId="0" xfId="0" applyFont="1"/>
    <xf numFmtId="0" fontId="34" fillId="0" borderId="0" xfId="0" applyFont="1"/>
    <xf numFmtId="172" fontId="0" fillId="0" borderId="0" xfId="0" applyNumberFormat="1" applyFont="1"/>
    <xf numFmtId="10" fontId="34" fillId="0" borderId="0" xfId="26" applyNumberFormat="1" applyFont="1"/>
    <xf numFmtId="171" fontId="35" fillId="0" borderId="0" xfId="0" applyNumberFormat="1" applyFont="1"/>
    <xf numFmtId="0" fontId="35" fillId="0" borderId="0" xfId="0" applyFont="1"/>
    <xf numFmtId="171" fontId="36" fillId="0" borderId="0" xfId="0" applyNumberFormat="1" applyFont="1"/>
    <xf numFmtId="0" fontId="36" fillId="0" borderId="0" xfId="0" applyFont="1"/>
    <xf numFmtId="173" fontId="12" fillId="0" borderId="0" xfId="0" applyNumberFormat="1" applyFont="1"/>
    <xf numFmtId="0" fontId="37" fillId="0" borderId="0" xfId="13" applyFont="1" applyFill="1" applyAlignment="1">
      <alignment horizontal="left" vertical="center"/>
    </xf>
    <xf numFmtId="1" fontId="38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0" fontId="40" fillId="8" borderId="0" xfId="0" applyFont="1" applyFill="1"/>
    <xf numFmtId="169" fontId="41" fillId="8" borderId="0" xfId="0" applyNumberFormat="1" applyFont="1" applyFill="1"/>
    <xf numFmtId="0" fontId="0" fillId="0" borderId="2" xfId="0" applyBorder="1"/>
    <xf numFmtId="1" fontId="42" fillId="2" borderId="1" xfId="26" applyNumberFormat="1" applyFont="1" applyFill="1" applyBorder="1" applyAlignment="1">
      <alignment horizontal="right"/>
    </xf>
    <xf numFmtId="10" fontId="42" fillId="2" borderId="0" xfId="26" applyNumberFormat="1" applyFont="1" applyFill="1"/>
    <xf numFmtId="1" fontId="42" fillId="2" borderId="0" xfId="26" applyNumberFormat="1" applyFont="1" applyFill="1"/>
    <xf numFmtId="1" fontId="42" fillId="2" borderId="0" xfId="26" applyNumberFormat="1" applyFont="1" applyFill="1" applyAlignment="1">
      <alignment horizontal="right"/>
    </xf>
    <xf numFmtId="0" fontId="44" fillId="2" borderId="7" xfId="0" applyFont="1" applyFill="1" applyBorder="1" applyAlignment="1">
      <alignment vertical="center"/>
    </xf>
    <xf numFmtId="0" fontId="44" fillId="2" borderId="5" xfId="0" applyFont="1" applyFill="1" applyBorder="1" applyAlignment="1">
      <alignment vertical="center"/>
    </xf>
    <xf numFmtId="0" fontId="44" fillId="2" borderId="8" xfId="0" applyFont="1" applyFill="1" applyBorder="1" applyAlignment="1">
      <alignment vertical="center"/>
    </xf>
    <xf numFmtId="170" fontId="44" fillId="2" borderId="1" xfId="0" applyNumberFormat="1" applyFont="1" applyFill="1" applyBorder="1" applyAlignment="1">
      <alignment horizontal="right" vertical="top"/>
    </xf>
    <xf numFmtId="172" fontId="12" fillId="0" borderId="0" xfId="0" applyNumberFormat="1" applyFont="1"/>
    <xf numFmtId="169" fontId="39" fillId="5" borderId="0" xfId="0" applyNumberFormat="1" applyFont="1" applyFill="1" applyAlignment="1">
      <alignment horizontal="left"/>
    </xf>
    <xf numFmtId="0" fontId="45" fillId="5" borderId="0" xfId="14" applyFont="1" applyFill="1" applyAlignment="1" applyProtection="1"/>
    <xf numFmtId="0" fontId="46" fillId="0" borderId="0" xfId="0" applyFont="1"/>
    <xf numFmtId="0" fontId="47" fillId="0" borderId="0" xfId="0" applyFont="1"/>
    <xf numFmtId="0" fontId="13" fillId="4" borderId="2" xfId="0" applyFont="1" applyFill="1" applyBorder="1" applyAlignment="1">
      <alignment horizontal="left"/>
    </xf>
    <xf numFmtId="0" fontId="13" fillId="9" borderId="0" xfId="0" applyFont="1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10" borderId="0" xfId="0" applyFont="1" applyFill="1" applyBorder="1"/>
    <xf numFmtId="164" fontId="13" fillId="10" borderId="0" xfId="0" applyNumberFormat="1" applyFont="1" applyFill="1" applyBorder="1"/>
    <xf numFmtId="0" fontId="13" fillId="4" borderId="10" xfId="0" applyFont="1" applyFill="1" applyBorder="1" applyAlignment="1">
      <alignment horizontal="left"/>
    </xf>
    <xf numFmtId="0" fontId="13" fillId="4" borderId="10" xfId="0" applyFont="1" applyFill="1" applyBorder="1" applyAlignment="1">
      <alignment horizontal="centerContinuous"/>
    </xf>
    <xf numFmtId="0" fontId="13" fillId="4" borderId="10" xfId="0" applyFont="1" applyFill="1" applyBorder="1" applyAlignment="1">
      <alignment horizontal="center"/>
    </xf>
    <xf numFmtId="0" fontId="31" fillId="5" borderId="0" xfId="14" applyFont="1" applyFill="1"/>
    <xf numFmtId="0" fontId="31" fillId="5" borderId="0" xfId="28" applyNumberFormat="1" applyFont="1" applyFill="1" applyBorder="1" applyAlignment="1" applyProtection="1">
      <alignment vertical="center"/>
      <protection locked="0"/>
    </xf>
    <xf numFmtId="9" fontId="31" fillId="2" borderId="0" xfId="14" quotePrefix="1" applyNumberFormat="1" applyFont="1" applyFill="1" applyAlignment="1">
      <alignment horizontal="center"/>
    </xf>
    <xf numFmtId="9" fontId="31" fillId="2" borderId="0" xfId="14" applyNumberFormat="1" applyFont="1" applyFill="1" applyAlignment="1">
      <alignment horizontal="center"/>
    </xf>
    <xf numFmtId="164" fontId="12" fillId="0" borderId="0" xfId="0" applyNumberFormat="1" applyFont="1" applyFill="1" applyBorder="1" applyAlignment="1">
      <alignment horizontal="right" vertical="top"/>
    </xf>
    <xf numFmtId="0" fontId="28" fillId="5" borderId="0" xfId="14" applyFont="1" applyFill="1"/>
    <xf numFmtId="9" fontId="31" fillId="0" borderId="0" xfId="14" applyNumberFormat="1" applyFont="1" applyFill="1" applyAlignment="1">
      <alignment horizontal="center"/>
    </xf>
    <xf numFmtId="0" fontId="49" fillId="0" borderId="0" xfId="0" applyFont="1"/>
    <xf numFmtId="165" fontId="12" fillId="0" borderId="0" xfId="0" applyNumberFormat="1" applyFont="1"/>
    <xf numFmtId="0" fontId="35" fillId="0" borderId="2" xfId="0" applyFont="1" applyBorder="1" applyAlignment="1">
      <alignment horizontal="left"/>
    </xf>
    <xf numFmtId="0" fontId="35" fillId="0" borderId="2" xfId="0" applyFont="1" applyBorder="1" applyAlignment="1">
      <alignment horizontal="right"/>
    </xf>
    <xf numFmtId="0" fontId="0" fillId="0" borderId="0" xfId="0" applyBorder="1"/>
    <xf numFmtId="0" fontId="36" fillId="0" borderId="0" xfId="0" applyFont="1" applyBorder="1" applyAlignment="1">
      <alignment horizontal="right"/>
    </xf>
    <xf numFmtId="0" fontId="43" fillId="0" borderId="0" xfId="0" applyFont="1" applyBorder="1" applyAlignment="1">
      <alignment horizontal="right"/>
    </xf>
    <xf numFmtId="0" fontId="12" fillId="8" borderId="0" xfId="0" applyFont="1" applyFill="1"/>
    <xf numFmtId="0" fontId="44" fillId="6" borderId="0" xfId="14" applyFont="1" applyFill="1" applyBorder="1"/>
    <xf numFmtId="3" fontId="44" fillId="6" borderId="0" xfId="14" applyNumberFormat="1" applyFont="1" applyFill="1" applyBorder="1"/>
    <xf numFmtId="3" fontId="27" fillId="6" borderId="0" xfId="14" applyNumberFormat="1" applyFont="1" applyFill="1" applyBorder="1"/>
    <xf numFmtId="174" fontId="12" fillId="0" borderId="0" xfId="0" applyNumberFormat="1" applyFont="1"/>
    <xf numFmtId="175" fontId="12" fillId="8" borderId="0" xfId="0" applyNumberFormat="1" applyFont="1" applyFill="1"/>
    <xf numFmtId="9" fontId="31" fillId="6" borderId="0" xfId="26" applyFont="1" applyFill="1" applyBorder="1"/>
    <xf numFmtId="176" fontId="31" fillId="6" borderId="0" xfId="26" applyNumberFormat="1" applyFont="1" applyFill="1" applyBorder="1"/>
    <xf numFmtId="165" fontId="12" fillId="8" borderId="11" xfId="0" applyNumberFormat="1" applyFont="1" applyFill="1" applyBorder="1" applyAlignment="1">
      <alignment horizontal="center" vertical="center"/>
    </xf>
    <xf numFmtId="9" fontId="31" fillId="6" borderId="0" xfId="26" applyNumberFormat="1" applyFont="1" applyFill="1" applyBorder="1"/>
    <xf numFmtId="3" fontId="31" fillId="6" borderId="3" xfId="14" applyNumberFormat="1" applyFont="1" applyFill="1" applyBorder="1"/>
    <xf numFmtId="0" fontId="51" fillId="5" borderId="0" xfId="14" applyFont="1" applyFill="1" applyAlignment="1" applyProtection="1">
      <alignment textRotation="2"/>
    </xf>
    <xf numFmtId="0" fontId="31" fillId="6" borderId="0" xfId="14" applyFont="1" applyFill="1"/>
    <xf numFmtId="0" fontId="28" fillId="6" borderId="0" xfId="14" applyFont="1" applyFill="1"/>
    <xf numFmtId="0" fontId="52" fillId="0" borderId="0" xfId="0" applyFont="1"/>
    <xf numFmtId="3" fontId="28" fillId="6" borderId="0" xfId="14" applyNumberFormat="1" applyFont="1" applyFill="1" applyBorder="1"/>
    <xf numFmtId="0" fontId="28" fillId="6" borderId="4" xfId="14" applyFont="1" applyFill="1" applyBorder="1"/>
    <xf numFmtId="0" fontId="52" fillId="0" borderId="4" xfId="0" applyFont="1" applyBorder="1"/>
    <xf numFmtId="3" fontId="28" fillId="6" borderId="4" xfId="14" applyNumberFormat="1" applyFont="1" applyFill="1" applyBorder="1"/>
    <xf numFmtId="0" fontId="23" fillId="0" borderId="0" xfId="0" applyFont="1" applyBorder="1"/>
    <xf numFmtId="0" fontId="31" fillId="5" borderId="0" xfId="14" applyFont="1" applyFill="1" applyBorder="1" applyProtection="1"/>
    <xf numFmtId="3" fontId="50" fillId="6" borderId="0" xfId="14" applyNumberFormat="1" applyFont="1" applyFill="1" applyBorder="1"/>
    <xf numFmtId="3" fontId="30" fillId="6" borderId="0" xfId="14" applyNumberFormat="1" applyFont="1" applyFill="1" applyBorder="1"/>
    <xf numFmtId="0" fontId="31" fillId="5" borderId="0" xfId="14" applyFont="1" applyFill="1" applyBorder="1" applyAlignment="1" applyProtection="1">
      <alignment horizontal="center"/>
    </xf>
    <xf numFmtId="0" fontId="13" fillId="7" borderId="0" xfId="14" applyNumberFormat="1" applyFont="1" applyFill="1" applyBorder="1" applyAlignment="1">
      <alignment horizontal="center"/>
    </xf>
    <xf numFmtId="3" fontId="31" fillId="11" borderId="0" xfId="14" applyNumberFormat="1" applyFont="1" applyFill="1" applyBorder="1"/>
    <xf numFmtId="177" fontId="3" fillId="11" borderId="0" xfId="29" applyNumberFormat="1" applyFill="1" applyBorder="1"/>
    <xf numFmtId="177" fontId="3" fillId="12" borderId="0" xfId="29" applyNumberFormat="1" applyFill="1" applyBorder="1"/>
    <xf numFmtId="3" fontId="31" fillId="12" borderId="0" xfId="14" applyNumberFormat="1" applyFont="1" applyFill="1" applyBorder="1"/>
  </cellXfs>
  <cellStyles count="30">
    <cellStyle name="Comma 2" xfId="11" xr:uid="{00000000-0005-0000-0000-000000000000}"/>
    <cellStyle name="Comma 3" xfId="24" xr:uid="{00000000-0005-0000-0000-000001000000}"/>
    <cellStyle name="Comma_MTHREP2 2" xfId="28" xr:uid="{00000000-0005-0000-0000-000002000000}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Insheet" xfId="29" xr:uid="{5BD40383-C00D-4B23-9929-53442F0126B5}"/>
    <cellStyle name="Normal" xfId="0" builtinId="0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User_Input_Actual" xfId="27" xr:uid="{00000000-0005-0000-0000-00001C000000}"/>
  </cellStyles>
  <dxfs count="7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66FF33"/>
      <color rgb="FFFFFF00"/>
      <color rgb="FF0000FF"/>
      <color rgb="FFFFFFCC"/>
      <color rgb="FFEBF2F9"/>
      <color rgb="FFE5EEF7"/>
      <color rgb="FFD6E5F2"/>
      <color rgb="FFFF6600"/>
      <color rgb="FF00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P56"/>
  <sheetViews>
    <sheetView showGridLines="0" tabSelected="1" zoomScale="80" zoomScaleNormal="80" workbookViewId="0">
      <selection activeCell="M33" sqref="M33"/>
    </sheetView>
  </sheetViews>
  <sheetFormatPr defaultColWidth="9.109375" defaultRowHeight="18" x14ac:dyDescent="0.35"/>
  <cols>
    <col min="1" max="1" width="4.33203125" style="34" customWidth="1"/>
    <col min="2" max="2" width="10.5546875" style="34" customWidth="1"/>
    <col min="3" max="3" width="15.109375" style="34" customWidth="1"/>
    <col min="4" max="4" width="9.44140625" style="34" customWidth="1"/>
    <col min="5" max="5" width="3.44140625" style="34" customWidth="1"/>
    <col min="6" max="9" width="10.6640625" style="34" customWidth="1"/>
    <col min="10" max="10" width="10.6640625" style="63" customWidth="1"/>
    <col min="11" max="20" width="10.6640625" style="34" customWidth="1"/>
    <col min="21" max="21" width="4" style="34" customWidth="1"/>
    <col min="22" max="26" width="10.6640625" style="34" customWidth="1"/>
    <col min="27" max="27" width="3.109375" style="34" customWidth="1"/>
    <col min="28" max="28" width="10.6640625" style="34" customWidth="1"/>
    <col min="29" max="29" width="2.33203125" style="34" customWidth="1"/>
    <col min="30" max="32" width="10.6640625" style="34" customWidth="1"/>
    <col min="33" max="33" width="2" style="34" customWidth="1"/>
    <col min="34" max="34" width="3.44140625" style="34" customWidth="1"/>
    <col min="35" max="35" width="9.109375" style="34"/>
    <col min="36" max="36" width="9.6640625" style="34" customWidth="1"/>
    <col min="37" max="16384" width="9.109375" style="34"/>
  </cols>
  <sheetData>
    <row r="1" spans="1:42" ht="21" x14ac:dyDescent="0.4">
      <c r="A1" s="13" t="str">
        <f>Assumptions!A1</f>
        <v>Non-Network Capex</v>
      </c>
      <c r="B1" s="32"/>
      <c r="C1" s="32"/>
      <c r="D1" s="32"/>
      <c r="E1" s="32"/>
      <c r="F1" s="32"/>
      <c r="G1" s="32"/>
      <c r="H1" s="32"/>
      <c r="I1" s="32"/>
      <c r="J1" s="33"/>
      <c r="K1" s="147" t="s">
        <v>79</v>
      </c>
      <c r="L1" s="147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42" x14ac:dyDescent="0.35">
      <c r="A2" s="12" t="str">
        <f>Assumptions!A2</f>
        <v>UE</v>
      </c>
      <c r="B2" s="32"/>
      <c r="C2" s="32"/>
      <c r="D2" s="32"/>
      <c r="E2" s="32"/>
      <c r="F2" s="32"/>
      <c r="G2" s="32"/>
      <c r="H2" s="32"/>
      <c r="I2" s="32"/>
      <c r="J2" s="33"/>
      <c r="K2" s="148" t="s">
        <v>80</v>
      </c>
      <c r="L2" s="148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42" s="37" customFormat="1" x14ac:dyDescent="0.35">
      <c r="A3" s="27" t="s">
        <v>34</v>
      </c>
      <c r="B3" s="35"/>
      <c r="C3" s="35"/>
      <c r="D3" s="35"/>
      <c r="E3" s="35"/>
      <c r="F3" s="35"/>
      <c r="G3" s="35"/>
      <c r="H3" s="35"/>
      <c r="I3" s="35"/>
      <c r="J3" s="35"/>
      <c r="K3" s="36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42" ht="12.75" customHeight="1" x14ac:dyDescent="0.35">
      <c r="A4" s="38"/>
      <c r="B4" s="38"/>
      <c r="C4" s="39"/>
      <c r="D4" s="39"/>
      <c r="E4" s="40"/>
      <c r="F4" s="39"/>
      <c r="G4" s="39"/>
      <c r="H4" s="40"/>
      <c r="I4" s="40"/>
      <c r="J4" s="40"/>
      <c r="K4" s="40"/>
      <c r="L4" s="40"/>
      <c r="M4" s="41"/>
      <c r="N4" s="41"/>
      <c r="O4" s="40"/>
      <c r="P4" s="40"/>
      <c r="Q4" s="40"/>
      <c r="R4" s="40"/>
      <c r="S4" s="40"/>
      <c r="T4" s="40"/>
      <c r="U4" s="40"/>
      <c r="V4" s="132"/>
      <c r="W4" s="132"/>
      <c r="X4" s="132"/>
      <c r="Y4" s="132"/>
      <c r="Z4" s="132"/>
      <c r="AA4" s="40"/>
      <c r="AB4" s="40"/>
      <c r="AC4" s="40"/>
      <c r="AD4" s="40"/>
      <c r="AE4" s="40"/>
      <c r="AF4" s="40"/>
      <c r="AG4" s="40"/>
      <c r="AH4" s="40"/>
    </row>
    <row r="5" spans="1:42" s="2" customFormat="1" ht="12.75" customHeight="1" x14ac:dyDescent="0.3">
      <c r="A5" s="42"/>
      <c r="B5" s="44"/>
      <c r="C5" s="43"/>
      <c r="D5" s="44"/>
      <c r="E5" s="44"/>
      <c r="F5" s="45"/>
      <c r="G5" s="45"/>
      <c r="H5" s="44"/>
      <c r="I5" s="44"/>
      <c r="J5" s="44"/>
      <c r="K5" s="44"/>
      <c r="L5" s="44"/>
      <c r="M5" s="46"/>
      <c r="N5" s="46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42" s="2" customFormat="1" ht="12.75" customHeight="1" x14ac:dyDescent="0.3">
      <c r="A6" s="42"/>
      <c r="B6" s="96" t="s">
        <v>32</v>
      </c>
      <c r="C6" s="51"/>
      <c r="D6" s="95" t="b">
        <f xml:space="preserve"> AND(TRUE, TRUE,TRUE,TRUE,TRUE)</f>
        <v>1</v>
      </c>
      <c r="E6" s="44"/>
      <c r="F6" s="45"/>
      <c r="G6" s="45"/>
      <c r="H6" s="44"/>
      <c r="I6" s="44"/>
      <c r="J6" s="44"/>
      <c r="K6" s="44"/>
      <c r="L6" s="44"/>
      <c r="M6" s="46"/>
      <c r="N6" s="46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42" s="2" customFormat="1" ht="12.75" customHeight="1" x14ac:dyDescent="0.3">
      <c r="A7" s="42"/>
      <c r="B7" s="42"/>
      <c r="C7" s="42"/>
      <c r="D7" s="42"/>
      <c r="E7" s="42"/>
      <c r="F7" s="42"/>
      <c r="G7" s="45"/>
      <c r="H7" s="44"/>
      <c r="I7" s="44"/>
      <c r="J7" s="44"/>
      <c r="K7" s="44"/>
      <c r="L7" s="44"/>
      <c r="M7" s="46"/>
      <c r="N7" s="46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42" s="2" customFormat="1" ht="12.75" customHeight="1" x14ac:dyDescent="0.3">
      <c r="A8" s="47"/>
      <c r="B8" s="48"/>
      <c r="C8" s="45"/>
      <c r="D8" s="45"/>
      <c r="E8" s="44"/>
      <c r="F8" s="45"/>
      <c r="G8" s="45"/>
      <c r="H8" s="44"/>
      <c r="I8" s="44"/>
      <c r="J8" s="44"/>
      <c r="K8" s="44"/>
      <c r="L8" s="44"/>
      <c r="M8" s="46"/>
      <c r="N8" s="46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42" s="2" customFormat="1" ht="12.75" customHeight="1" x14ac:dyDescent="0.35">
      <c r="A9" s="49"/>
      <c r="B9" s="50" t="s">
        <v>35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34"/>
    </row>
    <row r="10" spans="1:42" s="2" customFormat="1" ht="12.75" customHeight="1" x14ac:dyDescent="0.35">
      <c r="A10" s="51"/>
      <c r="B10" s="52"/>
      <c r="C10" s="53"/>
      <c r="D10" s="53"/>
      <c r="E10" s="54"/>
      <c r="F10" s="55" t="s">
        <v>13</v>
      </c>
      <c r="G10" s="55" t="str">
        <f>F10</f>
        <v>2021/22</v>
      </c>
      <c r="H10" s="54" t="str">
        <f>G10</f>
        <v>2021/22</v>
      </c>
      <c r="I10" s="55" t="s">
        <v>14</v>
      </c>
      <c r="J10" s="55" t="str">
        <f>I10</f>
        <v>2022/23</v>
      </c>
      <c r="K10" s="54" t="str">
        <f>J10</f>
        <v>2022/23</v>
      </c>
      <c r="L10" s="55" t="s">
        <v>15</v>
      </c>
      <c r="M10" s="55" t="str">
        <f>L10</f>
        <v>2023/24</v>
      </c>
      <c r="N10" s="54" t="str">
        <f>M10</f>
        <v>2023/24</v>
      </c>
      <c r="O10" s="55" t="s">
        <v>16</v>
      </c>
      <c r="P10" s="55" t="str">
        <f>O10</f>
        <v>2024/25</v>
      </c>
      <c r="Q10" s="54" t="str">
        <f>P10</f>
        <v>2024/25</v>
      </c>
      <c r="R10" s="55" t="s">
        <v>17</v>
      </c>
      <c r="S10" s="55" t="str">
        <f>R10</f>
        <v>2025/26</v>
      </c>
      <c r="T10" s="54" t="str">
        <f>S10</f>
        <v>2025/26</v>
      </c>
      <c r="U10" s="51"/>
      <c r="V10" s="55" t="str">
        <f>F10</f>
        <v>2021/22</v>
      </c>
      <c r="W10" s="55" t="str">
        <f>I10</f>
        <v>2022/23</v>
      </c>
      <c r="X10" s="55" t="str">
        <f>L10</f>
        <v>2023/24</v>
      </c>
      <c r="Y10" s="55" t="str">
        <f>O10</f>
        <v>2024/25</v>
      </c>
      <c r="Z10" s="55" t="str">
        <f>R10</f>
        <v>2025/26</v>
      </c>
      <c r="AA10" s="51"/>
      <c r="AB10" s="55" t="s">
        <v>19</v>
      </c>
      <c r="AC10" s="44"/>
      <c r="AD10" s="145" t="s">
        <v>19</v>
      </c>
      <c r="AE10" s="145"/>
      <c r="AF10" s="145"/>
      <c r="AG10" s="44"/>
      <c r="AH10" s="51"/>
      <c r="AI10" s="34"/>
      <c r="AJ10" s="34"/>
      <c r="AK10" s="34"/>
    </row>
    <row r="11" spans="1:42" s="2" customFormat="1" ht="12.75" customHeight="1" x14ac:dyDescent="0.35">
      <c r="A11" s="51"/>
      <c r="B11" s="56" t="s">
        <v>20</v>
      </c>
      <c r="C11" s="56" t="s">
        <v>21</v>
      </c>
      <c r="D11" s="56"/>
      <c r="E11" s="57"/>
      <c r="F11" s="58" t="s">
        <v>1</v>
      </c>
      <c r="G11" s="58" t="s">
        <v>0</v>
      </c>
      <c r="H11" s="57" t="s">
        <v>3</v>
      </c>
      <c r="I11" s="58" t="s">
        <v>1</v>
      </c>
      <c r="J11" s="58" t="s">
        <v>0</v>
      </c>
      <c r="K11" s="57" t="s">
        <v>3</v>
      </c>
      <c r="L11" s="58" t="s">
        <v>1</v>
      </c>
      <c r="M11" s="58" t="s">
        <v>0</v>
      </c>
      <c r="N11" s="57" t="s">
        <v>3</v>
      </c>
      <c r="O11" s="58" t="s">
        <v>1</v>
      </c>
      <c r="P11" s="58" t="s">
        <v>0</v>
      </c>
      <c r="Q11" s="57" t="s">
        <v>3</v>
      </c>
      <c r="R11" s="59" t="s">
        <v>1</v>
      </c>
      <c r="S11" s="59" t="s">
        <v>0</v>
      </c>
      <c r="T11" s="59" t="s">
        <v>3</v>
      </c>
      <c r="U11" s="51"/>
      <c r="V11" s="59"/>
      <c r="W11" s="59"/>
      <c r="X11" s="59"/>
      <c r="Y11" s="59"/>
      <c r="Z11" s="59"/>
      <c r="AA11" s="51"/>
      <c r="AB11" s="59"/>
      <c r="AC11" s="44"/>
      <c r="AD11" s="59" t="s">
        <v>1</v>
      </c>
      <c r="AE11" s="59" t="s">
        <v>0</v>
      </c>
      <c r="AF11" s="59" t="s">
        <v>3</v>
      </c>
      <c r="AG11" s="44"/>
      <c r="AH11" s="51"/>
      <c r="AI11" s="34"/>
      <c r="AJ11" s="34"/>
      <c r="AK11" s="34"/>
    </row>
    <row r="12" spans="1:42" s="2" customFormat="1" ht="12.6" customHeight="1" x14ac:dyDescent="0.35">
      <c r="A12" s="51"/>
      <c r="B12" s="60" t="s">
        <v>67</v>
      </c>
      <c r="C12" s="61" t="s">
        <v>41</v>
      </c>
      <c r="D12" s="61"/>
      <c r="E12" s="61"/>
      <c r="F12" s="62">
        <f>F26</f>
        <v>0</v>
      </c>
      <c r="G12" s="62">
        <f t="shared" ref="G12:T12" si="0">G26</f>
        <v>22774.28688840368</v>
      </c>
      <c r="H12" s="62">
        <f t="shared" si="0"/>
        <v>15042.911574341915</v>
      </c>
      <c r="I12" s="62">
        <f t="shared" si="0"/>
        <v>0</v>
      </c>
      <c r="J12" s="62">
        <f t="shared" si="0"/>
        <v>5697.3369804205204</v>
      </c>
      <c r="K12" s="62">
        <f t="shared" si="0"/>
        <v>7900.7826102821709</v>
      </c>
      <c r="L12" s="62">
        <f t="shared" si="0"/>
        <v>476.56944497427492</v>
      </c>
      <c r="M12" s="62">
        <f t="shared" si="0"/>
        <v>317.71296331618328</v>
      </c>
      <c r="N12" s="62">
        <f t="shared" si="0"/>
        <v>127.08518532647331</v>
      </c>
      <c r="O12" s="62">
        <f t="shared" si="0"/>
        <v>0</v>
      </c>
      <c r="P12" s="62">
        <f t="shared" si="0"/>
        <v>2427.3270397356405</v>
      </c>
      <c r="Q12" s="62">
        <f t="shared" si="0"/>
        <v>1882.9788292539129</v>
      </c>
      <c r="R12" s="62">
        <f t="shared" si="0"/>
        <v>0</v>
      </c>
      <c r="S12" s="62">
        <f t="shared" si="0"/>
        <v>5090.0223598848997</v>
      </c>
      <c r="T12" s="62">
        <f t="shared" si="0"/>
        <v>4049.5205515106386</v>
      </c>
      <c r="U12" s="51"/>
      <c r="V12" s="62">
        <f t="shared" ref="V12:Z15" si="1">SUMIF($F$10:$T$10,V$10,$F12:$T12)</f>
        <v>37817.198462745597</v>
      </c>
      <c r="W12" s="62">
        <f t="shared" si="1"/>
        <v>13598.119590702692</v>
      </c>
      <c r="X12" s="62">
        <f t="shared" si="1"/>
        <v>921.36759361693146</v>
      </c>
      <c r="Y12" s="62">
        <f t="shared" si="1"/>
        <v>4310.3058689895533</v>
      </c>
      <c r="Z12" s="62">
        <f t="shared" si="1"/>
        <v>9139.5429113955379</v>
      </c>
      <c r="AA12" s="51"/>
      <c r="AB12" s="62">
        <f t="shared" ref="AB12:AB18" si="2">SUM(V12:Z12)</f>
        <v>65786.534427450315</v>
      </c>
      <c r="AC12" s="44"/>
      <c r="AD12" s="127">
        <f>IF($AB12=0,0,SUMIF($F$11:$T$11,AD$11,$F12:$T12)/$AB12)</f>
        <v>7.2441792096502337E-3</v>
      </c>
      <c r="AE12" s="127">
        <f t="shared" ref="AE12:AF15" si="3">IF($AB12=0,0,SUMIF($F$11:$T$11,AE$11,$F12:$T12)/$AB12)</f>
        <v>0.55188628718237309</v>
      </c>
      <c r="AF12" s="127">
        <f t="shared" si="3"/>
        <v>0.44086953360797654</v>
      </c>
      <c r="AG12" s="127"/>
      <c r="AH12" s="84">
        <f t="shared" ref="AH12:AH14" si="4">SUM(AD12:AF12)-1</f>
        <v>0</v>
      </c>
      <c r="AI12" s="34"/>
      <c r="AJ12" s="34"/>
      <c r="AK12" s="34"/>
    </row>
    <row r="13" spans="1:42" s="2" customFormat="1" ht="12.6" customHeight="1" x14ac:dyDescent="0.35">
      <c r="A13" s="51"/>
      <c r="B13" s="60"/>
      <c r="C13" s="61" t="s">
        <v>53</v>
      </c>
      <c r="D13" s="61"/>
      <c r="E13" s="61"/>
      <c r="F13" s="146"/>
      <c r="G13" s="146">
        <v>0</v>
      </c>
      <c r="H13" s="146"/>
      <c r="I13" s="146"/>
      <c r="J13" s="146">
        <v>0</v>
      </c>
      <c r="K13" s="146"/>
      <c r="L13" s="146"/>
      <c r="M13" s="149">
        <v>0</v>
      </c>
      <c r="N13" s="146"/>
      <c r="O13" s="146"/>
      <c r="P13" s="146">
        <v>2118.0864221078882</v>
      </c>
      <c r="Q13" s="146"/>
      <c r="R13" s="146"/>
      <c r="S13" s="146">
        <v>0</v>
      </c>
      <c r="T13" s="146"/>
      <c r="U13" s="51"/>
      <c r="V13" s="146">
        <f t="shared" si="1"/>
        <v>0</v>
      </c>
      <c r="W13" s="146">
        <f t="shared" si="1"/>
        <v>0</v>
      </c>
      <c r="X13" s="149">
        <f t="shared" si="1"/>
        <v>0</v>
      </c>
      <c r="Y13" s="146">
        <f t="shared" si="1"/>
        <v>2118.0864221078882</v>
      </c>
      <c r="Z13" s="146">
        <f t="shared" si="1"/>
        <v>0</v>
      </c>
      <c r="AA13" s="51"/>
      <c r="AB13" s="149">
        <f t="shared" si="2"/>
        <v>2118.0864221078882</v>
      </c>
      <c r="AC13" s="62"/>
      <c r="AD13" s="127">
        <f t="shared" ref="AD13:AD15" si="5">IF($AB13=0,0,SUMIF($F$11:$T$11,AD$11,$F13:$T13)/$AB13)</f>
        <v>0</v>
      </c>
      <c r="AE13" s="127">
        <f t="shared" si="3"/>
        <v>1</v>
      </c>
      <c r="AF13" s="127">
        <f t="shared" si="3"/>
        <v>0</v>
      </c>
      <c r="AG13" s="127"/>
      <c r="AH13" s="84">
        <f t="shared" si="4"/>
        <v>0</v>
      </c>
      <c r="AI13" s="34"/>
      <c r="AJ13" s="34"/>
      <c r="AK13" s="34"/>
    </row>
    <row r="14" spans="1:42" ht="12.6" customHeight="1" x14ac:dyDescent="0.35">
      <c r="B14" s="60" t="s">
        <v>68</v>
      </c>
      <c r="C14" s="61" t="s">
        <v>40</v>
      </c>
      <c r="F14" s="146">
        <v>0</v>
      </c>
      <c r="G14" s="146">
        <v>4351.3967455784468</v>
      </c>
      <c r="H14" s="146">
        <v>1087.8491863946117</v>
      </c>
      <c r="I14" s="146">
        <v>0</v>
      </c>
      <c r="J14" s="146">
        <v>1070.9044950177486</v>
      </c>
      <c r="K14" s="146">
        <v>267.72612375443714</v>
      </c>
      <c r="L14" s="146">
        <v>0</v>
      </c>
      <c r="M14" s="146">
        <v>1613.1346190773679</v>
      </c>
      <c r="N14" s="146">
        <v>403.28365476934198</v>
      </c>
      <c r="O14" s="146">
        <v>0</v>
      </c>
      <c r="P14" s="146">
        <v>1245.4348161994385</v>
      </c>
      <c r="Q14" s="146">
        <v>311.35870404985963</v>
      </c>
      <c r="R14" s="146">
        <v>0</v>
      </c>
      <c r="S14" s="146">
        <v>1514.0081745227187</v>
      </c>
      <c r="T14" s="146">
        <v>378.50204363067968</v>
      </c>
      <c r="V14" s="146">
        <f t="shared" si="1"/>
        <v>5439.2459319730588</v>
      </c>
      <c r="W14" s="146">
        <f t="shared" si="1"/>
        <v>1338.6306187721857</v>
      </c>
      <c r="X14" s="146">
        <f t="shared" si="1"/>
        <v>2016.4182738467098</v>
      </c>
      <c r="Y14" s="146">
        <f t="shared" si="1"/>
        <v>1556.7935202492981</v>
      </c>
      <c r="Z14" s="146">
        <f t="shared" si="1"/>
        <v>1892.5102181533985</v>
      </c>
      <c r="AA14" s="51"/>
      <c r="AB14" s="146">
        <f t="shared" si="2"/>
        <v>12243.598562994652</v>
      </c>
      <c r="AC14" s="62"/>
      <c r="AD14" s="130">
        <f t="shared" si="5"/>
        <v>0</v>
      </c>
      <c r="AE14" s="130">
        <f t="shared" si="3"/>
        <v>0.79999999999999993</v>
      </c>
      <c r="AF14" s="130">
        <f t="shared" si="3"/>
        <v>0.19999999999999998</v>
      </c>
      <c r="AG14" s="127"/>
      <c r="AH14" s="84">
        <f t="shared" si="4"/>
        <v>0</v>
      </c>
      <c r="AN14" s="2"/>
      <c r="AO14" s="2"/>
      <c r="AP14" s="2"/>
    </row>
    <row r="15" spans="1:42" ht="12.6" customHeight="1" x14ac:dyDescent="0.35">
      <c r="B15" s="60" t="s">
        <v>66</v>
      </c>
      <c r="C15" s="61" t="s">
        <v>55</v>
      </c>
      <c r="F15" s="146">
        <v>0</v>
      </c>
      <c r="G15" s="146">
        <v>337.038027278914</v>
      </c>
      <c r="H15" s="146">
        <v>84.2595068197285</v>
      </c>
      <c r="I15" s="146">
        <v>0</v>
      </c>
      <c r="J15" s="146">
        <v>337.038027278914</v>
      </c>
      <c r="K15" s="146">
        <v>84.2595068197285</v>
      </c>
      <c r="L15" s="146">
        <v>0</v>
      </c>
      <c r="M15" s="146">
        <v>337.038027278914</v>
      </c>
      <c r="N15" s="146">
        <v>84.2595068197285</v>
      </c>
      <c r="O15" s="146">
        <v>0</v>
      </c>
      <c r="P15" s="146">
        <v>337.038027278914</v>
      </c>
      <c r="Q15" s="146">
        <v>84.2595068197285</v>
      </c>
      <c r="R15" s="146">
        <v>0</v>
      </c>
      <c r="S15" s="146">
        <v>337.038027278914</v>
      </c>
      <c r="T15" s="146">
        <v>84.2595068197285</v>
      </c>
      <c r="V15" s="146">
        <f t="shared" si="1"/>
        <v>421.29753409864247</v>
      </c>
      <c r="W15" s="146">
        <f t="shared" si="1"/>
        <v>421.29753409864247</v>
      </c>
      <c r="X15" s="146">
        <f t="shared" si="1"/>
        <v>421.29753409864247</v>
      </c>
      <c r="Y15" s="146">
        <f t="shared" si="1"/>
        <v>421.29753409864247</v>
      </c>
      <c r="Z15" s="146">
        <f t="shared" si="1"/>
        <v>421.29753409864247</v>
      </c>
      <c r="AA15" s="51"/>
      <c r="AB15" s="146">
        <f t="shared" si="2"/>
        <v>2106.4876704932121</v>
      </c>
      <c r="AC15" s="62"/>
      <c r="AD15" s="127">
        <f t="shared" si="5"/>
        <v>0</v>
      </c>
      <c r="AE15" s="127">
        <f t="shared" si="3"/>
        <v>0.8</v>
      </c>
      <c r="AF15" s="127">
        <f t="shared" si="3"/>
        <v>0.2</v>
      </c>
      <c r="AG15" s="127"/>
      <c r="AH15" s="84">
        <f>SUM(AD15:AF15)-1</f>
        <v>0</v>
      </c>
      <c r="AN15" s="2"/>
      <c r="AO15" s="2"/>
      <c r="AP15" s="2"/>
    </row>
    <row r="16" spans="1:42" ht="12.6" customHeight="1" x14ac:dyDescent="0.35">
      <c r="B16" s="60"/>
      <c r="C16" s="61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V16" s="62"/>
      <c r="W16" s="62"/>
      <c r="X16" s="62"/>
      <c r="Y16" s="62"/>
      <c r="Z16" s="62"/>
      <c r="AA16" s="51"/>
      <c r="AB16" s="62"/>
      <c r="AC16" s="62"/>
      <c r="AD16" s="127"/>
      <c r="AE16" s="127"/>
      <c r="AF16" s="127"/>
      <c r="AG16" s="127"/>
      <c r="AN16" s="2"/>
      <c r="AO16" s="2"/>
      <c r="AP16" s="2"/>
    </row>
    <row r="17" spans="2:34" ht="12.6" customHeight="1" x14ac:dyDescent="0.35">
      <c r="C17" s="61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V17" s="62"/>
      <c r="W17" s="62"/>
      <c r="X17" s="62"/>
      <c r="Y17" s="62"/>
      <c r="Z17" s="62"/>
      <c r="AA17" s="51"/>
      <c r="AB17" s="62"/>
      <c r="AC17" s="62"/>
      <c r="AD17" s="127"/>
      <c r="AE17" s="127"/>
      <c r="AF17" s="127"/>
      <c r="AG17" s="127"/>
    </row>
    <row r="18" spans="2:34" ht="12.6" customHeight="1" x14ac:dyDescent="0.35">
      <c r="B18" s="137"/>
      <c r="C18" s="137" t="s">
        <v>75</v>
      </c>
      <c r="D18" s="138"/>
      <c r="E18" s="137"/>
      <c r="F18" s="139">
        <f>SUM(F12:F17)-SUM(F16:F17)</f>
        <v>0</v>
      </c>
      <c r="G18" s="139">
        <f t="shared" ref="G18:T18" si="6">SUM(G12:G17)-SUM(G16:G17)</f>
        <v>27462.721661261043</v>
      </c>
      <c r="H18" s="139">
        <f t="shared" si="6"/>
        <v>16215.020267556254</v>
      </c>
      <c r="I18" s="139">
        <f t="shared" si="6"/>
        <v>0</v>
      </c>
      <c r="J18" s="139">
        <f t="shared" si="6"/>
        <v>7105.2795027171833</v>
      </c>
      <c r="K18" s="139">
        <f t="shared" si="6"/>
        <v>8252.768240856336</v>
      </c>
      <c r="L18" s="139">
        <f t="shared" si="6"/>
        <v>476.56944497427492</v>
      </c>
      <c r="M18" s="139">
        <f t="shared" si="6"/>
        <v>2267.8856096724653</v>
      </c>
      <c r="N18" s="139">
        <f t="shared" si="6"/>
        <v>614.62834691554372</v>
      </c>
      <c r="O18" s="139">
        <f t="shared" si="6"/>
        <v>0</v>
      </c>
      <c r="P18" s="139">
        <f t="shared" si="6"/>
        <v>6127.886305321882</v>
      </c>
      <c r="Q18" s="139">
        <f t="shared" si="6"/>
        <v>2278.5970401235008</v>
      </c>
      <c r="R18" s="139">
        <f t="shared" si="6"/>
        <v>0</v>
      </c>
      <c r="S18" s="139">
        <f t="shared" si="6"/>
        <v>6941.068561686533</v>
      </c>
      <c r="T18" s="139">
        <f t="shared" si="6"/>
        <v>4512.2821019610474</v>
      </c>
      <c r="U18" s="135"/>
      <c r="V18" s="139">
        <f t="shared" ref="V18:Z18" si="7">SUMIF($F$10:$T$10,V$10,$F18:$T18)</f>
        <v>43677.741928817297</v>
      </c>
      <c r="W18" s="139">
        <f t="shared" si="7"/>
        <v>15358.047743573519</v>
      </c>
      <c r="X18" s="139">
        <f t="shared" si="7"/>
        <v>3359.0834015622841</v>
      </c>
      <c r="Y18" s="139">
        <f t="shared" si="7"/>
        <v>8406.4833454453837</v>
      </c>
      <c r="Z18" s="139">
        <f t="shared" si="7"/>
        <v>11453.350663647579</v>
      </c>
      <c r="AA18" s="43"/>
      <c r="AB18" s="139">
        <f t="shared" si="2"/>
        <v>82254.707083046058</v>
      </c>
      <c r="AC18" s="136"/>
      <c r="AD18" s="136">
        <f>SUM(F18,I18,L18,O18,R18)</f>
        <v>476.56944497427492</v>
      </c>
      <c r="AE18" s="136">
        <f t="shared" ref="AE18:AF18" si="8">SUM(G18,J18,M18,P18,S18)</f>
        <v>49904.841640659099</v>
      </c>
      <c r="AF18" s="136">
        <f t="shared" si="8"/>
        <v>31873.295997412679</v>
      </c>
      <c r="AG18" s="62"/>
      <c r="AH18" s="62"/>
    </row>
    <row r="19" spans="2:34" ht="12.6" customHeight="1" x14ac:dyDescent="0.35">
      <c r="E19" s="61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V19" s="62"/>
      <c r="W19" s="62"/>
      <c r="X19" s="62"/>
      <c r="Y19" s="62"/>
      <c r="Z19" s="62"/>
      <c r="AA19" s="51"/>
      <c r="AB19" s="62"/>
      <c r="AC19" s="62"/>
      <c r="AD19" s="128">
        <f>AD18/SUM($AD$18:$AF$18)</f>
        <v>5.7938258110033815E-3</v>
      </c>
      <c r="AE19" s="128">
        <f t="shared" ref="AE19:AF19" si="9">AE18/SUM($AD$18:$AF$18)</f>
        <v>0.60671107357143872</v>
      </c>
      <c r="AF19" s="128">
        <f t="shared" si="9"/>
        <v>0.38749510061755782</v>
      </c>
      <c r="AG19" s="62"/>
      <c r="AH19" s="62"/>
    </row>
    <row r="20" spans="2:34" ht="12.6" customHeight="1" x14ac:dyDescent="0.35">
      <c r="E20" s="61"/>
      <c r="F20" s="55" t="s">
        <v>13</v>
      </c>
      <c r="G20" s="55" t="str">
        <f>F20</f>
        <v>2021/22</v>
      </c>
      <c r="H20" s="54" t="str">
        <f>G20</f>
        <v>2021/22</v>
      </c>
      <c r="I20" s="55" t="s">
        <v>14</v>
      </c>
      <c r="J20" s="55" t="str">
        <f>I20</f>
        <v>2022/23</v>
      </c>
      <c r="K20" s="54" t="str">
        <f>J20</f>
        <v>2022/23</v>
      </c>
      <c r="L20" s="55" t="s">
        <v>15</v>
      </c>
      <c r="M20" s="55" t="str">
        <f>L20</f>
        <v>2023/24</v>
      </c>
      <c r="N20" s="54" t="str">
        <f>M20</f>
        <v>2023/24</v>
      </c>
      <c r="O20" s="55" t="s">
        <v>16</v>
      </c>
      <c r="P20" s="55" t="str">
        <f>O20</f>
        <v>2024/25</v>
      </c>
      <c r="Q20" s="54" t="str">
        <f>P20</f>
        <v>2024/25</v>
      </c>
      <c r="R20" s="55" t="s">
        <v>17</v>
      </c>
      <c r="S20" s="55" t="str">
        <f>R20</f>
        <v>2025/26</v>
      </c>
      <c r="T20" s="54" t="str">
        <f>S20</f>
        <v>2025/26</v>
      </c>
      <c r="V20" s="55" t="str">
        <f>F20</f>
        <v>2021/22</v>
      </c>
      <c r="W20" s="55" t="str">
        <f>I20</f>
        <v>2022/23</v>
      </c>
      <c r="X20" s="55" t="str">
        <f>L20</f>
        <v>2023/24</v>
      </c>
      <c r="Y20" s="55" t="str">
        <f>O20</f>
        <v>2024/25</v>
      </c>
      <c r="Z20" s="55" t="str">
        <f>R20</f>
        <v>2025/26</v>
      </c>
      <c r="AA20" s="51"/>
      <c r="AB20" s="55" t="s">
        <v>19</v>
      </c>
      <c r="AC20" s="62"/>
      <c r="AD20" s="128"/>
      <c r="AE20" s="128"/>
      <c r="AF20" s="128"/>
      <c r="AG20" s="62"/>
      <c r="AH20" s="62"/>
    </row>
    <row r="21" spans="2:34" ht="12.6" customHeight="1" x14ac:dyDescent="0.35">
      <c r="E21" s="61"/>
      <c r="F21" s="58" t="s">
        <v>1</v>
      </c>
      <c r="G21" s="58" t="s">
        <v>0</v>
      </c>
      <c r="H21" s="57" t="s">
        <v>3</v>
      </c>
      <c r="I21" s="58" t="s">
        <v>1</v>
      </c>
      <c r="J21" s="58" t="s">
        <v>0</v>
      </c>
      <c r="K21" s="57" t="s">
        <v>3</v>
      </c>
      <c r="L21" s="58" t="s">
        <v>1</v>
      </c>
      <c r="M21" s="58" t="s">
        <v>0</v>
      </c>
      <c r="N21" s="57" t="s">
        <v>3</v>
      </c>
      <c r="O21" s="58" t="s">
        <v>1</v>
      </c>
      <c r="P21" s="58" t="s">
        <v>0</v>
      </c>
      <c r="Q21" s="57" t="s">
        <v>3</v>
      </c>
      <c r="R21" s="59" t="s">
        <v>1</v>
      </c>
      <c r="S21" s="59" t="s">
        <v>0</v>
      </c>
      <c r="T21" s="54" t="s">
        <v>3</v>
      </c>
      <c r="V21" s="59"/>
      <c r="W21" s="59"/>
      <c r="X21" s="59"/>
      <c r="Y21" s="59"/>
      <c r="Z21" s="59"/>
      <c r="AA21" s="51"/>
      <c r="AB21" s="59"/>
      <c r="AC21" s="62"/>
      <c r="AD21" s="128"/>
      <c r="AE21" s="128"/>
      <c r="AF21" s="128"/>
      <c r="AG21" s="62"/>
      <c r="AH21" s="62"/>
    </row>
    <row r="22" spans="2:34" ht="12.6" customHeight="1" x14ac:dyDescent="0.35">
      <c r="C22" s="134" t="s">
        <v>41</v>
      </c>
      <c r="E22" s="61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V22" s="62"/>
      <c r="W22" s="62"/>
      <c r="X22" s="62"/>
      <c r="Y22" s="62"/>
      <c r="Z22" s="62"/>
      <c r="AA22" s="51"/>
      <c r="AB22" s="62"/>
      <c r="AC22" s="62"/>
      <c r="AD22" s="128"/>
      <c r="AE22" s="128"/>
      <c r="AF22" s="128"/>
      <c r="AG22" s="62"/>
      <c r="AH22" s="62"/>
    </row>
    <row r="23" spans="2:34" ht="12.6" customHeight="1" x14ac:dyDescent="0.35">
      <c r="C23" s="133" t="s">
        <v>59</v>
      </c>
      <c r="E23" s="61"/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476.56944497427492</v>
      </c>
      <c r="M23" s="146">
        <v>317.71296331618328</v>
      </c>
      <c r="N23" s="146">
        <v>127.08518532647331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V23" s="146">
        <f t="shared" ref="V23:Z25" si="10">SUMIF($F$10:$T$10,V$10,$F23:$T23)</f>
        <v>0</v>
      </c>
      <c r="W23" s="146">
        <f t="shared" si="10"/>
        <v>0</v>
      </c>
      <c r="X23" s="146">
        <f t="shared" si="10"/>
        <v>921.36759361693146</v>
      </c>
      <c r="Y23" s="146">
        <f t="shared" si="10"/>
        <v>0</v>
      </c>
      <c r="Z23" s="146">
        <f t="shared" si="10"/>
        <v>0</v>
      </c>
      <c r="AA23" s="62"/>
      <c r="AB23" s="146">
        <f t="shared" ref="AB23:AB25" si="11">SUM(V23:Z23)</f>
        <v>921.36759361693146</v>
      </c>
      <c r="AC23" s="62"/>
      <c r="AD23" s="128"/>
      <c r="AE23" s="128"/>
      <c r="AF23" s="128"/>
      <c r="AG23" s="62"/>
      <c r="AH23" s="62"/>
    </row>
    <row r="24" spans="2:34" ht="12.6" customHeight="1" x14ac:dyDescent="0.35">
      <c r="C24" s="133" t="s">
        <v>73</v>
      </c>
      <c r="E24" s="61"/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2427.3270397356405</v>
      </c>
      <c r="Q24" s="146">
        <v>1882.9788292539129</v>
      </c>
      <c r="R24" s="146">
        <v>0</v>
      </c>
      <c r="S24" s="146">
        <v>5090.0223598848997</v>
      </c>
      <c r="T24" s="146">
        <v>4049.5205515106386</v>
      </c>
      <c r="V24" s="146">
        <f t="shared" si="10"/>
        <v>0</v>
      </c>
      <c r="W24" s="146">
        <f t="shared" si="10"/>
        <v>0</v>
      </c>
      <c r="X24" s="146">
        <f t="shared" si="10"/>
        <v>0</v>
      </c>
      <c r="Y24" s="146">
        <f t="shared" si="10"/>
        <v>4310.3058689895533</v>
      </c>
      <c r="Z24" s="146">
        <f t="shared" si="10"/>
        <v>9139.5429113955379</v>
      </c>
      <c r="AA24" s="62"/>
      <c r="AB24" s="146">
        <f t="shared" si="11"/>
        <v>13449.848780385091</v>
      </c>
      <c r="AC24" s="62"/>
      <c r="AD24" s="128"/>
      <c r="AE24" s="128"/>
      <c r="AF24" s="128"/>
      <c r="AG24" s="62"/>
      <c r="AH24" s="62"/>
    </row>
    <row r="25" spans="2:34" ht="12.6" customHeight="1" x14ac:dyDescent="0.35">
      <c r="C25" s="133" t="s">
        <v>76</v>
      </c>
      <c r="E25" s="61"/>
      <c r="F25" s="149">
        <f>INDEX(B_K_depots!$H$46:$L$49,MATCH(Output!F$21,B_K_depots!$C$46:$C$49,0),MATCH(Output!F$20,B_K_depots!$H$8:$L$8,0))/1000</f>
        <v>0</v>
      </c>
      <c r="G25" s="149">
        <f>INDEX(B_K_depots!$H$46:$L$49,MATCH(Output!G$21,B_K_depots!$C$46:$C$49,0),MATCH(Output!G$20,B_K_depots!$H$8:$L$8,0))/1000</f>
        <v>22774.28688840368</v>
      </c>
      <c r="H25" s="149">
        <f>INDEX(B_K_depots!$H$46:$L$49,MATCH(Output!H$21,B_K_depots!$C$46:$C$49,0),MATCH(Output!H$20,B_K_depots!$H$8:$L$8,0))/1000</f>
        <v>15042.911574341915</v>
      </c>
      <c r="I25" s="149">
        <f>INDEX(B_K_depots!$H$46:$L$49,MATCH(Output!I$21,B_K_depots!$C$46:$C$49,0),MATCH(Output!I$20,B_K_depots!$H$8:$L$8,0))/1000</f>
        <v>0</v>
      </c>
      <c r="J25" s="149">
        <f>INDEX(B_K_depots!$H$46:$L$49,MATCH(Output!J$21,B_K_depots!$C$46:$C$49,0),MATCH(Output!J$20,B_K_depots!$H$8:$L$8,0))/1000</f>
        <v>5697.3369804205204</v>
      </c>
      <c r="K25" s="149">
        <f>INDEX(B_K_depots!$H$46:$L$49,MATCH(Output!K$21,B_K_depots!$C$46:$C$49,0),MATCH(Output!K$20,B_K_depots!$H$8:$L$8,0))/1000</f>
        <v>7900.7826102821709</v>
      </c>
      <c r="L25" s="149">
        <f>INDEX(B_K_depots!$H$46:$L$49,MATCH(Output!L$21,B_K_depots!$C$46:$C$49,0),MATCH(Output!L$20,B_K_depots!$H$8:$L$8,0))/1000</f>
        <v>0</v>
      </c>
      <c r="M25" s="149">
        <f>INDEX(B_K_depots!$H$46:$L$49,MATCH(Output!M$21,B_K_depots!$C$46:$C$49,0),MATCH(Output!M$20,B_K_depots!$H$8:$L$8,0))/1000</f>
        <v>0</v>
      </c>
      <c r="N25" s="149">
        <f>INDEX(B_K_depots!$H$46:$L$49,MATCH(Output!N$21,B_K_depots!$C$46:$C$49,0),MATCH(Output!N$20,B_K_depots!$H$8:$L$8,0))/1000</f>
        <v>0</v>
      </c>
      <c r="O25" s="149">
        <f>INDEX(B_K_depots!$H$46:$L$49,MATCH(Output!O$21,B_K_depots!$C$46:$C$49,0),MATCH(Output!O$20,B_K_depots!$H$8:$L$8,0))/1000</f>
        <v>0</v>
      </c>
      <c r="P25" s="149">
        <f>INDEX(B_K_depots!$H$46:$L$49,MATCH(Output!P$21,B_K_depots!$C$46:$C$49,0),MATCH(Output!P$20,B_K_depots!$H$8:$L$8,0))/1000</f>
        <v>0</v>
      </c>
      <c r="Q25" s="149">
        <f>INDEX(B_K_depots!$H$46:$L$49,MATCH(Output!Q$21,B_K_depots!$C$46:$C$49,0),MATCH(Output!Q$20,B_K_depots!$H$8:$L$8,0))/1000</f>
        <v>0</v>
      </c>
      <c r="R25" s="149">
        <f>INDEX(B_K_depots!$H$46:$L$49,MATCH(Output!R$21,B_K_depots!$C$46:$C$49,0),MATCH(Output!R$20,B_K_depots!$H$8:$L$8,0))/1000</f>
        <v>0</v>
      </c>
      <c r="S25" s="149">
        <f>INDEX(B_K_depots!$H$46:$L$49,MATCH(Output!S$21,B_K_depots!$C$46:$C$49,0),MATCH(Output!S$20,B_K_depots!$H$8:$L$8,0))/1000</f>
        <v>0</v>
      </c>
      <c r="T25" s="149">
        <f>INDEX(B_K_depots!$H$46:$L$49,MATCH(Output!T$21,B_K_depots!$C$46:$C$49,0),MATCH(Output!T$20,B_K_depots!$H$8:$L$8,0))/1000</f>
        <v>0</v>
      </c>
      <c r="V25" s="149">
        <f t="shared" si="10"/>
        <v>37817.198462745597</v>
      </c>
      <c r="W25" s="149">
        <f t="shared" si="10"/>
        <v>13598.119590702692</v>
      </c>
      <c r="X25" s="149">
        <f t="shared" si="10"/>
        <v>0</v>
      </c>
      <c r="Y25" s="149">
        <f t="shared" si="10"/>
        <v>0</v>
      </c>
      <c r="Z25" s="149">
        <f t="shared" si="10"/>
        <v>0</v>
      </c>
      <c r="AA25" s="51"/>
      <c r="AB25" s="149">
        <f t="shared" si="11"/>
        <v>51415.318053448289</v>
      </c>
      <c r="AC25" s="62"/>
      <c r="AD25" s="128"/>
      <c r="AE25" s="128"/>
      <c r="AF25" s="128"/>
      <c r="AG25" s="62"/>
      <c r="AH25" s="62"/>
    </row>
    <row r="26" spans="2:34" ht="12.6" customHeight="1" x14ac:dyDescent="0.35">
      <c r="C26" s="134" t="s">
        <v>74</v>
      </c>
      <c r="E26" s="61"/>
      <c r="F26" s="136">
        <f>SUM(F23:F25)</f>
        <v>0</v>
      </c>
      <c r="G26" s="136">
        <f t="shared" ref="G26:T26" si="12">SUM(G23:G25)</f>
        <v>22774.28688840368</v>
      </c>
      <c r="H26" s="136">
        <f t="shared" si="12"/>
        <v>15042.911574341915</v>
      </c>
      <c r="I26" s="136">
        <f t="shared" si="12"/>
        <v>0</v>
      </c>
      <c r="J26" s="136">
        <f t="shared" si="12"/>
        <v>5697.3369804205204</v>
      </c>
      <c r="K26" s="136">
        <f t="shared" si="12"/>
        <v>7900.7826102821709</v>
      </c>
      <c r="L26" s="136">
        <f t="shared" si="12"/>
        <v>476.56944497427492</v>
      </c>
      <c r="M26" s="136">
        <f t="shared" si="12"/>
        <v>317.71296331618328</v>
      </c>
      <c r="N26" s="136">
        <f t="shared" si="12"/>
        <v>127.08518532647331</v>
      </c>
      <c r="O26" s="136">
        <f t="shared" si="12"/>
        <v>0</v>
      </c>
      <c r="P26" s="136">
        <f t="shared" si="12"/>
        <v>2427.3270397356405</v>
      </c>
      <c r="Q26" s="136">
        <f t="shared" si="12"/>
        <v>1882.9788292539129</v>
      </c>
      <c r="R26" s="136">
        <f t="shared" si="12"/>
        <v>0</v>
      </c>
      <c r="S26" s="136">
        <f t="shared" si="12"/>
        <v>5090.0223598848997</v>
      </c>
      <c r="T26" s="136">
        <f t="shared" si="12"/>
        <v>4049.5205515106386</v>
      </c>
      <c r="V26" s="136">
        <f t="shared" ref="V26" si="13">SUM(V23:V25)</f>
        <v>37817.198462745597</v>
      </c>
      <c r="W26" s="136">
        <f t="shared" ref="W26" si="14">SUM(W23:W25)</f>
        <v>13598.119590702692</v>
      </c>
      <c r="X26" s="136">
        <f t="shared" ref="X26" si="15">SUM(X23:X25)</f>
        <v>921.36759361693146</v>
      </c>
      <c r="Y26" s="136">
        <f t="shared" ref="Y26" si="16">SUM(Y23:Y25)</f>
        <v>4310.3058689895533</v>
      </c>
      <c r="Z26" s="136">
        <f t="shared" ref="Z26" si="17">SUM(Z23:Z25)</f>
        <v>9139.5429113955379</v>
      </c>
      <c r="AA26" s="51"/>
      <c r="AB26" s="136">
        <f t="shared" ref="AB26" si="18">SUM(AB23:AB25)</f>
        <v>65786.534427450315</v>
      </c>
      <c r="AC26" s="62"/>
      <c r="AD26" s="128"/>
      <c r="AE26" s="128"/>
      <c r="AF26" s="128"/>
      <c r="AG26" s="62"/>
      <c r="AH26" s="62"/>
    </row>
    <row r="27" spans="2:34" x14ac:dyDescent="0.35">
      <c r="E27" s="61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V27" s="62"/>
      <c r="W27" s="62"/>
      <c r="X27" s="62"/>
      <c r="Y27" s="62"/>
      <c r="Z27" s="62"/>
      <c r="AA27" s="51"/>
      <c r="AB27" s="62"/>
      <c r="AC27" s="62"/>
      <c r="AD27" s="128"/>
      <c r="AE27" s="128"/>
      <c r="AF27" s="128"/>
      <c r="AG27" s="62"/>
      <c r="AH27" s="62"/>
    </row>
    <row r="28" spans="2:34" x14ac:dyDescent="0.35">
      <c r="E28" s="61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V28" s="62"/>
      <c r="W28" s="62"/>
      <c r="X28" s="62"/>
      <c r="Y28" s="62"/>
      <c r="Z28" s="62"/>
      <c r="AA28" s="51"/>
      <c r="AB28" s="62"/>
      <c r="AC28" s="62"/>
      <c r="AD28" s="128"/>
      <c r="AE28" s="128"/>
      <c r="AF28" s="128"/>
      <c r="AG28" s="62"/>
      <c r="AH28" s="62"/>
    </row>
    <row r="29" spans="2:34" x14ac:dyDescent="0.35">
      <c r="E29" s="6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140"/>
      <c r="V29" s="62"/>
      <c r="W29" s="62"/>
      <c r="X29" s="62"/>
      <c r="Y29" s="62"/>
      <c r="Z29" s="62"/>
      <c r="AA29" s="141"/>
      <c r="AB29" s="62"/>
      <c r="AC29" s="62"/>
      <c r="AD29" s="62"/>
      <c r="AE29" s="62"/>
      <c r="AF29" s="62"/>
      <c r="AG29" s="62"/>
      <c r="AH29" s="62"/>
    </row>
    <row r="30" spans="2:34" x14ac:dyDescent="0.35"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140"/>
      <c r="V30" s="142"/>
      <c r="W30" s="142"/>
      <c r="X30" s="142"/>
      <c r="Y30" s="142"/>
      <c r="Z30" s="143"/>
      <c r="AA30" s="141"/>
      <c r="AB30" s="62"/>
      <c r="AC30" s="131"/>
      <c r="AD30" s="62"/>
      <c r="AE30" s="62"/>
      <c r="AF30" s="62"/>
      <c r="AG30" s="62"/>
      <c r="AH30" s="62"/>
    </row>
    <row r="31" spans="2:34" x14ac:dyDescent="0.35"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144"/>
      <c r="T31" s="61"/>
      <c r="U31" s="61"/>
      <c r="V31" s="62"/>
      <c r="W31" s="62"/>
      <c r="X31" s="62"/>
      <c r="Y31" s="62"/>
      <c r="Z31" s="62"/>
      <c r="AA31" s="62"/>
      <c r="AB31" s="62"/>
    </row>
    <row r="32" spans="2:34" x14ac:dyDescent="0.35"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144"/>
      <c r="T32" s="61"/>
      <c r="U32" s="61"/>
      <c r="V32" s="62"/>
      <c r="W32" s="62"/>
      <c r="X32" s="62"/>
      <c r="Y32" s="62"/>
      <c r="Z32" s="62"/>
      <c r="AA32" s="62"/>
      <c r="AB32" s="62"/>
    </row>
    <row r="33" spans="5:34" x14ac:dyDescent="0.35">
      <c r="L33" s="62"/>
      <c r="M33" s="62"/>
      <c r="N33" s="62"/>
      <c r="O33" s="62"/>
      <c r="P33" s="62"/>
      <c r="R33" s="140"/>
      <c r="S33" s="144"/>
      <c r="T33" s="61"/>
      <c r="U33" s="61"/>
      <c r="V33" s="62"/>
      <c r="W33" s="62"/>
      <c r="X33" s="62"/>
      <c r="Y33" s="62"/>
      <c r="Z33" s="62"/>
      <c r="AA33" s="62"/>
      <c r="AB33" s="62"/>
    </row>
    <row r="34" spans="5:34" x14ac:dyDescent="0.35">
      <c r="L34" s="62"/>
      <c r="M34" s="62"/>
      <c r="N34" s="62"/>
      <c r="O34" s="62"/>
      <c r="P34" s="62"/>
      <c r="R34" s="140"/>
      <c r="S34" s="144"/>
      <c r="T34" s="61"/>
      <c r="U34" s="61"/>
      <c r="V34" s="62"/>
      <c r="W34" s="62"/>
      <c r="X34" s="62"/>
      <c r="Y34" s="62"/>
      <c r="Z34" s="62"/>
      <c r="AA34" s="62"/>
      <c r="AB34" s="62"/>
    </row>
    <row r="35" spans="5:34" x14ac:dyDescent="0.35">
      <c r="E35" s="122"/>
      <c r="F35" s="123"/>
      <c r="G35" s="123"/>
      <c r="L35" s="62"/>
      <c r="M35" s="62"/>
      <c r="N35" s="62"/>
      <c r="O35" s="62"/>
      <c r="P35" s="62"/>
      <c r="R35" s="140"/>
      <c r="S35" s="144"/>
      <c r="T35" s="61"/>
      <c r="U35" s="140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</row>
    <row r="36" spans="5:34" x14ac:dyDescent="0.35">
      <c r="E36" s="122"/>
      <c r="F36" s="123"/>
      <c r="G36" s="123"/>
      <c r="L36" s="62"/>
      <c r="M36" s="62"/>
      <c r="N36" s="62"/>
      <c r="O36" s="62"/>
      <c r="P36" s="62"/>
      <c r="R36" s="140"/>
      <c r="S36" s="144"/>
      <c r="T36" s="61"/>
      <c r="U36" s="140"/>
      <c r="V36" s="142"/>
      <c r="W36" s="142"/>
      <c r="X36" s="142"/>
      <c r="Y36" s="142"/>
      <c r="Z36" s="143"/>
      <c r="AA36" s="141"/>
      <c r="AB36" s="62"/>
      <c r="AC36" s="123"/>
      <c r="AD36" s="123"/>
      <c r="AE36" s="123"/>
      <c r="AF36" s="123"/>
      <c r="AG36" s="123"/>
      <c r="AH36" s="123"/>
    </row>
    <row r="37" spans="5:34" x14ac:dyDescent="0.35">
      <c r="E37" s="122"/>
      <c r="F37" s="123"/>
      <c r="G37" s="123"/>
      <c r="L37" s="62"/>
      <c r="M37" s="62"/>
      <c r="N37" s="62"/>
      <c r="O37" s="62"/>
      <c r="P37" s="62"/>
      <c r="R37" s="140"/>
      <c r="S37" s="144"/>
      <c r="T37" s="61"/>
      <c r="U37" s="140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</row>
    <row r="38" spans="5:34" x14ac:dyDescent="0.35">
      <c r="F38" s="124"/>
      <c r="G38" s="124"/>
      <c r="R38" s="140"/>
      <c r="S38" s="144"/>
      <c r="T38" s="61"/>
      <c r="U38" s="140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</row>
    <row r="39" spans="5:34" x14ac:dyDescent="0.35">
      <c r="R39" s="140"/>
      <c r="S39" s="144"/>
      <c r="T39" s="61"/>
      <c r="U39" s="140"/>
      <c r="V39" s="123"/>
      <c r="W39" s="123"/>
      <c r="X39" s="123"/>
      <c r="Y39" s="123"/>
      <c r="Z39" s="123"/>
      <c r="AA39" s="123"/>
      <c r="AB39" s="123"/>
    </row>
    <row r="40" spans="5:34" x14ac:dyDescent="0.35">
      <c r="R40" s="140"/>
      <c r="S40" s="144"/>
      <c r="T40" s="61"/>
      <c r="U40" s="140"/>
      <c r="V40" s="123"/>
      <c r="W40" s="123"/>
      <c r="X40" s="123"/>
      <c r="Y40" s="123"/>
      <c r="Z40" s="123"/>
      <c r="AA40" s="123"/>
      <c r="AB40" s="123"/>
    </row>
    <row r="41" spans="5:34" x14ac:dyDescent="0.35">
      <c r="R41" s="140"/>
      <c r="S41" s="62"/>
      <c r="T41" s="62"/>
      <c r="U41" s="140"/>
      <c r="V41" s="123"/>
      <c r="W41" s="123"/>
      <c r="X41" s="123"/>
      <c r="Y41" s="123"/>
      <c r="Z41" s="123"/>
      <c r="AA41" s="140"/>
      <c r="AB41" s="123"/>
    </row>
    <row r="42" spans="5:34" x14ac:dyDescent="0.35">
      <c r="R42" s="140"/>
      <c r="S42" s="144"/>
      <c r="T42" s="61"/>
      <c r="U42" s="140"/>
      <c r="V42" s="142"/>
      <c r="W42" s="142"/>
      <c r="X42" s="142"/>
      <c r="Y42" s="142"/>
      <c r="Z42" s="143"/>
      <c r="AA42" s="141"/>
      <c r="AB42" s="62"/>
    </row>
    <row r="43" spans="5:34" x14ac:dyDescent="0.35">
      <c r="R43" s="140"/>
      <c r="S43" s="144"/>
      <c r="T43" s="61"/>
      <c r="U43" s="140"/>
      <c r="V43" s="123"/>
      <c r="W43" s="123"/>
      <c r="X43" s="123"/>
      <c r="Y43" s="123"/>
      <c r="Z43" s="123"/>
      <c r="AA43" s="140"/>
      <c r="AB43" s="123"/>
    </row>
    <row r="44" spans="5:34" x14ac:dyDescent="0.35">
      <c r="R44" s="140"/>
      <c r="S44" s="144"/>
      <c r="T44" s="61"/>
      <c r="U44" s="140"/>
      <c r="V44" s="123"/>
      <c r="W44" s="123"/>
      <c r="X44" s="123"/>
      <c r="Y44" s="123"/>
      <c r="Z44" s="123"/>
      <c r="AA44" s="140"/>
      <c r="AB44" s="123"/>
    </row>
    <row r="45" spans="5:34" x14ac:dyDescent="0.35">
      <c r="R45" s="140"/>
      <c r="S45" s="144"/>
      <c r="T45" s="61"/>
      <c r="U45" s="140"/>
      <c r="V45" s="123"/>
      <c r="W45" s="123"/>
      <c r="X45" s="123"/>
      <c r="Y45" s="123"/>
      <c r="Z45" s="123"/>
      <c r="AA45" s="123"/>
      <c r="AB45" s="123"/>
    </row>
    <row r="46" spans="5:34" x14ac:dyDescent="0.35">
      <c r="R46" s="140"/>
      <c r="S46" s="144"/>
      <c r="T46" s="61"/>
      <c r="U46" s="140"/>
      <c r="V46" s="123"/>
      <c r="W46" s="140"/>
      <c r="X46" s="140"/>
      <c r="Y46" s="140"/>
      <c r="Z46" s="140"/>
      <c r="AA46" s="140"/>
      <c r="AB46" s="140"/>
    </row>
    <row r="47" spans="5:34" x14ac:dyDescent="0.35">
      <c r="R47" s="140"/>
      <c r="S47" s="140"/>
      <c r="T47" s="140"/>
      <c r="U47" s="140"/>
      <c r="V47" s="124"/>
      <c r="W47" s="140"/>
      <c r="X47" s="140"/>
      <c r="Y47" s="140"/>
      <c r="Z47" s="140"/>
      <c r="AA47" s="140"/>
      <c r="AB47" s="140"/>
    </row>
    <row r="48" spans="5:34" x14ac:dyDescent="0.35">
      <c r="R48" s="140"/>
      <c r="S48" s="61"/>
      <c r="T48" s="61"/>
      <c r="U48" s="140"/>
      <c r="V48" s="140"/>
      <c r="W48" s="140"/>
      <c r="X48" s="140"/>
      <c r="Y48" s="140"/>
      <c r="Z48" s="140"/>
      <c r="AA48" s="140"/>
      <c r="AB48" s="140"/>
    </row>
    <row r="49" spans="18:28" x14ac:dyDescent="0.35"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</row>
    <row r="50" spans="18:28" x14ac:dyDescent="0.35">
      <c r="S50" s="60"/>
      <c r="T50" s="61"/>
      <c r="V50" s="123"/>
      <c r="W50" s="123"/>
      <c r="X50" s="123"/>
      <c r="Y50" s="123"/>
      <c r="Z50" s="123"/>
    </row>
    <row r="51" spans="18:28" x14ac:dyDescent="0.35">
      <c r="S51" s="60"/>
      <c r="T51" s="61"/>
      <c r="V51" s="123"/>
      <c r="W51" s="123"/>
      <c r="X51" s="123"/>
      <c r="Y51" s="123"/>
      <c r="Z51" s="123"/>
    </row>
    <row r="52" spans="18:28" x14ac:dyDescent="0.35">
      <c r="S52" s="60"/>
      <c r="T52" s="61"/>
      <c r="V52" s="123"/>
      <c r="W52" s="123"/>
      <c r="X52" s="123"/>
      <c r="Y52" s="123"/>
      <c r="Z52" s="123"/>
    </row>
    <row r="53" spans="18:28" x14ac:dyDescent="0.35">
      <c r="S53" s="60"/>
      <c r="T53" s="61"/>
      <c r="V53" s="123"/>
      <c r="W53" s="123"/>
      <c r="X53" s="123"/>
      <c r="Y53" s="123"/>
      <c r="Z53" s="123"/>
    </row>
    <row r="54" spans="18:28" x14ac:dyDescent="0.35">
      <c r="S54" s="60"/>
      <c r="T54" s="61"/>
      <c r="V54" s="123"/>
      <c r="W54" s="123"/>
      <c r="X54" s="123"/>
      <c r="Y54" s="123"/>
      <c r="Z54" s="123"/>
    </row>
    <row r="56" spans="18:28" x14ac:dyDescent="0.35">
      <c r="S56" s="61"/>
      <c r="T56" s="61"/>
    </row>
  </sheetData>
  <mergeCells count="1">
    <mergeCell ref="AD10:AF10"/>
  </mergeCells>
  <conditionalFormatting sqref="D6">
    <cfRule type="expression" dxfId="6" priority="21">
      <formula>D6&lt;&gt;TRUE</formula>
    </cfRule>
  </conditionalFormatting>
  <conditionalFormatting sqref="AH12:AH15">
    <cfRule type="expression" dxfId="5" priority="4">
      <formula>ABS(AH12)&gt;0.001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4"/>
  <sheetViews>
    <sheetView showGridLines="0" zoomScale="85" zoomScaleNormal="85" workbookViewId="0">
      <selection activeCell="I19" sqref="I19"/>
    </sheetView>
  </sheetViews>
  <sheetFormatPr defaultColWidth="9.109375" defaultRowHeight="13.8" x14ac:dyDescent="0.3"/>
  <cols>
    <col min="1" max="1" width="4.33203125" style="1" customWidth="1"/>
    <col min="2" max="2" width="10.6640625" style="1" customWidth="1"/>
    <col min="3" max="3" width="18.33203125" style="1" customWidth="1"/>
    <col min="4" max="4" width="13.88671875" style="82" customWidth="1"/>
    <col min="5" max="5" width="2.88671875" style="1" customWidth="1"/>
    <col min="6" max="10" width="12.44140625" style="1" customWidth="1"/>
    <col min="11" max="11" width="2.33203125" style="82" customWidth="1"/>
    <col min="12" max="12" width="12.44140625" style="82" customWidth="1"/>
    <col min="13" max="13" width="9" style="82" customWidth="1"/>
    <col min="14" max="14" width="14.109375" style="1" customWidth="1"/>
    <col min="15" max="15" width="16" style="82" customWidth="1"/>
    <col min="16" max="16" width="31.33203125" style="1" customWidth="1"/>
    <col min="17" max="17" width="12.6640625" style="1" bestFit="1" customWidth="1"/>
    <col min="18" max="16384" width="9.109375" style="1"/>
  </cols>
  <sheetData>
    <row r="1" spans="1:19" ht="21" x14ac:dyDescent="0.4">
      <c r="A1" s="13" t="str">
        <f>Assumptions!A1</f>
        <v>Non-Network Capex</v>
      </c>
      <c r="B1" s="13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15.6" x14ac:dyDescent="0.3">
      <c r="A2" s="12" t="str">
        <f>Assumptions!A2</f>
        <v>UE</v>
      </c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9" s="16" customFormat="1" ht="15.6" x14ac:dyDescent="0.3">
      <c r="A3" s="27" t="s">
        <v>36</v>
      </c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82"/>
      <c r="N3" s="1"/>
      <c r="O3" s="82"/>
    </row>
    <row r="4" spans="1:19" ht="12.75" customHeight="1" x14ac:dyDescent="0.3">
      <c r="E4" s="3"/>
      <c r="S4"/>
    </row>
    <row r="5" spans="1:19" s="2" customFormat="1" ht="12.75" customHeight="1" x14ac:dyDescent="0.3"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  <c r="M5" s="82"/>
    </row>
    <row r="6" spans="1:19" ht="12.75" customHeight="1" x14ac:dyDescent="0.3">
      <c r="B6" s="14"/>
      <c r="C6" s="14"/>
      <c r="D6" s="14"/>
      <c r="E6" s="3"/>
      <c r="S6"/>
    </row>
    <row r="7" spans="1:19" ht="12.75" customHeight="1" x14ac:dyDescent="0.3">
      <c r="B7" s="96" t="s">
        <v>32</v>
      </c>
      <c r="D7" s="95" t="b">
        <f>Output!D6</f>
        <v>1</v>
      </c>
      <c r="E7" s="3"/>
      <c r="S7"/>
    </row>
    <row r="8" spans="1:19" ht="12.75" customHeight="1" x14ac:dyDescent="0.3">
      <c r="E8" s="3"/>
      <c r="S8"/>
    </row>
    <row r="9" spans="1:19" ht="12.75" customHeight="1" x14ac:dyDescent="0.3">
      <c r="E9" s="3"/>
      <c r="S9"/>
    </row>
    <row r="12" spans="1:19" x14ac:dyDescent="0.3">
      <c r="B12" s="64"/>
      <c r="C12" s="64" t="s">
        <v>56</v>
      </c>
      <c r="D12" s="64"/>
      <c r="E12" s="65"/>
      <c r="F12" s="66" t="s">
        <v>13</v>
      </c>
      <c r="G12" s="66" t="s">
        <v>14</v>
      </c>
      <c r="H12" s="66" t="s">
        <v>15</v>
      </c>
      <c r="I12" s="66" t="s">
        <v>16</v>
      </c>
      <c r="J12" s="66" t="s">
        <v>17</v>
      </c>
      <c r="L12" s="66" t="s">
        <v>19</v>
      </c>
    </row>
    <row r="13" spans="1:19" x14ac:dyDescent="0.3">
      <c r="B13" s="82"/>
      <c r="C13" s="82"/>
      <c r="D13" s="114"/>
      <c r="E13" s="3"/>
      <c r="F13" s="7"/>
      <c r="G13" s="7"/>
      <c r="H13" s="7"/>
      <c r="I13" s="7"/>
      <c r="J13" s="7"/>
      <c r="L13" s="7"/>
    </row>
    <row r="14" spans="1:19" s="82" customFormat="1" x14ac:dyDescent="0.3">
      <c r="C14" s="82" t="s">
        <v>40</v>
      </c>
      <c r="D14" s="98"/>
      <c r="E14" s="3"/>
      <c r="F14" s="7">
        <v>5439245.9319730578</v>
      </c>
      <c r="G14" s="7">
        <v>1338630.6187721856</v>
      </c>
      <c r="H14" s="7">
        <v>2016418.2738467099</v>
      </c>
      <c r="I14" s="7">
        <v>1556793.5202492981</v>
      </c>
      <c r="J14" s="7">
        <v>1892510.2181533985</v>
      </c>
      <c r="L14" s="7">
        <f t="shared" ref="L14:L21" si="0">SUM(F14:J14)</f>
        <v>12243598.56299465</v>
      </c>
      <c r="N14" s="126" t="b">
        <f>ROUND(SUM(F14:J14)/1000-Output!AB14,1)=0</f>
        <v>1</v>
      </c>
      <c r="O14" s="115"/>
      <c r="P14" s="125"/>
      <c r="Q14" s="115"/>
    </row>
    <row r="15" spans="1:19" s="82" customFormat="1" ht="14.4" thickBot="1" x14ac:dyDescent="0.35">
      <c r="C15" s="82" t="s">
        <v>58</v>
      </c>
      <c r="D15" s="98"/>
      <c r="E15" s="3"/>
      <c r="F15" s="7">
        <v>421297.53409864247</v>
      </c>
      <c r="G15" s="7">
        <v>421297.53409864247</v>
      </c>
      <c r="H15" s="7">
        <v>421297.53409864247</v>
      </c>
      <c r="I15" s="7">
        <v>421297.53409864247</v>
      </c>
      <c r="J15" s="7">
        <v>421297.53409864247</v>
      </c>
      <c r="L15" s="7">
        <f t="shared" si="0"/>
        <v>2106487.6704932125</v>
      </c>
      <c r="N15" s="121" t="b">
        <f>SUM(F15:J15)/1000-Output!AB15=0</f>
        <v>0</v>
      </c>
    </row>
    <row r="16" spans="1:19" s="82" customFormat="1" x14ac:dyDescent="0.3">
      <c r="C16" s="82" t="s">
        <v>59</v>
      </c>
      <c r="D16" s="114" t="s">
        <v>41</v>
      </c>
      <c r="E16" s="3"/>
      <c r="F16" s="7">
        <v>0</v>
      </c>
      <c r="G16" s="7">
        <v>0</v>
      </c>
      <c r="H16" s="7">
        <v>921367.59361693147</v>
      </c>
      <c r="I16" s="7">
        <v>0</v>
      </c>
      <c r="J16" s="7">
        <v>0</v>
      </c>
      <c r="L16" s="7">
        <f t="shared" si="0"/>
        <v>921367.59361693147</v>
      </c>
      <c r="N16" s="129" t="b">
        <f>SUM(F16:J18)/1000=Output!AB12</f>
        <v>1</v>
      </c>
    </row>
    <row r="17" spans="2:14" s="82" customFormat="1" x14ac:dyDescent="0.3">
      <c r="C17" s="82" t="s">
        <v>73</v>
      </c>
      <c r="D17" s="114" t="s">
        <v>41</v>
      </c>
      <c r="E17" s="3"/>
      <c r="F17" s="7">
        <v>0</v>
      </c>
      <c r="G17" s="7">
        <v>0</v>
      </c>
      <c r="H17" s="7">
        <v>0</v>
      </c>
      <c r="I17" s="7">
        <v>4310305.8689895533</v>
      </c>
      <c r="J17" s="7">
        <v>9139542.9113955386</v>
      </c>
      <c r="L17" s="7">
        <f t="shared" si="0"/>
        <v>13449848.780385092</v>
      </c>
    </row>
    <row r="18" spans="2:14" s="82" customFormat="1" x14ac:dyDescent="0.3">
      <c r="C18" s="82" t="s">
        <v>54</v>
      </c>
      <c r="D18" s="114" t="s">
        <v>41</v>
      </c>
      <c r="E18" s="3"/>
      <c r="F18" s="7">
        <f>SUM(B_K_depots!H46:H48)</f>
        <v>37817198.462745592</v>
      </c>
      <c r="G18" s="7">
        <f>SUM(B_K_depots!I46:I48)</f>
        <v>13598119.59070269</v>
      </c>
      <c r="H18" s="7">
        <f>SUM(B_K_depots!J46:J48)</f>
        <v>0</v>
      </c>
      <c r="I18" s="7">
        <f>SUM(B_K_depots!K46:K48)</f>
        <v>0</v>
      </c>
      <c r="J18" s="7">
        <f>SUM(B_K_depots!L46:L48)</f>
        <v>0</v>
      </c>
      <c r="L18" s="7">
        <f t="shared" si="0"/>
        <v>51415318.053448282</v>
      </c>
    </row>
    <row r="19" spans="2:14" s="82" customFormat="1" x14ac:dyDescent="0.3">
      <c r="C19" s="82" t="s">
        <v>54</v>
      </c>
      <c r="D19" s="114" t="s">
        <v>53</v>
      </c>
      <c r="E19" s="3"/>
      <c r="F19" s="7">
        <v>0</v>
      </c>
      <c r="G19" s="7">
        <v>0</v>
      </c>
      <c r="H19" s="7">
        <v>0</v>
      </c>
      <c r="I19" s="7">
        <v>2118086.4221078884</v>
      </c>
      <c r="J19" s="7">
        <v>0</v>
      </c>
      <c r="L19" s="7">
        <f t="shared" si="0"/>
        <v>2118086.4221078884</v>
      </c>
      <c r="N19" s="121" t="b">
        <f>SUM(F19:J19)/1000=Output!AB13</f>
        <v>1</v>
      </c>
    </row>
    <row r="20" spans="2:14" s="82" customFormat="1" x14ac:dyDescent="0.3">
      <c r="D20" s="114"/>
      <c r="E20" s="3"/>
      <c r="F20" s="7"/>
      <c r="G20" s="7"/>
      <c r="H20" s="7"/>
      <c r="I20" s="7"/>
      <c r="J20" s="7"/>
      <c r="L20" s="7"/>
    </row>
    <row r="21" spans="2:14" x14ac:dyDescent="0.3">
      <c r="B21" s="82"/>
      <c r="C21" s="19" t="s">
        <v>37</v>
      </c>
      <c r="D21" s="19"/>
      <c r="E21" s="19"/>
      <c r="F21" s="20">
        <f>SUM(F13:F20)</f>
        <v>43677741.928817295</v>
      </c>
      <c r="G21" s="20">
        <f>SUM(G13:G20)</f>
        <v>15358047.743573518</v>
      </c>
      <c r="H21" s="20">
        <f>SUM(H13:H20)</f>
        <v>3359083.4015622837</v>
      </c>
      <c r="I21" s="20">
        <f>SUM(I13:I20)</f>
        <v>8406483.3454453833</v>
      </c>
      <c r="J21" s="20">
        <f>SUM(J13:J20)</f>
        <v>11453350.663647579</v>
      </c>
      <c r="L21" s="20">
        <f t="shared" si="0"/>
        <v>82254707.083046049</v>
      </c>
      <c r="N21" s="82"/>
    </row>
    <row r="24" spans="2:14" x14ac:dyDescent="0.3">
      <c r="F24" s="115"/>
      <c r="G24" s="115"/>
      <c r="H24" s="115"/>
      <c r="I24" s="115"/>
      <c r="J24" s="115"/>
      <c r="M24" s="115"/>
    </row>
  </sheetData>
  <conditionalFormatting sqref="D7">
    <cfRule type="expression" dxfId="4" priority="1">
      <formula>D7&lt;&gt;TRUE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 tint="-0.499984740745262"/>
    <outlinePr summaryBelow="0" summaryRight="0"/>
  </sheetPr>
  <dimension ref="A1:AI105"/>
  <sheetViews>
    <sheetView showGridLines="0" zoomScale="85" zoomScaleNormal="85" workbookViewId="0">
      <selection activeCell="I34" sqref="I34"/>
    </sheetView>
  </sheetViews>
  <sheetFormatPr defaultColWidth="14.44140625" defaultRowHeight="15" customHeight="1" x14ac:dyDescent="0.3"/>
  <cols>
    <col min="1" max="1" width="21.5546875" customWidth="1"/>
    <col min="2" max="2" width="13.33203125" customWidth="1"/>
    <col min="3" max="3" width="15.6640625" customWidth="1"/>
    <col min="4" max="4" width="13.44140625" customWidth="1"/>
    <col min="5" max="5" width="14.44140625" customWidth="1"/>
  </cols>
  <sheetData>
    <row r="1" spans="1:35" ht="21" x14ac:dyDescent="0.4">
      <c r="A1" s="13" t="s">
        <v>39</v>
      </c>
      <c r="B1" s="13"/>
      <c r="C1" s="13"/>
      <c r="D1" s="13"/>
      <c r="E1" s="13"/>
      <c r="F1" s="13"/>
      <c r="G1" s="13"/>
      <c r="H1" s="13"/>
      <c r="I1" s="13"/>
      <c r="J1" s="13"/>
    </row>
    <row r="2" spans="1:35" ht="15.6" x14ac:dyDescent="0.3">
      <c r="A2" s="12" t="s">
        <v>63</v>
      </c>
      <c r="B2" s="12"/>
      <c r="C2" s="12"/>
      <c r="D2" s="12"/>
      <c r="E2" s="12"/>
      <c r="F2" s="12"/>
      <c r="G2" s="12"/>
      <c r="H2" s="12"/>
      <c r="I2" s="12"/>
      <c r="J2" s="12"/>
    </row>
    <row r="3" spans="1:35" s="16" customFormat="1" ht="12.75" customHeight="1" x14ac:dyDescent="0.3">
      <c r="A3" s="27" t="s">
        <v>2</v>
      </c>
      <c r="B3" s="25"/>
      <c r="C3" s="25"/>
      <c r="D3" s="25"/>
      <c r="E3" s="25"/>
      <c r="F3" s="25"/>
      <c r="G3" s="25"/>
      <c r="H3" s="25"/>
      <c r="I3" s="25"/>
      <c r="J3" s="2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24" customFormat="1" ht="12.75" customHeight="1" x14ac:dyDescent="0.3">
      <c r="A4" s="23" t="s">
        <v>7</v>
      </c>
      <c r="B4" s="79" t="s">
        <v>2</v>
      </c>
      <c r="C4" s="23" t="s">
        <v>5</v>
      </c>
      <c r="D4" s="23" t="s">
        <v>6</v>
      </c>
    </row>
    <row r="5" spans="1:35" s="24" customFormat="1" ht="12.75" customHeight="1" x14ac:dyDescent="0.3">
      <c r="A5" s="23"/>
      <c r="B5" s="79"/>
      <c r="C5" s="23"/>
      <c r="D5" s="23"/>
    </row>
    <row r="6" spans="1:35" s="24" customFormat="1" ht="12.75" customHeight="1" x14ac:dyDescent="0.3">
      <c r="A6" s="2" t="s">
        <v>12</v>
      </c>
      <c r="B6" s="87">
        <v>2.75E-2</v>
      </c>
      <c r="C6" s="2"/>
      <c r="D6" s="23"/>
    </row>
    <row r="7" spans="1:35" s="24" customFormat="1" ht="12.75" customHeight="1" x14ac:dyDescent="0.3">
      <c r="A7" s="23"/>
      <c r="B7" s="79"/>
      <c r="C7" s="23"/>
      <c r="D7" s="23"/>
    </row>
    <row r="8" spans="1:35" s="24" customFormat="1" ht="12.75" customHeight="1" x14ac:dyDescent="0.3">
      <c r="A8" s="81" t="s">
        <v>27</v>
      </c>
      <c r="B8" s="89">
        <v>2018</v>
      </c>
      <c r="C8" t="s">
        <v>30</v>
      </c>
      <c r="D8" s="23"/>
    </row>
    <row r="9" spans="1:35" s="24" customFormat="1" ht="12.75" customHeight="1" x14ac:dyDescent="0.3">
      <c r="A9" s="81"/>
      <c r="B9" s="81"/>
      <c r="C9" s="81"/>
      <c r="D9" s="81"/>
      <c r="E9" s="81"/>
    </row>
    <row r="10" spans="1:35" ht="12.75" customHeight="1" x14ac:dyDescent="0.3">
      <c r="A10" s="67"/>
      <c r="B10" s="67"/>
      <c r="C10" s="67"/>
      <c r="D10" s="67">
        <v>2015</v>
      </c>
      <c r="E10" s="67">
        <v>2016</v>
      </c>
      <c r="F10" s="67">
        <v>2017</v>
      </c>
      <c r="G10" s="67">
        <v>2018</v>
      </c>
      <c r="H10" s="67">
        <v>2019</v>
      </c>
      <c r="I10" s="68">
        <v>2020</v>
      </c>
      <c r="J10" s="68" t="s">
        <v>28</v>
      </c>
    </row>
    <row r="11" spans="1:35" ht="12.75" customHeight="1" x14ac:dyDescent="0.3">
      <c r="A11" s="116" t="s">
        <v>60</v>
      </c>
      <c r="B11" s="21"/>
      <c r="C11" s="85"/>
      <c r="D11" s="117" t="s">
        <v>69</v>
      </c>
      <c r="E11" s="117" t="s">
        <v>69</v>
      </c>
      <c r="F11" s="117" t="s">
        <v>69</v>
      </c>
      <c r="G11" s="117" t="s">
        <v>69</v>
      </c>
      <c r="H11" s="117" t="s">
        <v>69</v>
      </c>
      <c r="I11" s="117" t="s">
        <v>69</v>
      </c>
      <c r="J11" s="117" t="s">
        <v>70</v>
      </c>
    </row>
    <row r="12" spans="1:35" ht="12.75" customHeight="1" x14ac:dyDescent="0.3">
      <c r="A12" s="118" t="s">
        <v>61</v>
      </c>
      <c r="B12" s="4"/>
      <c r="C12" s="118"/>
      <c r="D12" s="119" t="s">
        <v>22</v>
      </c>
      <c r="E12" s="119" t="s">
        <v>22</v>
      </c>
      <c r="F12" s="119" t="s">
        <v>22</v>
      </c>
      <c r="G12" s="119" t="s">
        <v>22</v>
      </c>
      <c r="H12" s="119" t="s">
        <v>22</v>
      </c>
      <c r="I12" s="120" t="s">
        <v>23</v>
      </c>
      <c r="J12" s="120" t="s">
        <v>23</v>
      </c>
    </row>
    <row r="13" spans="1:35" ht="12.75" customHeight="1" x14ac:dyDescent="0.3">
      <c r="A13" s="82" t="s">
        <v>62</v>
      </c>
      <c r="B13" s="82"/>
      <c r="C13" s="69"/>
      <c r="D13" s="70"/>
      <c r="E13" s="87">
        <v>1.0232558139534831E-2</v>
      </c>
      <c r="F13" s="87">
        <v>1.9337016574585641E-2</v>
      </c>
      <c r="G13" s="87">
        <v>2.0776874435411097E-2</v>
      </c>
      <c r="H13" s="87">
        <v>1.5929203539823078E-2</v>
      </c>
      <c r="I13" s="87">
        <v>2.000000000000024E-2</v>
      </c>
      <c r="J13" s="87">
        <v>2.1998043050963867E-2</v>
      </c>
    </row>
    <row r="14" spans="1:35" ht="12.75" customHeight="1" x14ac:dyDescent="0.3">
      <c r="A14" s="76" t="s">
        <v>24</v>
      </c>
      <c r="B14" s="74"/>
      <c r="C14" s="74"/>
      <c r="D14" s="88">
        <v>1</v>
      </c>
      <c r="E14" s="77">
        <f t="shared" ref="E14:J14" si="0">D14*(1+E13)</f>
        <v>1.0102325581395348</v>
      </c>
      <c r="F14" s="77">
        <f t="shared" si="0"/>
        <v>1.029767441860465</v>
      </c>
      <c r="G14" s="77">
        <f t="shared" si="0"/>
        <v>1.0511627906976744</v>
      </c>
      <c r="H14" s="77">
        <f t="shared" si="0"/>
        <v>1.067906976744186</v>
      </c>
      <c r="I14" s="77">
        <f t="shared" si="0"/>
        <v>1.0892651162790701</v>
      </c>
      <c r="J14" s="77">
        <f t="shared" si="0"/>
        <v>1.1132268172008901</v>
      </c>
    </row>
    <row r="15" spans="1:35" ht="12.75" customHeight="1" x14ac:dyDescent="0.3">
      <c r="A15" s="74"/>
      <c r="B15" s="74"/>
      <c r="C15" s="74"/>
      <c r="D15" s="75"/>
      <c r="E15" s="75"/>
      <c r="F15" s="75"/>
      <c r="G15" s="75"/>
      <c r="H15" s="75"/>
    </row>
    <row r="16" spans="1:35" ht="12.75" customHeight="1" x14ac:dyDescent="0.3">
      <c r="A16" s="81" t="s">
        <v>29</v>
      </c>
      <c r="B16" s="80">
        <v>2018</v>
      </c>
      <c r="C16" s="82" t="s">
        <v>30</v>
      </c>
      <c r="G16" s="71"/>
      <c r="H16" s="71"/>
    </row>
    <row r="17" spans="1:8" ht="12.75" customHeight="1" x14ac:dyDescent="0.3">
      <c r="A17" s="81" t="s">
        <v>26</v>
      </c>
      <c r="B17" s="86" t="s">
        <v>28</v>
      </c>
      <c r="C17" s="82" t="s">
        <v>31</v>
      </c>
      <c r="G17" s="71"/>
      <c r="H17" s="71"/>
    </row>
    <row r="18" spans="1:8" ht="12.75" customHeight="1" x14ac:dyDescent="0.3">
      <c r="A18" s="81" t="s">
        <v>25</v>
      </c>
      <c r="B18" s="78">
        <f>INDEX($D$14:$J$14, MATCH(B17, $D$10:$J$10,0))/INDEX($D$14:$J$14, MATCH(B16, $D$10:$J$10,0))</f>
        <v>1.0590432110539443</v>
      </c>
      <c r="C18" s="94"/>
      <c r="D18" s="72"/>
      <c r="E18" s="69"/>
      <c r="F18" s="69"/>
      <c r="G18" s="69"/>
      <c r="H18" s="69"/>
    </row>
    <row r="19" spans="1:8" ht="12.75" customHeight="1" x14ac:dyDescent="0.3">
      <c r="A19" s="71"/>
      <c r="B19" s="73"/>
      <c r="C19" s="73"/>
      <c r="D19" s="73"/>
      <c r="E19" s="73"/>
      <c r="F19" s="73"/>
      <c r="G19" s="73"/>
      <c r="H19" s="71"/>
    </row>
    <row r="20" spans="1:8" ht="12.75" customHeight="1" x14ac:dyDescent="0.3"/>
    <row r="21" spans="1:8" ht="12.75" customHeight="1" x14ac:dyDescent="0.3"/>
    <row r="22" spans="1:8" ht="12.75" customHeight="1" x14ac:dyDescent="0.3">
      <c r="A22" s="101" t="s">
        <v>38</v>
      </c>
    </row>
    <row r="23" spans="1:8" ht="12.75" customHeight="1" x14ac:dyDescent="0.3">
      <c r="A23" s="81" t="e">
        <f>#REF!</f>
        <v>#REF!</v>
      </c>
    </row>
    <row r="24" spans="1:8" ht="12.75" customHeight="1" x14ac:dyDescent="0.3">
      <c r="A24" s="81" t="str">
        <f>B_K_depots!$A$3</f>
        <v>Burwood and Keysborough depots</v>
      </c>
    </row>
    <row r="25" spans="1:8" ht="12.75" customHeight="1" x14ac:dyDescent="0.3">
      <c r="A25" s="81"/>
    </row>
    <row r="26" spans="1:8" ht="12.75" customHeight="1" x14ac:dyDescent="0.3"/>
    <row r="27" spans="1:8" ht="12.75" customHeight="1" x14ac:dyDescent="0.3"/>
    <row r="28" spans="1:8" ht="12.75" customHeight="1" x14ac:dyDescent="0.3">
      <c r="A28" s="104" t="s">
        <v>2</v>
      </c>
      <c r="B28" s="105"/>
      <c r="C28" s="105"/>
      <c r="D28" s="106" t="s">
        <v>1</v>
      </c>
      <c r="E28" s="106" t="s">
        <v>0</v>
      </c>
      <c r="F28" s="106" t="s">
        <v>43</v>
      </c>
    </row>
    <row r="29" spans="1:8" ht="12.75" customHeight="1" x14ac:dyDescent="0.3">
      <c r="A29" s="108" t="s">
        <v>41</v>
      </c>
      <c r="C29" s="108"/>
      <c r="D29" s="109">
        <v>0.03</v>
      </c>
      <c r="E29" s="109">
        <v>0.65</v>
      </c>
      <c r="F29" s="110">
        <v>0.32</v>
      </c>
    </row>
    <row r="30" spans="1:8" ht="12.75" customHeight="1" x14ac:dyDescent="0.3">
      <c r="A30" s="108" t="s">
        <v>42</v>
      </c>
      <c r="C30" s="108"/>
      <c r="D30" s="109">
        <v>0</v>
      </c>
      <c r="E30" s="109">
        <v>0.8</v>
      </c>
      <c r="F30" s="110">
        <v>0.2</v>
      </c>
    </row>
    <row r="31" spans="1:8" ht="12.75" customHeight="1" x14ac:dyDescent="0.3">
      <c r="A31" s="108"/>
      <c r="C31" s="108"/>
      <c r="D31" s="109"/>
      <c r="E31" s="109"/>
      <c r="F31" s="110"/>
    </row>
    <row r="32" spans="1:8" ht="12.75" customHeight="1" x14ac:dyDescent="0.3">
      <c r="A32" s="112" t="s">
        <v>54</v>
      </c>
    </row>
    <row r="33" spans="1:6" ht="12.75" customHeight="1" x14ac:dyDescent="0.3">
      <c r="A33" s="107" t="s">
        <v>44</v>
      </c>
      <c r="D33" s="109">
        <v>0</v>
      </c>
      <c r="E33" s="113">
        <f>1-SUM(D33,F33)</f>
        <v>0</v>
      </c>
      <c r="F33" s="110">
        <v>1</v>
      </c>
    </row>
    <row r="34" spans="1:6" ht="12.75" customHeight="1" x14ac:dyDescent="0.3">
      <c r="A34" s="107" t="s">
        <v>45</v>
      </c>
      <c r="D34" s="109">
        <v>0</v>
      </c>
      <c r="E34" s="113">
        <f>1-SUM(D34,F34)</f>
        <v>9.9999999999999978E-2</v>
      </c>
      <c r="F34" s="110">
        <v>0.9</v>
      </c>
    </row>
    <row r="35" spans="1:6" ht="12.75" customHeight="1" x14ac:dyDescent="0.3">
      <c r="A35" s="107" t="s">
        <v>46</v>
      </c>
      <c r="D35" s="109"/>
      <c r="E35" s="110">
        <v>1</v>
      </c>
      <c r="F35" s="110"/>
    </row>
    <row r="36" spans="1:6" ht="12.75" customHeight="1" x14ac:dyDescent="0.3">
      <c r="A36" s="107" t="s">
        <v>47</v>
      </c>
      <c r="D36" s="109">
        <v>0</v>
      </c>
      <c r="E36" s="113">
        <f t="shared" ref="E36:E41" si="1">1-SUM(D36,F36)</f>
        <v>0.5</v>
      </c>
      <c r="F36" s="110">
        <v>0.5</v>
      </c>
    </row>
    <row r="37" spans="1:6" ht="12.75" customHeight="1" x14ac:dyDescent="0.3">
      <c r="A37" s="107" t="s">
        <v>48</v>
      </c>
      <c r="D37" s="109">
        <v>0</v>
      </c>
      <c r="E37" s="113">
        <f t="shared" si="1"/>
        <v>0.7</v>
      </c>
      <c r="F37" s="110">
        <v>0.3</v>
      </c>
    </row>
    <row r="38" spans="1:6" ht="12.75" customHeight="1" x14ac:dyDescent="0.3">
      <c r="A38" s="107" t="s">
        <v>49</v>
      </c>
      <c r="D38" s="109">
        <v>0</v>
      </c>
      <c r="E38" s="113">
        <f t="shared" si="1"/>
        <v>0.19999999999999996</v>
      </c>
      <c r="F38" s="110">
        <v>0.8</v>
      </c>
    </row>
    <row r="39" spans="1:6" ht="12.75" customHeight="1" x14ac:dyDescent="0.3">
      <c r="A39" s="107" t="s">
        <v>50</v>
      </c>
      <c r="D39" s="109">
        <v>0</v>
      </c>
      <c r="E39" s="113">
        <f t="shared" si="1"/>
        <v>1</v>
      </c>
      <c r="F39" s="110">
        <v>0</v>
      </c>
    </row>
    <row r="40" spans="1:6" ht="12.75" customHeight="1" x14ac:dyDescent="0.3">
      <c r="A40" s="107" t="s">
        <v>51</v>
      </c>
      <c r="D40" s="109">
        <v>0</v>
      </c>
      <c r="E40" s="113">
        <f t="shared" si="1"/>
        <v>1</v>
      </c>
      <c r="F40" s="110">
        <v>0</v>
      </c>
    </row>
    <row r="41" spans="1:6" ht="12.75" customHeight="1" x14ac:dyDescent="0.3">
      <c r="A41" s="107" t="s">
        <v>52</v>
      </c>
      <c r="D41" s="109">
        <v>0.5</v>
      </c>
      <c r="E41" s="113">
        <f t="shared" si="1"/>
        <v>0</v>
      </c>
      <c r="F41" s="110">
        <v>0.5</v>
      </c>
    </row>
    <row r="42" spans="1:6" ht="12.75" customHeight="1" x14ac:dyDescent="0.3"/>
    <row r="43" spans="1:6" ht="12.75" customHeight="1" x14ac:dyDescent="0.3"/>
    <row r="44" spans="1:6" ht="12.75" customHeight="1" x14ac:dyDescent="0.3"/>
    <row r="45" spans="1:6" ht="12.75" customHeight="1" x14ac:dyDescent="0.3"/>
    <row r="46" spans="1:6" ht="12.75" customHeight="1" x14ac:dyDescent="0.3"/>
    <row r="47" spans="1:6" ht="12.75" customHeight="1" x14ac:dyDescent="0.3"/>
    <row r="48" spans="1:6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</sheetData>
  <dataValidations count="1">
    <dataValidation type="list" allowBlank="1" showInputMessage="1" showErrorMessage="1" sqref="B16:B17 B8" xr:uid="{00000000-0002-0000-0200-000000000000}">
      <formula1>$D$10:$J$10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S54"/>
  <sheetViews>
    <sheetView showGridLines="0" zoomScale="90" zoomScaleNormal="90" workbookViewId="0">
      <selection activeCell="O12" sqref="O12"/>
    </sheetView>
  </sheetViews>
  <sheetFormatPr defaultColWidth="9.109375" defaultRowHeight="13.8" x14ac:dyDescent="0.3"/>
  <cols>
    <col min="1" max="1" width="4.33203125" style="1" customWidth="1"/>
    <col min="2" max="2" width="2.6640625" style="1" customWidth="1"/>
    <col min="3" max="3" width="45.6640625" style="1" customWidth="1"/>
    <col min="4" max="4" width="11.109375" style="1" customWidth="1"/>
    <col min="5" max="5" width="13" style="1" bestFit="1" customWidth="1"/>
    <col min="6" max="7" width="2.88671875" style="1" customWidth="1"/>
    <col min="8" max="12" width="12.109375" style="1" customWidth="1"/>
    <col min="13" max="13" width="2.109375" style="1" customWidth="1"/>
    <col min="14" max="14" width="10.88671875" style="1" bestFit="1" customWidth="1"/>
    <col min="15" max="16384" width="9.109375" style="1"/>
  </cols>
  <sheetData>
    <row r="1" spans="1:17" ht="21" x14ac:dyDescent="0.4">
      <c r="A1" s="13" t="str">
        <f>Assumptions!A1</f>
        <v>Non-Network Capex</v>
      </c>
      <c r="B1" s="13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7" ht="15.6" x14ac:dyDescent="0.3">
      <c r="A2" s="12" t="str">
        <f>Assumptions!A2</f>
        <v>UE</v>
      </c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7" s="28" customFormat="1" ht="14.4" x14ac:dyDescent="0.3">
      <c r="A3" s="27" t="s">
        <v>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N3" s="97" t="b">
        <f>SUM(N7:N43)=0</f>
        <v>1</v>
      </c>
    </row>
    <row r="4" spans="1:17" s="2" customFormat="1" ht="12.75" customHeight="1" x14ac:dyDescent="0.3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7" s="2" customFormat="1" ht="12.75" customHeight="1" x14ac:dyDescent="0.3">
      <c r="A5" s="2" t="s">
        <v>71</v>
      </c>
      <c r="B5" s="16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7" ht="12.75" customHeight="1" x14ac:dyDescent="0.3">
      <c r="A6" s="6"/>
      <c r="F6" s="15"/>
    </row>
    <row r="7" spans="1:17" ht="12.75" customHeight="1" x14ac:dyDescent="0.3">
      <c r="A7" s="6"/>
      <c r="B7" s="82"/>
      <c r="C7" s="99" t="s">
        <v>33</v>
      </c>
      <c r="D7" s="17" t="s">
        <v>18</v>
      </c>
      <c r="E7" s="17" t="s">
        <v>8</v>
      </c>
      <c r="F7" s="15"/>
      <c r="G7" s="82"/>
      <c r="H7" s="17" t="s">
        <v>9</v>
      </c>
      <c r="I7" s="18"/>
      <c r="J7" s="18"/>
      <c r="K7" s="18"/>
      <c r="L7" s="18"/>
    </row>
    <row r="8" spans="1:17" s="82" customFormat="1" ht="12.75" customHeight="1" x14ac:dyDescent="0.3">
      <c r="A8" s="6"/>
      <c r="B8" s="6"/>
      <c r="C8" s="6"/>
      <c r="D8" s="6"/>
      <c r="E8" s="6"/>
      <c r="F8" s="15"/>
      <c r="G8" s="4"/>
      <c r="H8" s="100" t="s">
        <v>13</v>
      </c>
      <c r="I8" s="100" t="s">
        <v>14</v>
      </c>
      <c r="J8" s="100" t="s">
        <v>15</v>
      </c>
      <c r="K8" s="100" t="s">
        <v>16</v>
      </c>
      <c r="L8" s="100" t="s">
        <v>17</v>
      </c>
      <c r="P8" s="2"/>
      <c r="Q8" s="2"/>
    </row>
    <row r="9" spans="1:17" ht="12.75" customHeight="1" x14ac:dyDescent="0.3">
      <c r="A9" s="82"/>
      <c r="B9" s="82"/>
      <c r="C9" s="82"/>
      <c r="D9" s="82"/>
      <c r="E9" s="82"/>
      <c r="F9" s="15"/>
      <c r="G9" s="82"/>
      <c r="H9" s="82"/>
      <c r="I9" s="82"/>
      <c r="J9" s="82"/>
      <c r="K9" s="82"/>
      <c r="L9" s="82"/>
      <c r="P9" s="2"/>
      <c r="Q9" s="2"/>
    </row>
    <row r="10" spans="1:17" ht="12.75" customHeight="1" x14ac:dyDescent="0.3">
      <c r="A10" s="6" t="str">
        <f>IF(ISBLANK(B10),"",1+MAX(A$6:A9))</f>
        <v/>
      </c>
      <c r="C10" s="90" t="s">
        <v>44</v>
      </c>
      <c r="D10" s="91" t="s">
        <v>4</v>
      </c>
      <c r="E10" s="92" t="s">
        <v>64</v>
      </c>
      <c r="F10" s="3"/>
      <c r="G10" s="3"/>
      <c r="H10" s="93">
        <v>688378.08718506375</v>
      </c>
      <c r="I10" s="93">
        <v>0</v>
      </c>
      <c r="J10" s="93">
        <v>0</v>
      </c>
      <c r="K10" s="93">
        <v>0</v>
      </c>
      <c r="L10" s="93">
        <v>0</v>
      </c>
      <c r="Q10"/>
    </row>
    <row r="11" spans="1:17" s="82" customFormat="1" ht="12.75" customHeight="1" x14ac:dyDescent="0.3">
      <c r="A11" s="6"/>
      <c r="C11" s="90" t="s">
        <v>45</v>
      </c>
      <c r="D11" s="91" t="s">
        <v>4</v>
      </c>
      <c r="E11" s="92" t="s">
        <v>64</v>
      </c>
      <c r="F11" s="3"/>
      <c r="G11" s="3"/>
      <c r="H11" s="93">
        <v>0</v>
      </c>
      <c r="I11" s="93">
        <v>3587572.4200378996</v>
      </c>
      <c r="J11" s="93">
        <v>0</v>
      </c>
      <c r="K11" s="93">
        <v>0</v>
      </c>
      <c r="L11" s="93">
        <v>0</v>
      </c>
      <c r="Q11"/>
    </row>
    <row r="12" spans="1:17" s="82" customFormat="1" ht="12.75" customHeight="1" x14ac:dyDescent="0.3">
      <c r="A12" s="6"/>
      <c r="C12" s="90" t="s">
        <v>53</v>
      </c>
      <c r="D12" s="91" t="s">
        <v>4</v>
      </c>
      <c r="E12" s="92" t="s">
        <v>64</v>
      </c>
      <c r="F12" s="3"/>
      <c r="G12" s="3"/>
      <c r="H12" s="93" t="s">
        <v>78</v>
      </c>
      <c r="I12" s="93" t="s">
        <v>78</v>
      </c>
      <c r="J12" s="93" t="s">
        <v>78</v>
      </c>
      <c r="K12" s="93" t="s">
        <v>78</v>
      </c>
      <c r="L12" s="93" t="s">
        <v>78</v>
      </c>
      <c r="Q12"/>
    </row>
    <row r="13" spans="1:17" s="82" customFormat="1" ht="12.75" customHeight="1" x14ac:dyDescent="0.3">
      <c r="A13" s="6"/>
      <c r="C13" s="90" t="s">
        <v>47</v>
      </c>
      <c r="D13" s="91" t="s">
        <v>4</v>
      </c>
      <c r="E13" s="92" t="s">
        <v>64</v>
      </c>
      <c r="F13" s="3"/>
      <c r="G13" s="3"/>
      <c r="H13" s="93">
        <v>3706651.2386888051</v>
      </c>
      <c r="I13" s="93">
        <v>0</v>
      </c>
      <c r="J13" s="93">
        <v>0</v>
      </c>
      <c r="K13" s="93">
        <v>0</v>
      </c>
      <c r="L13" s="93">
        <v>0</v>
      </c>
      <c r="Q13"/>
    </row>
    <row r="14" spans="1:17" s="82" customFormat="1" ht="12.75" customHeight="1" x14ac:dyDescent="0.3">
      <c r="A14" s="6"/>
      <c r="C14" s="90" t="s">
        <v>48</v>
      </c>
      <c r="D14" s="91" t="s">
        <v>4</v>
      </c>
      <c r="E14" s="92" t="s">
        <v>64</v>
      </c>
      <c r="F14" s="3"/>
      <c r="G14" s="3"/>
      <c r="H14" s="93">
        <v>12037138.399999999</v>
      </c>
      <c r="I14" s="93">
        <v>5158773.6000000015</v>
      </c>
      <c r="J14" s="93">
        <v>0</v>
      </c>
      <c r="K14" s="93">
        <v>0</v>
      </c>
      <c r="L14" s="93">
        <v>0</v>
      </c>
      <c r="Q14"/>
    </row>
    <row r="15" spans="1:17" s="82" customFormat="1" ht="12.75" customHeight="1" x14ac:dyDescent="0.3">
      <c r="A15" s="6"/>
      <c r="C15" s="90" t="s">
        <v>49</v>
      </c>
      <c r="D15" s="91" t="s">
        <v>4</v>
      </c>
      <c r="E15" s="92" t="s">
        <v>64</v>
      </c>
      <c r="F15" s="3"/>
      <c r="G15" s="3"/>
      <c r="H15" s="93">
        <v>1230947.75</v>
      </c>
      <c r="I15" s="93">
        <v>3692843.25</v>
      </c>
      <c r="J15" s="93">
        <v>0</v>
      </c>
      <c r="K15" s="93">
        <v>0</v>
      </c>
      <c r="L15" s="93">
        <v>0</v>
      </c>
      <c r="Q15"/>
    </row>
    <row r="16" spans="1:17" s="82" customFormat="1" ht="12.75" customHeight="1" x14ac:dyDescent="0.3">
      <c r="A16" s="6"/>
      <c r="C16" s="90" t="s">
        <v>50</v>
      </c>
      <c r="D16" s="91" t="s">
        <v>4</v>
      </c>
      <c r="E16" s="92" t="s">
        <v>64</v>
      </c>
      <c r="F16" s="3"/>
      <c r="G16" s="3"/>
      <c r="H16" s="93">
        <v>0</v>
      </c>
      <c r="I16" s="93">
        <v>866236.98117909639</v>
      </c>
      <c r="J16" s="93">
        <v>0</v>
      </c>
      <c r="K16" s="93">
        <v>0</v>
      </c>
      <c r="L16" s="93">
        <v>0</v>
      </c>
      <c r="Q16"/>
    </row>
    <row r="17" spans="1:17" s="82" customFormat="1" ht="12.75" customHeight="1" x14ac:dyDescent="0.3">
      <c r="A17" s="6"/>
      <c r="C17" s="90" t="s">
        <v>51</v>
      </c>
      <c r="D17" s="91" t="s">
        <v>4</v>
      </c>
      <c r="E17" s="92" t="s">
        <v>64</v>
      </c>
      <c r="F17" s="3"/>
      <c r="G17" s="3"/>
      <c r="H17" s="93">
        <v>0</v>
      </c>
      <c r="I17" s="93">
        <v>0</v>
      </c>
      <c r="J17" s="93">
        <v>0</v>
      </c>
      <c r="K17" s="93">
        <v>0</v>
      </c>
      <c r="L17" s="93">
        <v>0</v>
      </c>
      <c r="Q17"/>
    </row>
    <row r="18" spans="1:17" s="82" customFormat="1" ht="12.75" customHeight="1" x14ac:dyDescent="0.3">
      <c r="A18" s="6"/>
      <c r="C18" s="90" t="s">
        <v>52</v>
      </c>
      <c r="D18" s="91" t="s">
        <v>4</v>
      </c>
      <c r="E18" s="92" t="s">
        <v>64</v>
      </c>
      <c r="F18" s="3"/>
      <c r="G18" s="3"/>
      <c r="H18" s="93">
        <v>0</v>
      </c>
      <c r="I18" s="93">
        <v>0</v>
      </c>
      <c r="J18" s="93">
        <v>0</v>
      </c>
      <c r="K18" s="93">
        <v>0</v>
      </c>
      <c r="L18" s="93">
        <v>0</v>
      </c>
      <c r="Q18"/>
    </row>
    <row r="19" spans="1:17" ht="12.7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/>
    </row>
    <row r="20" spans="1:17" s="82" customFormat="1" ht="12.75" customHeight="1" x14ac:dyDescent="0.3">
      <c r="A20" s="6" t="str">
        <f>IF(ISBLANK(B20),"",1+MAX(A$6:A19))</f>
        <v/>
      </c>
      <c r="C20" s="90" t="s">
        <v>44</v>
      </c>
      <c r="D20" s="91" t="s">
        <v>4</v>
      </c>
      <c r="E20" s="92" t="s">
        <v>65</v>
      </c>
      <c r="F20" s="3"/>
      <c r="G20" s="3"/>
      <c r="H20" s="93">
        <v>471741.7</v>
      </c>
      <c r="I20" s="93">
        <v>0</v>
      </c>
      <c r="J20" s="93">
        <v>0</v>
      </c>
      <c r="K20" s="93">
        <v>0</v>
      </c>
      <c r="L20" s="93">
        <v>0</v>
      </c>
      <c r="Q20"/>
    </row>
    <row r="21" spans="1:17" s="82" customFormat="1" ht="12.75" customHeight="1" x14ac:dyDescent="0.3">
      <c r="A21" s="6"/>
      <c r="C21" s="90" t="s">
        <v>45</v>
      </c>
      <c r="D21" s="91" t="s">
        <v>4</v>
      </c>
      <c r="E21" s="92" t="s">
        <v>65</v>
      </c>
      <c r="F21" s="3"/>
      <c r="G21" s="3"/>
      <c r="H21" s="93">
        <v>0</v>
      </c>
      <c r="I21" s="93">
        <v>0</v>
      </c>
      <c r="J21" s="93">
        <v>0</v>
      </c>
      <c r="K21" s="93">
        <v>0</v>
      </c>
      <c r="L21" s="93">
        <v>0</v>
      </c>
      <c r="Q21"/>
    </row>
    <row r="22" spans="1:17" s="82" customFormat="1" ht="12.75" customHeight="1" x14ac:dyDescent="0.3">
      <c r="A22" s="6"/>
      <c r="C22" s="90" t="s">
        <v>53</v>
      </c>
      <c r="D22" s="91" t="s">
        <v>4</v>
      </c>
      <c r="E22" s="92" t="s">
        <v>65</v>
      </c>
      <c r="F22" s="3"/>
      <c r="G22" s="3"/>
      <c r="H22" s="93">
        <v>0</v>
      </c>
      <c r="I22" s="93">
        <v>0</v>
      </c>
      <c r="J22" s="93">
        <v>0</v>
      </c>
      <c r="K22" s="93">
        <v>0</v>
      </c>
      <c r="L22" s="93">
        <v>0</v>
      </c>
      <c r="Q22"/>
    </row>
    <row r="23" spans="1:17" s="82" customFormat="1" ht="12.75" customHeight="1" x14ac:dyDescent="0.3">
      <c r="A23" s="6"/>
      <c r="C23" s="90" t="s">
        <v>47</v>
      </c>
      <c r="D23" s="91" t="s">
        <v>4</v>
      </c>
      <c r="E23" s="92" t="s">
        <v>65</v>
      </c>
      <c r="F23" s="3"/>
      <c r="G23" s="3"/>
      <c r="H23" s="93">
        <v>2959000</v>
      </c>
      <c r="I23" s="93">
        <v>0</v>
      </c>
      <c r="J23" s="93">
        <v>0</v>
      </c>
      <c r="K23" s="93">
        <v>0</v>
      </c>
      <c r="L23" s="93">
        <v>0</v>
      </c>
      <c r="Q23"/>
    </row>
    <row r="24" spans="1:17" s="82" customFormat="1" ht="12.75" customHeight="1" x14ac:dyDescent="0.3">
      <c r="A24" s="6"/>
      <c r="C24" s="90" t="s">
        <v>48</v>
      </c>
      <c r="D24" s="91" t="s">
        <v>4</v>
      </c>
      <c r="E24" s="92" t="s">
        <v>65</v>
      </c>
      <c r="F24" s="3"/>
      <c r="G24" s="3"/>
      <c r="H24" s="93">
        <v>13728879.9</v>
      </c>
      <c r="I24" s="93">
        <v>0</v>
      </c>
      <c r="J24" s="93">
        <v>0</v>
      </c>
      <c r="K24" s="93">
        <v>0</v>
      </c>
      <c r="L24" s="93">
        <v>0</v>
      </c>
      <c r="Q24"/>
    </row>
    <row r="25" spans="1:17" s="82" customFormat="1" ht="12.75" customHeight="1" x14ac:dyDescent="0.3">
      <c r="A25" s="6"/>
      <c r="C25" s="90" t="s">
        <v>49</v>
      </c>
      <c r="D25" s="91" t="s">
        <v>4</v>
      </c>
      <c r="E25" s="92" t="s">
        <v>65</v>
      </c>
      <c r="F25" s="3"/>
      <c r="G25" s="3"/>
      <c r="H25" s="93">
        <v>1889513.31</v>
      </c>
      <c r="I25" s="93">
        <v>0</v>
      </c>
      <c r="J25" s="93">
        <v>0</v>
      </c>
      <c r="K25" s="93">
        <v>0</v>
      </c>
      <c r="L25" s="93">
        <v>0</v>
      </c>
      <c r="Q25"/>
    </row>
    <row r="26" spans="1:17" s="82" customFormat="1" ht="12.75" customHeight="1" x14ac:dyDescent="0.3">
      <c r="A26" s="6"/>
      <c r="C26" s="90" t="s">
        <v>50</v>
      </c>
      <c r="D26" s="91" t="s">
        <v>4</v>
      </c>
      <c r="E26" s="92" t="s">
        <v>65</v>
      </c>
      <c r="F26" s="3"/>
      <c r="G26" s="3"/>
      <c r="H26" s="93">
        <v>290950.08</v>
      </c>
      <c r="I26" s="93">
        <v>0</v>
      </c>
      <c r="J26" s="93">
        <v>0</v>
      </c>
      <c r="K26" s="93">
        <v>0</v>
      </c>
      <c r="L26" s="93">
        <v>0</v>
      </c>
      <c r="Q26"/>
    </row>
    <row r="27" spans="1:17" s="82" customFormat="1" ht="12.75" customHeight="1" x14ac:dyDescent="0.3">
      <c r="A27" s="6"/>
      <c r="C27" s="90" t="s">
        <v>51</v>
      </c>
      <c r="D27" s="91" t="s">
        <v>4</v>
      </c>
      <c r="E27" s="92" t="s">
        <v>65</v>
      </c>
      <c r="F27" s="3"/>
      <c r="G27" s="3"/>
      <c r="H27" s="93">
        <v>0</v>
      </c>
      <c r="I27" s="93">
        <v>0</v>
      </c>
      <c r="J27" s="93">
        <v>0</v>
      </c>
      <c r="K27" s="93">
        <v>0</v>
      </c>
      <c r="L27" s="93">
        <v>0</v>
      </c>
      <c r="Q27"/>
    </row>
    <row r="28" spans="1:17" s="82" customFormat="1" ht="12.75" customHeight="1" x14ac:dyDescent="0.3">
      <c r="A28" s="6"/>
      <c r="C28" s="90" t="s">
        <v>52</v>
      </c>
      <c r="D28" s="91" t="s">
        <v>4</v>
      </c>
      <c r="E28" s="92" t="s">
        <v>65</v>
      </c>
      <c r="F28" s="3"/>
      <c r="G28" s="3"/>
      <c r="H28" s="93">
        <v>0</v>
      </c>
      <c r="I28" s="93">
        <v>0</v>
      </c>
      <c r="J28" s="93">
        <v>0</v>
      </c>
      <c r="K28" s="93">
        <v>0</v>
      </c>
      <c r="L28" s="93">
        <v>0</v>
      </c>
      <c r="Q28"/>
    </row>
    <row r="29" spans="1:17" ht="12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/>
    </row>
    <row r="30" spans="1:17" ht="12.75" customHeight="1" x14ac:dyDescent="0.3">
      <c r="F30" s="82"/>
      <c r="G30" s="82"/>
      <c r="Q30"/>
    </row>
    <row r="31" spans="1:17" ht="12.75" customHeight="1" x14ac:dyDescent="0.3">
      <c r="C31" s="5" t="s">
        <v>11</v>
      </c>
      <c r="F31" s="82"/>
      <c r="G31" s="82"/>
      <c r="Q31"/>
    </row>
    <row r="32" spans="1:17" ht="12.75" customHeight="1" x14ac:dyDescent="0.3">
      <c r="C32" s="21" t="s">
        <v>44</v>
      </c>
      <c r="D32" s="21" t="s">
        <v>4</v>
      </c>
      <c r="E32" s="21"/>
      <c r="F32" s="82"/>
      <c r="G32" s="82"/>
      <c r="H32" s="22">
        <f t="shared" ref="H32:L40" si="0">SUMIF($C$10:$C$29,$C32,H$10:H$29)</f>
        <v>1160119.7871850638</v>
      </c>
      <c r="I32" s="22">
        <f t="shared" si="0"/>
        <v>0</v>
      </c>
      <c r="J32" s="22">
        <f t="shared" si="0"/>
        <v>0</v>
      </c>
      <c r="K32" s="22">
        <f t="shared" si="0"/>
        <v>0</v>
      </c>
      <c r="L32" s="22">
        <f t="shared" si="0"/>
        <v>0</v>
      </c>
    </row>
    <row r="33" spans="3:19" ht="12.75" customHeight="1" x14ac:dyDescent="0.3">
      <c r="C33" s="4" t="s">
        <v>45</v>
      </c>
      <c r="D33" s="4" t="s">
        <v>4</v>
      </c>
      <c r="E33" s="4"/>
      <c r="F33" s="82"/>
      <c r="G33" s="82"/>
      <c r="H33" s="7">
        <f t="shared" si="0"/>
        <v>0</v>
      </c>
      <c r="I33" s="7">
        <f t="shared" si="0"/>
        <v>3587572.4200378996</v>
      </c>
      <c r="J33" s="7">
        <f t="shared" si="0"/>
        <v>0</v>
      </c>
      <c r="K33" s="7">
        <f t="shared" si="0"/>
        <v>0</v>
      </c>
      <c r="L33" s="7">
        <f t="shared" si="0"/>
        <v>0</v>
      </c>
    </row>
    <row r="34" spans="3:19" ht="12.75" customHeight="1" x14ac:dyDescent="0.3">
      <c r="C34" s="4" t="s">
        <v>53</v>
      </c>
      <c r="D34" s="4" t="s">
        <v>4</v>
      </c>
      <c r="E34" s="4"/>
      <c r="F34" s="82"/>
      <c r="G34" s="82"/>
      <c r="H34" s="7">
        <f t="shared" si="0"/>
        <v>0</v>
      </c>
      <c r="I34" s="7">
        <f t="shared" si="0"/>
        <v>0</v>
      </c>
      <c r="J34" s="7">
        <f t="shared" si="0"/>
        <v>0</v>
      </c>
      <c r="K34" s="7">
        <f t="shared" si="0"/>
        <v>0</v>
      </c>
      <c r="L34" s="7">
        <f t="shared" si="0"/>
        <v>0</v>
      </c>
    </row>
    <row r="35" spans="3:19" s="82" customFormat="1" ht="12.75" customHeight="1" x14ac:dyDescent="0.3">
      <c r="C35" s="4" t="s">
        <v>47</v>
      </c>
      <c r="D35" s="4" t="s">
        <v>4</v>
      </c>
      <c r="E35" s="4"/>
      <c r="H35" s="7">
        <f t="shared" si="0"/>
        <v>6665651.2386888051</v>
      </c>
      <c r="I35" s="7">
        <f t="shared" si="0"/>
        <v>0</v>
      </c>
      <c r="J35" s="7">
        <f t="shared" si="0"/>
        <v>0</v>
      </c>
      <c r="K35" s="7">
        <f t="shared" si="0"/>
        <v>0</v>
      </c>
      <c r="L35" s="7">
        <f t="shared" si="0"/>
        <v>0</v>
      </c>
    </row>
    <row r="36" spans="3:19" s="82" customFormat="1" ht="12.75" customHeight="1" x14ac:dyDescent="0.3">
      <c r="C36" s="4" t="s">
        <v>48</v>
      </c>
      <c r="D36" s="4" t="s">
        <v>4</v>
      </c>
      <c r="E36" s="4"/>
      <c r="H36" s="7">
        <f t="shared" si="0"/>
        <v>25766018.299999997</v>
      </c>
      <c r="I36" s="7">
        <f t="shared" si="0"/>
        <v>5158773.6000000015</v>
      </c>
      <c r="J36" s="7">
        <f t="shared" si="0"/>
        <v>0</v>
      </c>
      <c r="K36" s="7">
        <f t="shared" si="0"/>
        <v>0</v>
      </c>
      <c r="L36" s="7">
        <f t="shared" si="0"/>
        <v>0</v>
      </c>
    </row>
    <row r="37" spans="3:19" s="82" customFormat="1" ht="12.75" customHeight="1" x14ac:dyDescent="0.3">
      <c r="C37" s="4" t="s">
        <v>49</v>
      </c>
      <c r="D37" s="4" t="s">
        <v>4</v>
      </c>
      <c r="E37" s="4"/>
      <c r="H37" s="7">
        <f t="shared" si="0"/>
        <v>3120461.06</v>
      </c>
      <c r="I37" s="7">
        <f t="shared" si="0"/>
        <v>3692843.25</v>
      </c>
      <c r="J37" s="7">
        <f t="shared" si="0"/>
        <v>0</v>
      </c>
      <c r="K37" s="7">
        <f t="shared" si="0"/>
        <v>0</v>
      </c>
      <c r="L37" s="7">
        <f t="shared" si="0"/>
        <v>0</v>
      </c>
    </row>
    <row r="38" spans="3:19" s="82" customFormat="1" ht="12.75" customHeight="1" x14ac:dyDescent="0.3">
      <c r="C38" s="4" t="s">
        <v>50</v>
      </c>
      <c r="D38" s="4" t="s">
        <v>4</v>
      </c>
      <c r="E38" s="4"/>
      <c r="H38" s="7">
        <f t="shared" si="0"/>
        <v>290950.08</v>
      </c>
      <c r="I38" s="7">
        <f t="shared" si="0"/>
        <v>866236.98117909639</v>
      </c>
      <c r="J38" s="7">
        <f t="shared" si="0"/>
        <v>0</v>
      </c>
      <c r="K38" s="7">
        <f t="shared" si="0"/>
        <v>0</v>
      </c>
      <c r="L38" s="7">
        <f t="shared" si="0"/>
        <v>0</v>
      </c>
    </row>
    <row r="39" spans="3:19" ht="12.75" customHeight="1" x14ac:dyDescent="0.3">
      <c r="C39" s="4" t="s">
        <v>51</v>
      </c>
      <c r="D39" s="4" t="s">
        <v>4</v>
      </c>
      <c r="E39" s="4"/>
      <c r="F39" s="82"/>
      <c r="G39" s="82"/>
      <c r="H39" s="7">
        <f t="shared" si="0"/>
        <v>0</v>
      </c>
      <c r="I39" s="7">
        <f t="shared" si="0"/>
        <v>0</v>
      </c>
      <c r="J39" s="7">
        <f t="shared" si="0"/>
        <v>0</v>
      </c>
      <c r="K39" s="7">
        <f t="shared" si="0"/>
        <v>0</v>
      </c>
      <c r="L39" s="7">
        <f t="shared" si="0"/>
        <v>0</v>
      </c>
    </row>
    <row r="40" spans="3:19" ht="12.75" customHeight="1" x14ac:dyDescent="0.3">
      <c r="C40" s="4" t="s">
        <v>52</v>
      </c>
      <c r="D40" s="4" t="s">
        <v>4</v>
      </c>
      <c r="E40" s="4"/>
      <c r="F40" s="82"/>
      <c r="G40" s="82"/>
      <c r="H40" s="7">
        <f t="shared" si="0"/>
        <v>0</v>
      </c>
      <c r="I40" s="7">
        <f t="shared" si="0"/>
        <v>0</v>
      </c>
      <c r="J40" s="7">
        <f t="shared" si="0"/>
        <v>0</v>
      </c>
      <c r="K40" s="7">
        <f t="shared" si="0"/>
        <v>0</v>
      </c>
      <c r="L40" s="7">
        <f t="shared" si="0"/>
        <v>0</v>
      </c>
    </row>
    <row r="41" spans="3:19" ht="12.75" customHeight="1" x14ac:dyDescent="0.3">
      <c r="C41" s="8" t="s">
        <v>72</v>
      </c>
      <c r="D41" s="8"/>
      <c r="E41" s="8"/>
      <c r="F41" s="82"/>
      <c r="G41" s="82"/>
      <c r="H41" s="9">
        <f>SUM(H32:H40)</f>
        <v>37003200.465873867</v>
      </c>
      <c r="I41" s="9">
        <f>SUM(I32:I40)</f>
        <v>13305426.251216996</v>
      </c>
      <c r="J41" s="9">
        <f>SUM(J32:J40)</f>
        <v>0</v>
      </c>
      <c r="K41" s="9">
        <f>SUM(K32:K40)</f>
        <v>0</v>
      </c>
      <c r="L41" s="9">
        <f>SUM(L32:L40)</f>
        <v>0</v>
      </c>
      <c r="M41" s="30"/>
      <c r="N41" s="82"/>
      <c r="O41" s="82"/>
      <c r="P41" s="82"/>
    </row>
    <row r="42" spans="3:19" ht="12.75" customHeight="1" x14ac:dyDescent="0.3">
      <c r="C42" s="21" t="str">
        <f>"Total Expenditure ($ "&amp;Assumptions!B17&amp;")"</f>
        <v>Total Expenditure ($ 2020/21)</v>
      </c>
      <c r="D42" s="21"/>
      <c r="E42" s="21"/>
      <c r="F42" s="82"/>
      <c r="G42" s="82"/>
      <c r="H42" s="31">
        <f>H41/Assumptions!$I$14*Assumptions!$J$14</f>
        <v>37817198.462745607</v>
      </c>
      <c r="I42" s="31">
        <f>I41/Assumptions!$I$14*Assumptions!$J$14</f>
        <v>13598119.590702692</v>
      </c>
      <c r="J42" s="31">
        <f>J41/Assumptions!$I$14*Assumptions!$J$14</f>
        <v>0</v>
      </c>
      <c r="K42" s="31">
        <f>K41/Assumptions!$I$14*Assumptions!$J$14</f>
        <v>0</v>
      </c>
      <c r="L42" s="31">
        <f>L41/Assumptions!$I$14*Assumptions!$J$14</f>
        <v>0</v>
      </c>
      <c r="M42" s="30"/>
      <c r="N42" s="82"/>
      <c r="O42" s="82"/>
      <c r="P42" s="82"/>
    </row>
    <row r="43" spans="3:19" x14ac:dyDescent="0.3">
      <c r="C43" s="83" t="s">
        <v>10</v>
      </c>
      <c r="D43" s="83"/>
      <c r="E43" s="83"/>
      <c r="F43" s="82"/>
      <c r="G43" s="82"/>
      <c r="H43" s="84">
        <f>H41-SUM(H10:H29)</f>
        <v>0</v>
      </c>
      <c r="I43" s="84">
        <f>I41-SUM(I10:I29)</f>
        <v>0</v>
      </c>
      <c r="J43" s="84">
        <f>J41-SUM(J10:J29)</f>
        <v>0</v>
      </c>
      <c r="K43" s="84">
        <f>K41-SUM(K10:K29)</f>
        <v>0</v>
      </c>
      <c r="L43" s="84">
        <f>L41-SUM(L10:L29)</f>
        <v>0</v>
      </c>
      <c r="M43" s="82"/>
      <c r="N43" s="84">
        <f>SUM(H43:L43)</f>
        <v>0</v>
      </c>
      <c r="O43" s="82"/>
      <c r="P43" s="82"/>
    </row>
    <row r="44" spans="3:19" ht="12.75" customHeight="1" x14ac:dyDescent="0.3"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</row>
    <row r="45" spans="3:19" s="82" customFormat="1" ht="12.75" customHeight="1" x14ac:dyDescent="0.3">
      <c r="C45" s="5" t="s">
        <v>11</v>
      </c>
      <c r="F45" s="3"/>
      <c r="G45" s="10"/>
      <c r="H45" s="3"/>
      <c r="S45"/>
    </row>
    <row r="46" spans="3:19" s="82" customFormat="1" ht="12.75" customHeight="1" x14ac:dyDescent="0.3">
      <c r="C46" s="21" t="s">
        <v>1</v>
      </c>
      <c r="D46" s="21" t="s">
        <v>4</v>
      </c>
      <c r="E46" s="21" t="s">
        <v>41</v>
      </c>
      <c r="H46" s="31">
        <f>SUMPRODUCT(H$32:H$40,Assumptions!$D$33:$D$41)/Assumptions!$I$14*Assumptions!$J$14</f>
        <v>0</v>
      </c>
      <c r="I46" s="31">
        <f>SUMPRODUCT(I$32:I$40,Assumptions!$D$33:$D$41)/Assumptions!$I$14*Assumptions!$J$14</f>
        <v>0</v>
      </c>
      <c r="J46" s="31">
        <f>SUMPRODUCT(J$32:J$40,Assumptions!$D$33:$D$41)/Assumptions!$I$14*Assumptions!$J$14</f>
        <v>0</v>
      </c>
      <c r="K46" s="31">
        <f>SUMPRODUCT(K$32:K$40,Assumptions!$D$33:$D$41)/Assumptions!$I$14*Assumptions!$J$14</f>
        <v>0</v>
      </c>
      <c r="L46" s="31">
        <f>SUMPRODUCT(L$32:L$40,Assumptions!$D$33:$D$41)/Assumptions!$I$14*Assumptions!$J$14</f>
        <v>0</v>
      </c>
    </row>
    <row r="47" spans="3:19" s="82" customFormat="1" ht="12.75" customHeight="1" x14ac:dyDescent="0.3">
      <c r="C47" s="4" t="s">
        <v>0</v>
      </c>
      <c r="D47" s="4" t="s">
        <v>4</v>
      </c>
      <c r="E47" s="4" t="s">
        <v>41</v>
      </c>
      <c r="H47" s="111">
        <f>SUMPRODUCT(H$32:H$40,Assumptions!$E$33:$E$41)/Assumptions!$I$14*Assumptions!$J$14-H49</f>
        <v>22774286.88840368</v>
      </c>
      <c r="I47" s="111">
        <f>SUMPRODUCT(I$32:I$40,Assumptions!$E$33:$E$41)/Assumptions!$I$14*Assumptions!$J$14-I49</f>
        <v>5697336.9804205205</v>
      </c>
      <c r="J47" s="111">
        <f>SUMPRODUCT(J$32:J$40,Assumptions!$E$33:$E$41)/Assumptions!$I$14*Assumptions!$J$14-J49</f>
        <v>0</v>
      </c>
      <c r="K47" s="111">
        <f>SUMPRODUCT(K$32:K$40,Assumptions!$E$33:$E$41)/Assumptions!$I$14*Assumptions!$J$14-K49</f>
        <v>0</v>
      </c>
      <c r="L47" s="111">
        <f>SUMPRODUCT(L$32:L$40,Assumptions!$E$33:$E$41)/Assumptions!$I$14*Assumptions!$J$14-L49</f>
        <v>0</v>
      </c>
    </row>
    <row r="48" spans="3:19" s="82" customFormat="1" ht="12.75" customHeight="1" x14ac:dyDescent="0.3">
      <c r="C48" s="4" t="s">
        <v>3</v>
      </c>
      <c r="D48" s="4" t="s">
        <v>4</v>
      </c>
      <c r="E48" s="4" t="s">
        <v>41</v>
      </c>
      <c r="H48" s="111">
        <f>SUMPRODUCT(H$32:H$40,Assumptions!$F$33:$F$41)/Assumptions!$I$14*Assumptions!$J$14</f>
        <v>15042911.574341916</v>
      </c>
      <c r="I48" s="111">
        <f>SUMPRODUCT(I$32:I$40,Assumptions!$F$33:$F$41)/Assumptions!$I$14*Assumptions!$J$14</f>
        <v>7900782.6102821706</v>
      </c>
      <c r="J48" s="111">
        <f>SUMPRODUCT(J$32:J$40,Assumptions!$F$33:$F$41)/Assumptions!$I$14*Assumptions!$J$14</f>
        <v>0</v>
      </c>
      <c r="K48" s="111">
        <f>SUMPRODUCT(K$32:K$40,Assumptions!$F$33:$F$41)/Assumptions!$I$14*Assumptions!$J$14</f>
        <v>0</v>
      </c>
      <c r="L48" s="111">
        <f>SUMPRODUCT(L$32:L$40,Assumptions!$F$33:$F$41)/Assumptions!$I$14*Assumptions!$J$14</f>
        <v>0</v>
      </c>
    </row>
    <row r="49" spans="3:16" s="82" customFormat="1" ht="12.75" customHeight="1" x14ac:dyDescent="0.3">
      <c r="C49" s="4" t="s">
        <v>53</v>
      </c>
      <c r="D49" s="4" t="s">
        <v>57</v>
      </c>
      <c r="E49" s="4" t="s">
        <v>53</v>
      </c>
      <c r="H49" s="111">
        <f>SUMIF($C$10:$C$29,$C49,H$10:H$29)/Assumptions!$I$14*Assumptions!$J$14</f>
        <v>0</v>
      </c>
      <c r="I49" s="111">
        <f>SUMIF($C$10:$C$29,$C49,I$10:I$29)/Assumptions!$I$14*Assumptions!$J$14</f>
        <v>0</v>
      </c>
      <c r="J49" s="111">
        <f>SUMIF($C$10:$C$29,$C49,J$10:J$29)/Assumptions!$I$14*Assumptions!$J$14</f>
        <v>0</v>
      </c>
      <c r="K49" s="111">
        <f>SUMIF($C$10:$C$29,$C49,K$10:K$29)/Assumptions!$I$14*Assumptions!$J$14</f>
        <v>0</v>
      </c>
      <c r="L49" s="111">
        <f>SUMIF($C$10:$C$29,$C49,L$10:L$29)/Assumptions!$I$14*Assumptions!$J$14</f>
        <v>0</v>
      </c>
    </row>
    <row r="50" spans="3:16" s="82" customFormat="1" ht="12.75" customHeight="1" x14ac:dyDescent="0.3">
      <c r="C50" s="8" t="str">
        <f>"Total Expenditure ($ "&amp;Assumptions!B17&amp;")"</f>
        <v>Total Expenditure ($ 2020/21)</v>
      </c>
      <c r="D50" s="8"/>
      <c r="E50" s="8"/>
      <c r="H50" s="9">
        <f>SUM(H46:H49)</f>
        <v>37817198.462745592</v>
      </c>
      <c r="I50" s="9">
        <f t="shared" ref="I50:L50" si="1">SUM(I46:I49)</f>
        <v>13598119.59070269</v>
      </c>
      <c r="J50" s="9">
        <f t="shared" si="1"/>
        <v>0</v>
      </c>
      <c r="K50" s="9">
        <f t="shared" si="1"/>
        <v>0</v>
      </c>
      <c r="L50" s="9">
        <f t="shared" si="1"/>
        <v>0</v>
      </c>
      <c r="O50" s="30"/>
    </row>
    <row r="51" spans="3:16" s="82" customFormat="1" x14ac:dyDescent="0.3">
      <c r="C51" s="83" t="s">
        <v>10</v>
      </c>
      <c r="D51" s="83"/>
      <c r="E51" s="83"/>
      <c r="H51" s="84">
        <f>H42-H50</f>
        <v>0</v>
      </c>
      <c r="I51" s="84">
        <f t="shared" ref="I51:L51" si="2">I42-I50</f>
        <v>0</v>
      </c>
      <c r="J51" s="84">
        <f t="shared" si="2"/>
        <v>0</v>
      </c>
      <c r="K51" s="84">
        <f t="shared" si="2"/>
        <v>0</v>
      </c>
      <c r="L51" s="84">
        <f t="shared" si="2"/>
        <v>0</v>
      </c>
      <c r="N51" s="84">
        <f>SUM(H51:L51)</f>
        <v>0</v>
      </c>
    </row>
    <row r="52" spans="3:16" s="82" customFormat="1" x14ac:dyDescent="0.3"/>
    <row r="53" spans="3:16" s="82" customFormat="1" ht="12.75" customHeight="1" x14ac:dyDescent="0.3"/>
    <row r="54" spans="3:16" ht="12.75" customHeight="1" x14ac:dyDescent="0.3">
      <c r="C54" s="102" t="str">
        <f>"NPV ($ "&amp;Assumptions!$B$17&amp;")"</f>
        <v>NPV ($ 2020/21)</v>
      </c>
      <c r="D54" s="103">
        <f>NPV(Assumptions!$B$6,$H$50:$L$50)</f>
        <v>49685039.526096843</v>
      </c>
      <c r="E54" s="29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</row>
  </sheetData>
  <conditionalFormatting sqref="N43">
    <cfRule type="expression" dxfId="3" priority="11">
      <formula>ABS(N43)&gt;0.001</formula>
    </cfRule>
  </conditionalFormatting>
  <conditionalFormatting sqref="H43:L43">
    <cfRule type="expression" dxfId="2" priority="9">
      <formula>ABS(H43)&gt;0.001</formula>
    </cfRule>
  </conditionalFormatting>
  <conditionalFormatting sqref="H51:L51">
    <cfRule type="expression" dxfId="1" priority="6">
      <formula>ABS(H51)&gt;0.001</formula>
    </cfRule>
  </conditionalFormatting>
  <conditionalFormatting sqref="N51">
    <cfRule type="expression" dxfId="0" priority="5">
      <formula>ABS(N51)&gt;0.001</formula>
    </cfRule>
  </conditionalFormatting>
  <dataValidations disablePrompts="1" count="2">
    <dataValidation type="list" allowBlank="1" showInputMessage="1" showErrorMessage="1" sqref="D20:D28 D10:D18" xr:uid="{00000000-0002-0000-0700-000000000000}">
      <formula1>"CapEx, OpEx"</formula1>
    </dataValidation>
    <dataValidation type="list" allowBlank="1" showInputMessage="1" showErrorMessage="1" sqref="E10:E18 E20:E28" xr:uid="{00000000-0002-0000-0700-000002000000}">
      <formula1>"Mornington, Burwood, Keysborough"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Output</vt:lpstr>
      <vt:lpstr>Summary</vt:lpstr>
      <vt:lpstr>Assumptions</vt:lpstr>
      <vt:lpstr>B_K_depots</vt:lpstr>
      <vt:lpstr>Conv_2021</vt:lpstr>
      <vt:lpstr>Depot_categories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2019-11-21T00:30:46Z</dcterms:created>
  <dcterms:modified xsi:type="dcterms:W3CDTF">2020-12-02T02:27:59Z</dcterms:modified>
</cp:coreProperties>
</file>