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D99B0059-131A-43A5-B08F-9E92424759CD}" xr6:coauthVersionLast="45" xr6:coauthVersionMax="45" xr10:uidLastSave="{00000000-0000-0000-0000-000000000000}"/>
  <bookViews>
    <workbookView xWindow="810" yWindow="-120" windowWidth="28110" windowHeight="16440" tabRatio="910" activeTab="6" xr2:uid="{00000000-000D-0000-FFFF-FFFF00000000}"/>
  </bookViews>
  <sheets>
    <sheet name="Index" sheetId="1" r:id="rId1"/>
    <sheet name="Amendments" sheetId="59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</externalReference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BaseYear" localSheetId="1">'Input|General'!$G$12</definedName>
    <definedName name="BaseYear">'Input|General'!$G$12</definedName>
    <definedName name="CRCP_final_year">'[1]AER ETL'!$C$46</definedName>
    <definedName name="CRCP_y1">'[1]AER lookups'!$G$59</definedName>
    <definedName name="CRCP_y10">'[1]AER lookups'!$G$68</definedName>
    <definedName name="CRCP_y11">'[1]AER lookups'!$G$69</definedName>
    <definedName name="CRCP_y12">'[1]AER lookups'!$G$70</definedName>
    <definedName name="CRCP_y13">'[1]AER lookups'!$G$71</definedName>
    <definedName name="CRCP_y14">'[1]AER lookups'!$G$72</definedName>
    <definedName name="CRCP_y15">'[1]AER lookups'!$G$73</definedName>
    <definedName name="CRCP_y2">'[1]AER lookups'!$G$60</definedName>
    <definedName name="CRCP_y3">'[1]AER lookups'!$G$61</definedName>
    <definedName name="CRCP_y4">'[1]AER lookups'!$G$62</definedName>
    <definedName name="CRCP_y5">'[1]AER lookups'!$G$63</definedName>
    <definedName name="CRCP_y6">'[1]AER lookups'!$G$64</definedName>
    <definedName name="CRCP_y7">'[1]AER lookups'!$G$65</definedName>
    <definedName name="CRCP_y8">'[1]AER lookups'!$G$66</definedName>
    <definedName name="CRCP_y9">'[1]AER lookups'!$G$67</definedName>
    <definedName name="dms_060301_checkvalue">'[1]AER ETL'!$C$89</definedName>
    <definedName name="dms_060301_LastRow">'[1]AER ETL'!$C$91</definedName>
    <definedName name="dms_060701_ARR_MaxRows">'[1]AER ETL'!$C$99</definedName>
    <definedName name="dms_060701_Reset_MaxRows">'[1]AER ETL'!$C$98</definedName>
    <definedName name="dms_060701_StartDateTxt">'[1]AER ETL'!$C$105</definedName>
    <definedName name="dms_0608_LastRow">'[1]AER ETL'!$C$111</definedName>
    <definedName name="dms_0608_OffsetRows">'[1]AER ETL'!$C$110</definedName>
    <definedName name="dms_060801_StartCell">'[2]6'!$B$13</definedName>
    <definedName name="dms_663_List">'[1]AER lookups'!$N$13:$N$38</definedName>
    <definedName name="dms_ABN_List">'[1]AER lookups'!$D$13:$D$38</definedName>
    <definedName name="dms_Addr1_List">'[1]AER lookups'!$P$13:$P$38</definedName>
    <definedName name="dms_Addr2_List">'[1]AER lookups'!$Q$13:$Q$38</definedName>
    <definedName name="dms_Amendment_Text">'[1]Business &amp; other details'!$AR$67</definedName>
    <definedName name="dms_Cal_Year_B4_CRY">'[1]AER ETL'!$C$28</definedName>
    <definedName name="dms_CBD_flag">'[1]AER lookups'!$AC$13:$AC$38</definedName>
    <definedName name="dms_Confid_status_List">'[1]AER NRs'!$D$6:$D$8</definedName>
    <definedName name="dms_CRCP_start_row">'[1]AER ETL'!$C$39</definedName>
    <definedName name="dms_CRCPlength_List">'[1]AER lookups'!$K$13:$K$38</definedName>
    <definedName name="dms_CRCPlength_Num">'[1]AER ETL'!$C$68</definedName>
    <definedName name="dms_CRY_RYE">'[1]AER ETL'!$C$52</definedName>
    <definedName name="dms_CRY_start_row">'[1]AER ETL'!$C$37</definedName>
    <definedName name="dms_DataQuality_List">'[1]AER NRs'!$C$6:$C$9</definedName>
    <definedName name="dms_DeterminationRef_List">'[1]AER lookups'!$O$13:$O$38</definedName>
    <definedName name="dms_DollarReal_year">'[1]AER ETL'!$C$50</definedName>
    <definedName name="dms_DQ_2">'[1]AER ETL'!$C$13</definedName>
    <definedName name="dms_FeederName_1">'[1]AER lookups'!$AI$13:$AI$38</definedName>
    <definedName name="dms_FeederName_2">'[1]AER lookups'!$AJ$13:$AJ$38</definedName>
    <definedName name="dms_FeederName_3">'[1]AER lookups'!$AK$13:$AK$38</definedName>
    <definedName name="dms_FeederName_4">'[1]AER lookups'!$AL$13:$AL$38</definedName>
    <definedName name="dms_FeederName_5">'[1]AER lookups'!$AM$13:$AM$38</definedName>
    <definedName name="dms_FeederType_5_flag">'[1]AER lookups'!$AG$13:$AG$38</definedName>
    <definedName name="dms_FifthFeeder_flag_NSP">'[1]AER ETL'!$C$124</definedName>
    <definedName name="dms_FormControl_Choices">'[1]AER NRs'!$D$14:$D$16</definedName>
    <definedName name="dms_FRCP_start_row">'[1]AER ETL'!$C$38</definedName>
    <definedName name="dms_FRCPlength_List">'[1]AER lookups'!$L$13:$L$38</definedName>
    <definedName name="dms_FRCPlength_Num">'[1]AER ETL'!$C$69</definedName>
    <definedName name="dms_Header_Span">'[1]AER ETL'!$C$59</definedName>
    <definedName name="dms_JurisdictionList">'[1]AER lookups'!$E$13:$E$38</definedName>
    <definedName name="dms_LeapYear_Result">'[1]AER ETL'!$C$97</definedName>
    <definedName name="dms_LongRural_flag">'[1]AER lookups'!$AF$13:$AF$38</definedName>
    <definedName name="dms_Model">'[1]AER ETL'!$C$10</definedName>
    <definedName name="dms_Model_List">'[1]AER lookups'!$B$45:$B$54</definedName>
    <definedName name="dms_Model_Span">'[1]AER ETL'!$C$55</definedName>
    <definedName name="dms_Model_Span_List">'[1]AER lookups'!$E$45:$E$54</definedName>
    <definedName name="dms_MultiYear_Flag">'[1]AER ETL'!$C$62</definedName>
    <definedName name="dms_MultiYear_ResponseFlag">'[1]AER ETL'!$C$61</definedName>
    <definedName name="dms_PAddr1_List">'[1]AER lookups'!$U$13:$U$38</definedName>
    <definedName name="dms_PAddr2">'[1]Business &amp; other details'!$BQ$24</definedName>
    <definedName name="dms_PAddr2_List">'[1]AER lookups'!$V$13:$V$38</definedName>
    <definedName name="dms_PRCP_start_row">'[1]AER ETL'!$C$40</definedName>
    <definedName name="dms_PRCPlength_List">'[1]AER lookups'!$M$13:$M$38</definedName>
    <definedName name="dms_PRCPlength_Num">'[1]AER ETL'!$C$67</definedName>
    <definedName name="dms_Previous_DollarReal_year">'[1]AER ETL'!$C$51</definedName>
    <definedName name="dms_PState_List">'[1]AER lookups'!$X$13:$X$38</definedName>
    <definedName name="dms_PSuburb_List">'[1]AER lookups'!$W$13:$W$38</definedName>
    <definedName name="dms_Public_Lighting_List">'[1]AER lookups'!$AN$13:$AN$38</definedName>
    <definedName name="dms_Reset_final_year">'[1]AER ETL'!$C$48</definedName>
    <definedName name="dms_Reset_RYE">'[1]AER ETL'!$C$53</definedName>
    <definedName name="dms_Reset_Span">'[1]AER ETL'!$C$57</definedName>
    <definedName name="dms_RPT">'[1]AER ETL'!$C$22</definedName>
    <definedName name="dms_RPT_List">'[1]AER lookups'!$I$13:$I$38</definedName>
    <definedName name="dms_RPTMonth">'[1]AER ETL'!$C$29</definedName>
    <definedName name="dms_RPTMonth_List">'[1]AER lookups'!$J$13:$J$38</definedName>
    <definedName name="dms_RYE_result">'[1]AER ETL'!$C$56</definedName>
    <definedName name="dms_RYE_start_row">'[1]AER ETL'!$C$41</definedName>
    <definedName name="dms_Sector_List">'[1]AER lookups'!$F$13:$F$38</definedName>
    <definedName name="dms_Segment">'[1]AER ETL'!$C$20</definedName>
    <definedName name="dms_Segment_List">'[1]AER lookups'!$G$13:$G$38</definedName>
    <definedName name="dms_Selected_Quality">'[1]Business &amp; other details'!$AR$63</definedName>
    <definedName name="dms_Selected_Source">'[1]Business &amp; other details'!$AR$61</definedName>
    <definedName name="dms_Selected_Status">'[1]Business &amp; other details'!$AR$65</definedName>
    <definedName name="dms_ShortRural_flag">'[1]AER lookups'!$AE$13:$AE$38</definedName>
    <definedName name="dms_SingleYear_Model">'[1]AER ETL'!$C$71:$C$73</definedName>
    <definedName name="dms_SingleYearModel">'[1]AER ETL'!$C$74</definedName>
    <definedName name="dms_SourceList">'[1]AER NRs'!$C$14:$C$27</definedName>
    <definedName name="dms_Specified_FinalYear">'[1]AER ETL'!$C$63</definedName>
    <definedName name="dms_Specified_RYE">'[1]AER ETL'!$C$54</definedName>
    <definedName name="dms_SpecifiedYear_Span">'[1]AER ETL'!$C$58</definedName>
    <definedName name="dms_start_year">'[1]AER ETL'!$C$35</definedName>
    <definedName name="dms_State_List">'[1]AER lookups'!$S$13:$S$38</definedName>
    <definedName name="dms_Suburb_List">'[1]AER lookups'!$R$13:$R$38</definedName>
    <definedName name="dms_TradingName">'[1]Business &amp; other details'!$AL$16</definedName>
    <definedName name="dms_TradingName_List">'[1]AER lookups'!$B$13:$B$38</definedName>
    <definedName name="dms_TradingNameFull_List">'[1]AER lookups'!$C$13:$C$38</definedName>
    <definedName name="dms_Typed_Submission_Date">'[1]Business &amp; other details'!$AR$71</definedName>
    <definedName name="dms_Urban_flag">'[1]AER lookups'!$AD$13:$AD$38</definedName>
    <definedName name="dms_Worksheet_List">'[1]AER lookups'!$D$45:$D$54</definedName>
    <definedName name="dollars">'Lookup|Tables'!$G$10</definedName>
    <definedName name="Drc">'[1]PTRM input'!$G$390</definedName>
    <definedName name="Drpc">'[1]PTRM input'!$G$388</definedName>
    <definedName name="Drpt">'[1]PTRM input'!$G$389</definedName>
    <definedName name="Dv">'[1]PTRM input'!$G$376</definedName>
    <definedName name="ERC_Final_Calc">'[1]Equity raising costs'!$Q$54</definedName>
    <definedName name="ERC_Yr01_Inc">'[1]PTRM input'!$G$110</definedName>
    <definedName name="f">'[1]PTRM input'!$G$373</definedName>
    <definedName name="factor">'Lookup|Tables'!$G$17</definedName>
    <definedName name="FPFirstYear" localSheetId="1">'Input|General'!$G$15</definedName>
    <definedName name="FPFirstYear">'Input|General'!$G$15</definedName>
    <definedName name="FPLastYear" localSheetId="1">'Input|General'!$G$16</definedName>
    <definedName name="FPLastYear">'Input|General'!$G$16</definedName>
    <definedName name="FRCP_final_year">'[1]AER ETL'!$C$45</definedName>
    <definedName name="FRCP_y1">'[1]Business &amp; other details'!$AR$42</definedName>
    <definedName name="FRCP_y10">'[1]AER lookups'!$I$68</definedName>
    <definedName name="FRCP_y11">'[1]AER lookups'!$I$69</definedName>
    <definedName name="FRCP_y12">'[1]AER lookups'!$I$70</definedName>
    <definedName name="FRCP_y13">'[1]AER lookups'!$I$71</definedName>
    <definedName name="FRCP_y14">'[1]AER lookups'!$I$72</definedName>
    <definedName name="FRCP_y15">'[1]AER lookups'!$I$73</definedName>
    <definedName name="FRCP_y2">'[1]AER lookups'!$I$60</definedName>
    <definedName name="FRCP_y3">'[1]AER lookups'!$I$61</definedName>
    <definedName name="FRCP_y4">'[1]AER lookups'!$I$62</definedName>
    <definedName name="FRCP_y5">'[1]AER lookups'!$I$63</definedName>
    <definedName name="FRCP_y6">'[1]AER lookups'!$I$64</definedName>
    <definedName name="FRCP_y7">'[1]AER lookups'!$I$65</definedName>
    <definedName name="FRCP_y8">'[1]AER lookups'!$I$66</definedName>
    <definedName name="FRCP_y9">'[1]AER lookups'!$I$67</definedName>
    <definedName name="g">'[1]PTRM input'!$G$375</definedName>
    <definedName name="Icpr">'[1]PTRM input'!$G$386</definedName>
    <definedName name="InterveningPeriod" localSheetId="1">'Input|General'!$G$14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millions">'Lookup|Tables'!$G$12</definedName>
    <definedName name="Nominal_to_Real" localSheetId="1">'Lookup|Tables'!$H$65:$H$71</definedName>
    <definedName name="Nominal_to_Real">'Lookup|Tables'!$H$65:$H$71</definedName>
    <definedName name="NSP">'Input|General'!$G$7</definedName>
    <definedName name="number">'Lookup|Tables'!$G$16</definedName>
    <definedName name="P_0_RevCap">'[1]X factors'!$G$63</definedName>
    <definedName name="P_0_RevYld">'[1]X factors'!$G$83</definedName>
    <definedName name="P_0_WAPC">'[1]X factors'!$G$47</definedName>
    <definedName name="percent" localSheetId="1">'Lookup|Tables'!$G$14</definedName>
    <definedName name="percent">'Lookup|Tables'!$G$14</definedName>
    <definedName name="PPFirstYear" localSheetId="1">'Input|General'!$G$11</definedName>
    <definedName name="PPFirstYear">'Input|General'!$G$11</definedName>
    <definedName name="PPLastYear" localSheetId="1">'Input|General'!$G$13</definedName>
    <definedName name="PPLastYear">'Input|General'!$G$13</definedName>
    <definedName name="PRCP_final_year">'[1]AER ETL'!$C$47</definedName>
    <definedName name="PRCP_y1">'[1]AER lookups'!$E$59</definedName>
    <definedName name="PRCP_y10">'[1]AER lookups'!$E$68</definedName>
    <definedName name="PRCP_y11">'[1]AER lookups'!$E$69</definedName>
    <definedName name="PRCP_y12">'[1]AER lookups'!$E$70</definedName>
    <definedName name="PRCP_y13">'[1]AER lookups'!$E$71</definedName>
    <definedName name="PRCP_y14">'[1]AER lookups'!$E$72</definedName>
    <definedName name="PRCP_y15">'[1]AER lookups'!$E$73</definedName>
    <definedName name="PRCP_y2">'[1]AER lookups'!$E$60</definedName>
    <definedName name="PRCP_y3">'[1]AER lookups'!$E$61</definedName>
    <definedName name="PRCP_y4">'[1]AER lookups'!$E$62</definedName>
    <definedName name="PRCP_y5">'[1]AER lookups'!$E$63</definedName>
    <definedName name="PRCP_y6">'[1]AER lookups'!$E$64</definedName>
    <definedName name="PRCP_y7">'[1]AER lookups'!$E$65</definedName>
    <definedName name="PRCP_y8">'[1]AER lookups'!$E$66</definedName>
    <definedName name="PRCP_y9">'[1]AER lookups'!$E$67</definedName>
    <definedName name="RAB">'[1]PTRM input'!$J$57</definedName>
    <definedName name="Real_to_Nominal">'Lookup|Tables'!$H$65:$H$71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input'!$G$387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58" l="1"/>
  <c r="E85" i="58"/>
  <c r="R40" i="2" l="1"/>
  <c r="S40" i="2"/>
  <c r="T40" i="2"/>
  <c r="U40" i="2"/>
  <c r="Q40" i="2"/>
  <c r="F84" i="58" l="1"/>
  <c r="E84" i="58"/>
  <c r="T65" i="42" l="1"/>
  <c r="F66" i="55"/>
  <c r="F64" i="55"/>
  <c r="F68" i="55" s="1"/>
  <c r="G68" i="55" s="1"/>
  <c r="I53" i="4"/>
  <c r="G73" i="4" s="1"/>
  <c r="I54" i="4"/>
  <c r="G74" i="4" s="1"/>
  <c r="I55" i="4"/>
  <c r="G75" i="4" s="1"/>
  <c r="I56" i="4"/>
  <c r="G76" i="4" s="1"/>
  <c r="I52" i="4"/>
  <c r="G72" i="4" s="1"/>
  <c r="H52" i="4"/>
  <c r="H53" i="4"/>
  <c r="H54" i="4"/>
  <c r="H55" i="4"/>
  <c r="H56" i="4"/>
  <c r="H57" i="4"/>
  <c r="H58" i="4"/>
  <c r="H59" i="4"/>
  <c r="H60" i="4"/>
  <c r="H51" i="4"/>
  <c r="T4" i="44"/>
  <c r="T11" i="44" s="1"/>
  <c r="S4" i="44"/>
  <c r="S11" i="44" s="1"/>
  <c r="R4" i="44"/>
  <c r="R11" i="44" s="1"/>
  <c r="Q4" i="44"/>
  <c r="Q11" i="44" s="1"/>
  <c r="P4" i="44"/>
  <c r="P11" i="44" s="1"/>
  <c r="O4" i="44"/>
  <c r="O11" i="44" s="1"/>
  <c r="O16" i="44" s="1"/>
  <c r="N4" i="44"/>
  <c r="N11" i="44" s="1"/>
  <c r="N15" i="44" s="1"/>
  <c r="M4" i="44"/>
  <c r="M11" i="44" s="1"/>
  <c r="M13" i="44" s="1"/>
  <c r="L4" i="44"/>
  <c r="L11" i="44" s="1"/>
  <c r="L16" i="44" s="1"/>
  <c r="K4" i="44"/>
  <c r="K11" i="44" s="1"/>
  <c r="K16" i="44" s="1"/>
  <c r="J4" i="44"/>
  <c r="J11" i="44" s="1"/>
  <c r="J16" i="44" s="1"/>
  <c r="T4" i="42"/>
  <c r="T33" i="42" s="1"/>
  <c r="S4" i="42"/>
  <c r="S45" i="42" s="1"/>
  <c r="R4" i="42"/>
  <c r="R37" i="42" s="1"/>
  <c r="Q4" i="42"/>
  <c r="Q35" i="42" s="1"/>
  <c r="P4" i="42"/>
  <c r="P45" i="42" s="1"/>
  <c r="O4" i="42"/>
  <c r="O63" i="42" s="1"/>
  <c r="N4" i="42"/>
  <c r="N45" i="42" s="1"/>
  <c r="M4" i="42"/>
  <c r="M51" i="42" s="1"/>
  <c r="L4" i="42"/>
  <c r="L45" i="42" s="1"/>
  <c r="K4" i="42"/>
  <c r="K33" i="42" s="1"/>
  <c r="J4" i="42"/>
  <c r="J42" i="42" s="1"/>
  <c r="T4" i="53"/>
  <c r="T36" i="53" s="1"/>
  <c r="S4" i="53"/>
  <c r="S10" i="53" s="1"/>
  <c r="R4" i="53"/>
  <c r="R10" i="53" s="1"/>
  <c r="Q4" i="53"/>
  <c r="Q10" i="53" s="1"/>
  <c r="P4" i="53"/>
  <c r="P10" i="53" s="1"/>
  <c r="O4" i="53"/>
  <c r="O22" i="53" s="1"/>
  <c r="N4" i="53"/>
  <c r="N36" i="53" s="1"/>
  <c r="N40" i="53" s="1"/>
  <c r="M4" i="53"/>
  <c r="M36" i="53" s="1"/>
  <c r="M40" i="53" s="1"/>
  <c r="L4" i="53"/>
  <c r="L36" i="53" s="1"/>
  <c r="L40" i="53" s="1"/>
  <c r="K4" i="53"/>
  <c r="K26" i="53" s="1"/>
  <c r="K32" i="53" s="1"/>
  <c r="J4" i="53"/>
  <c r="J10" i="53" s="1"/>
  <c r="J22" i="53" s="1"/>
  <c r="J4" i="2"/>
  <c r="J100" i="2" s="1"/>
  <c r="K4" i="2"/>
  <c r="K14" i="2" s="1"/>
  <c r="U4" i="2"/>
  <c r="U36" i="2" s="1"/>
  <c r="T4" i="2"/>
  <c r="T105" i="2" s="1"/>
  <c r="S4" i="2"/>
  <c r="S75" i="2" s="1"/>
  <c r="R4" i="2"/>
  <c r="R95" i="2" s="1"/>
  <c r="Q4" i="2"/>
  <c r="Q95" i="2" s="1"/>
  <c r="P4" i="2"/>
  <c r="P64" i="2" s="1"/>
  <c r="P73" i="2" s="1"/>
  <c r="O4" i="2"/>
  <c r="O10" i="2" s="1"/>
  <c r="N4" i="2"/>
  <c r="N24" i="2" s="1"/>
  <c r="M4" i="2"/>
  <c r="M100" i="2" s="1"/>
  <c r="L4" i="2"/>
  <c r="L14" i="2" s="1"/>
  <c r="T4" i="58"/>
  <c r="S4" i="58"/>
  <c r="S10" i="58" s="1"/>
  <c r="R4" i="58"/>
  <c r="R33" i="58" s="1"/>
  <c r="Q4" i="58"/>
  <c r="P4" i="58"/>
  <c r="O4" i="58"/>
  <c r="O33" i="58" s="1"/>
  <c r="N4" i="58"/>
  <c r="N57" i="58" s="1"/>
  <c r="M4" i="58"/>
  <c r="M33" i="58" s="1"/>
  <c r="L4" i="58"/>
  <c r="K4" i="58"/>
  <c r="K33" i="58" s="1"/>
  <c r="J4" i="58"/>
  <c r="J10" i="58" s="1"/>
  <c r="Q107" i="2"/>
  <c r="P67" i="42" s="1"/>
  <c r="T107" i="2"/>
  <c r="S67" i="42" s="1"/>
  <c r="U107" i="2"/>
  <c r="T67" i="42" s="1"/>
  <c r="S107" i="2"/>
  <c r="R67" i="42" s="1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8" i="58"/>
  <c r="K16" i="42" s="1"/>
  <c r="L38" i="58"/>
  <c r="L16" i="42" s="1"/>
  <c r="M38" i="58"/>
  <c r="M16" i="42" s="1"/>
  <c r="N38" i="58"/>
  <c r="N16" i="42" s="1"/>
  <c r="P38" i="58"/>
  <c r="P16" i="42" s="1"/>
  <c r="Q38" i="58"/>
  <c r="Q16" i="42" s="1"/>
  <c r="R38" i="58"/>
  <c r="R16" i="42" s="1"/>
  <c r="S38" i="58"/>
  <c r="S16" i="42" s="1"/>
  <c r="T38" i="58"/>
  <c r="T16" i="42" s="1"/>
  <c r="J38" i="58"/>
  <c r="J16" i="42" s="1"/>
  <c r="F38" i="58"/>
  <c r="F16" i="42" s="1"/>
  <c r="E38" i="58"/>
  <c r="E16" i="42" s="1"/>
  <c r="S33" i="58"/>
  <c r="X52" i="58"/>
  <c r="S52" i="58"/>
  <c r="R52" i="58"/>
  <c r="Q52" i="58"/>
  <c r="P52" i="58"/>
  <c r="O52" i="58"/>
  <c r="O24" i="42" s="1"/>
  <c r="N52" i="58"/>
  <c r="M52" i="58"/>
  <c r="L52" i="58"/>
  <c r="K52" i="58"/>
  <c r="J52" i="58"/>
  <c r="O38" i="58"/>
  <c r="O16" i="42" s="1"/>
  <c r="D38" i="58"/>
  <c r="E17" i="42"/>
  <c r="E18" i="42"/>
  <c r="C97" i="2" a="1"/>
  <c r="C100" i="2" s="1"/>
  <c r="C16" i="16"/>
  <c r="D16" i="16" s="1"/>
  <c r="G16" i="16"/>
  <c r="S14" i="54"/>
  <c r="S11" i="54"/>
  <c r="S10" i="54"/>
  <c r="S9" i="54"/>
  <c r="H70" i="4"/>
  <c r="H71" i="4" s="1"/>
  <c r="H72" i="4" s="1"/>
  <c r="H73" i="4" s="1"/>
  <c r="H74" i="4" s="1"/>
  <c r="H75" i="4" s="1"/>
  <c r="H76" i="4" s="1"/>
  <c r="H66" i="4"/>
  <c r="H67" i="4"/>
  <c r="H68" i="4"/>
  <c r="H69" i="4"/>
  <c r="H65" i="4"/>
  <c r="U77" i="2"/>
  <c r="U81" i="2"/>
  <c r="U82" i="2"/>
  <c r="T15" i="58"/>
  <c r="F25" i="42"/>
  <c r="J14" i="2"/>
  <c r="F18" i="42"/>
  <c r="F17" i="42"/>
  <c r="J93" i="2" a="1"/>
  <c r="J93" i="2" s="1"/>
  <c r="K93" i="2" a="1"/>
  <c r="K93" i="2" s="1"/>
  <c r="L93" i="2" a="1"/>
  <c r="L93" i="2" s="1"/>
  <c r="M93" i="2" a="1"/>
  <c r="M93" i="2" s="1"/>
  <c r="U78" i="2"/>
  <c r="U80" i="2"/>
  <c r="U79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D15" i="16" s="1"/>
  <c r="C14" i="16"/>
  <c r="D14" i="16" s="1"/>
  <c r="C13" i="16"/>
  <c r="D13" i="16" s="1"/>
  <c r="C12" i="16"/>
  <c r="D12" i="16" s="1"/>
  <c r="C11" i="16"/>
  <c r="D11" i="16" s="1"/>
  <c r="F70" i="58"/>
  <c r="F65" i="58"/>
  <c r="F66" i="58"/>
  <c r="F67" i="58"/>
  <c r="F68" i="58"/>
  <c r="F64" i="58"/>
  <c r="C80" i="4"/>
  <c r="K70" i="58"/>
  <c r="L70" i="58"/>
  <c r="M70" i="58"/>
  <c r="N70" i="58"/>
  <c r="O70" i="58"/>
  <c r="P70" i="58"/>
  <c r="Q70" i="58"/>
  <c r="R70" i="58"/>
  <c r="S70" i="58"/>
  <c r="J70" i="58"/>
  <c r="X79" i="58"/>
  <c r="X29" i="58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20" i="42"/>
  <c r="F26" i="42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E14" i="42" s="1"/>
  <c r="D15" i="58"/>
  <c r="F15" i="58"/>
  <c r="F26" i="58" s="1"/>
  <c r="K15" i="58"/>
  <c r="L15" i="58"/>
  <c r="M15" i="58"/>
  <c r="N15" i="58"/>
  <c r="O15" i="58"/>
  <c r="P15" i="58"/>
  <c r="Q15" i="58"/>
  <c r="R15" i="58"/>
  <c r="S15" i="58"/>
  <c r="J15" i="58"/>
  <c r="E31" i="42"/>
  <c r="F30" i="42"/>
  <c r="F31" i="42"/>
  <c r="C31" i="42"/>
  <c r="E93" i="58"/>
  <c r="E30" i="42" s="1"/>
  <c r="F37" i="42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N20" i="42"/>
  <c r="S8" i="54"/>
  <c r="F51" i="42"/>
  <c r="C51" i="42"/>
  <c r="C52" i="42" s="1"/>
  <c r="F48" i="42"/>
  <c r="C48" i="42"/>
  <c r="C49" i="42" s="1"/>
  <c r="F45" i="42"/>
  <c r="C45" i="42"/>
  <c r="C46" i="42" s="1"/>
  <c r="F42" i="42"/>
  <c r="C42" i="42"/>
  <c r="C43" i="42" s="1"/>
  <c r="F39" i="42"/>
  <c r="C39" i="42"/>
  <c r="C40" i="42" s="1"/>
  <c r="F12" i="42"/>
  <c r="E12" i="42"/>
  <c r="E91" i="58"/>
  <c r="E51" i="42" s="1"/>
  <c r="E90" i="58"/>
  <c r="E89" i="58"/>
  <c r="E45" i="42" s="1"/>
  <c r="E88" i="58"/>
  <c r="E42" i="42" s="1"/>
  <c r="E87" i="58"/>
  <c r="E39" i="42" s="1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C2" i="58"/>
  <c r="C1" i="58"/>
  <c r="F16" i="44"/>
  <c r="F15" i="44"/>
  <c r="F14" i="44"/>
  <c r="E16" i="44"/>
  <c r="E15" i="44"/>
  <c r="E14" i="44"/>
  <c r="C15" i="44"/>
  <c r="C16" i="44"/>
  <c r="C13" i="44"/>
  <c r="C14" i="44"/>
  <c r="F102" i="42"/>
  <c r="E102" i="42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C24" i="4"/>
  <c r="F52" i="42"/>
  <c r="E52" i="42"/>
  <c r="F49" i="42"/>
  <c r="E49" i="42"/>
  <c r="F46" i="42"/>
  <c r="E46" i="42"/>
  <c r="F43" i="42"/>
  <c r="E43" i="42"/>
  <c r="F40" i="42"/>
  <c r="E40" i="42"/>
  <c r="E86" i="42"/>
  <c r="E104" i="42"/>
  <c r="F15" i="42"/>
  <c r="F56" i="42"/>
  <c r="F5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Q67" i="42"/>
  <c r="C78" i="2"/>
  <c r="C79" i="2"/>
  <c r="C80" i="2"/>
  <c r="C81" i="2"/>
  <c r="C82" i="2"/>
  <c r="C77" i="2"/>
  <c r="S7" i="54"/>
  <c r="S13" i="54"/>
  <c r="S15" i="54"/>
  <c r="C10" i="16"/>
  <c r="D10" i="16" s="1"/>
  <c r="C53" i="2"/>
  <c r="C54" i="2"/>
  <c r="C55" i="2"/>
  <c r="C56" i="2"/>
  <c r="C57" i="2"/>
  <c r="C58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O14" i="42" l="1"/>
  <c r="E20" i="42"/>
  <c r="K98" i="2"/>
  <c r="M22" i="42"/>
  <c r="E22" i="58"/>
  <c r="E22" i="42" s="1"/>
  <c r="M35" i="42"/>
  <c r="E48" i="42"/>
  <c r="P47" i="2"/>
  <c r="F14" i="42"/>
  <c r="J26" i="53"/>
  <c r="J32" i="53" s="1"/>
  <c r="L73" i="2"/>
  <c r="L109" i="2"/>
  <c r="P109" i="2"/>
  <c r="R14" i="42"/>
  <c r="P100" i="2"/>
  <c r="J39" i="42"/>
  <c r="J98" i="2"/>
  <c r="N48" i="42"/>
  <c r="J47" i="2"/>
  <c r="L47" i="2"/>
  <c r="S22" i="42"/>
  <c r="P97" i="2"/>
  <c r="R26" i="53"/>
  <c r="R32" i="53" s="1"/>
  <c r="R100" i="42"/>
  <c r="O47" i="2"/>
  <c r="J20" i="42"/>
  <c r="O98" i="2"/>
  <c r="R45" i="42"/>
  <c r="N70" i="42" a="1"/>
  <c r="N70" i="42" s="1"/>
  <c r="N14" i="42"/>
  <c r="M26" i="53"/>
  <c r="M32" i="53" s="1"/>
  <c r="R22" i="42"/>
  <c r="S49" i="2"/>
  <c r="S60" i="2" s="1"/>
  <c r="O45" i="42"/>
  <c r="S12" i="42"/>
  <c r="S13" i="42" s="1"/>
  <c r="S28" i="42" s="1"/>
  <c r="S74" i="42"/>
  <c r="O70" i="42" a="1"/>
  <c r="O70" i="42" s="1"/>
  <c r="O12" i="42"/>
  <c r="K22" i="42"/>
  <c r="K10" i="42"/>
  <c r="K30" i="42" s="1"/>
  <c r="K12" i="42"/>
  <c r="K48" i="42"/>
  <c r="J36" i="53"/>
  <c r="J40" i="53" s="1"/>
  <c r="N10" i="53"/>
  <c r="N22" i="53" s="1"/>
  <c r="O40" i="53"/>
  <c r="N26" i="53"/>
  <c r="N32" i="53" s="1"/>
  <c r="K47" i="2"/>
  <c r="N97" i="2"/>
  <c r="R105" i="2"/>
  <c r="R109" i="2" s="1"/>
  <c r="M10" i="42"/>
  <c r="M30" i="42" s="1"/>
  <c r="Q39" i="42"/>
  <c r="M70" i="42" a="1"/>
  <c r="M70" i="42" s="1"/>
  <c r="L26" i="53"/>
  <c r="L32" i="53" s="1"/>
  <c r="Q22" i="42"/>
  <c r="N100" i="2"/>
  <c r="K97" i="2"/>
  <c r="M33" i="42"/>
  <c r="N10" i="2"/>
  <c r="N12" i="2" s="1"/>
  <c r="P36" i="53"/>
  <c r="N73" i="2"/>
  <c r="R36" i="2"/>
  <c r="R47" i="2" s="1"/>
  <c r="Q42" i="42"/>
  <c r="P12" i="42"/>
  <c r="N47" i="2"/>
  <c r="Q14" i="42"/>
  <c r="E26" i="58"/>
  <c r="L10" i="53"/>
  <c r="L22" i="53" s="1"/>
  <c r="Q12" i="42"/>
  <c r="Q13" i="42" s="1"/>
  <c r="Q28" i="42" s="1"/>
  <c r="Q20" i="42"/>
  <c r="Q21" i="42" s="1"/>
  <c r="M97" i="2"/>
  <c r="N98" i="2"/>
  <c r="K100" i="2"/>
  <c r="M20" i="42"/>
  <c r="T10" i="53"/>
  <c r="Q24" i="42"/>
  <c r="K10" i="2"/>
  <c r="K73" i="2"/>
  <c r="N109" i="2"/>
  <c r="K109" i="2"/>
  <c r="E25" i="58"/>
  <c r="K10" i="53"/>
  <c r="K22" i="53" s="1"/>
  <c r="N99" i="2"/>
  <c r="K99" i="2"/>
  <c r="K24" i="2"/>
  <c r="T26" i="53"/>
  <c r="T32" i="53" s="1"/>
  <c r="M63" i="42"/>
  <c r="M69" i="42" s="1"/>
  <c r="Q90" i="42"/>
  <c r="L97" i="2"/>
  <c r="G64" i="55"/>
  <c r="N14" i="2"/>
  <c r="P26" i="53"/>
  <c r="P32" i="53" s="1"/>
  <c r="P37" i="42"/>
  <c r="M48" i="42"/>
  <c r="Q48" i="42"/>
  <c r="O83" i="58"/>
  <c r="E21" i="58"/>
  <c r="E27" i="58"/>
  <c r="L99" i="2"/>
  <c r="M14" i="42"/>
  <c r="R49" i="2"/>
  <c r="R60" i="2" s="1"/>
  <c r="Q74" i="42"/>
  <c r="Q60" i="42"/>
  <c r="L51" i="42"/>
  <c r="U95" i="2"/>
  <c r="U98" i="2" s="1"/>
  <c r="M42" i="42"/>
  <c r="Q45" i="42"/>
  <c r="T51" i="42"/>
  <c r="K36" i="53"/>
  <c r="K40" i="53" s="1"/>
  <c r="Q64" i="2"/>
  <c r="Q73" i="2" s="1"/>
  <c r="L48" i="42"/>
  <c r="P42" i="42"/>
  <c r="T37" i="42"/>
  <c r="M10" i="58"/>
  <c r="L70" i="42" a="1"/>
  <c r="L70" i="42" s="1"/>
  <c r="L12" i="42"/>
  <c r="E23" i="58"/>
  <c r="R75" i="2"/>
  <c r="T60" i="42"/>
  <c r="P60" i="42"/>
  <c r="R64" i="2"/>
  <c r="R73" i="2" s="1"/>
  <c r="S39" i="42"/>
  <c r="L42" i="42"/>
  <c r="M37" i="42"/>
  <c r="M39" i="42"/>
  <c r="Q37" i="42"/>
  <c r="Q51" i="42"/>
  <c r="T74" i="42"/>
  <c r="R12" i="2"/>
  <c r="M73" i="2"/>
  <c r="M98" i="2"/>
  <c r="U75" i="2"/>
  <c r="P51" i="42"/>
  <c r="J57" i="58"/>
  <c r="Q12" i="2"/>
  <c r="E20" i="58"/>
  <c r="E24" i="58"/>
  <c r="M12" i="42"/>
  <c r="Q100" i="42"/>
  <c r="Q75" i="2"/>
  <c r="L24" i="42"/>
  <c r="P24" i="42"/>
  <c r="J48" i="42"/>
  <c r="M24" i="42"/>
  <c r="M45" i="42"/>
  <c r="Q33" i="42"/>
  <c r="T35" i="42"/>
  <c r="N42" i="42"/>
  <c r="U12" i="2"/>
  <c r="M15" i="44"/>
  <c r="O10" i="42"/>
  <c r="K42" i="42"/>
  <c r="K63" i="42"/>
  <c r="K69" i="42" s="1"/>
  <c r="S51" i="42"/>
  <c r="M16" i="44"/>
  <c r="P14" i="2"/>
  <c r="K39" i="42"/>
  <c r="S33" i="42"/>
  <c r="S1" i="54"/>
  <c r="G10" i="16" s="1"/>
  <c r="S24" i="42"/>
  <c r="M57" i="58"/>
  <c r="R10" i="58"/>
  <c r="C99" i="2"/>
  <c r="J33" i="58"/>
  <c r="N33" i="58"/>
  <c r="F63" i="55"/>
  <c r="O15" i="44"/>
  <c r="L14" i="44"/>
  <c r="R99" i="2"/>
  <c r="O12" i="2"/>
  <c r="C101" i="2"/>
  <c r="Q98" i="2"/>
  <c r="J13" i="44"/>
  <c r="L14" i="42"/>
  <c r="O32" i="53"/>
  <c r="M109" i="2"/>
  <c r="O14" i="44"/>
  <c r="L15" i="44"/>
  <c r="M14" i="44"/>
  <c r="F19" i="58"/>
  <c r="F21" i="58"/>
  <c r="F23" i="58"/>
  <c r="F25" i="58"/>
  <c r="F27" i="58"/>
  <c r="F29" i="58" s="1"/>
  <c r="F22" i="42" s="1"/>
  <c r="M10" i="53"/>
  <c r="M22" i="53" s="1"/>
  <c r="R12" i="42"/>
  <c r="R13" i="42" s="1"/>
  <c r="R28" i="42" s="1"/>
  <c r="L22" i="42"/>
  <c r="Q100" i="2"/>
  <c r="R98" i="2"/>
  <c r="J24" i="2"/>
  <c r="M14" i="2"/>
  <c r="U49" i="2"/>
  <c r="U60" i="2" s="1"/>
  <c r="T109" i="2"/>
  <c r="Q49" i="2"/>
  <c r="Q60" i="2" s="1"/>
  <c r="S95" i="2"/>
  <c r="S100" i="2" s="1"/>
  <c r="P90" i="42"/>
  <c r="L37" i="42"/>
  <c r="L63" i="42"/>
  <c r="L69" i="42" s="1"/>
  <c r="P48" i="42"/>
  <c r="J24" i="42"/>
  <c r="T39" i="42"/>
  <c r="T45" i="42"/>
  <c r="N37" i="42"/>
  <c r="R51" i="42"/>
  <c r="M10" i="2"/>
  <c r="M12" i="2" s="1"/>
  <c r="C97" i="2"/>
  <c r="C98" i="2"/>
  <c r="J109" i="2"/>
  <c r="M47" i="2"/>
  <c r="P14" i="42"/>
  <c r="T64" i="55"/>
  <c r="K15" i="44"/>
  <c r="F20" i="58"/>
  <c r="F22" i="58"/>
  <c r="F24" i="58"/>
  <c r="J14" i="42"/>
  <c r="J12" i="42"/>
  <c r="P22" i="42"/>
  <c r="O99" i="2"/>
  <c r="S1" i="58"/>
  <c r="G12" i="16" s="1"/>
  <c r="O14" i="2"/>
  <c r="U105" i="2"/>
  <c r="U109" i="2" s="1"/>
  <c r="S36" i="2"/>
  <c r="S47" i="2" s="1"/>
  <c r="N10" i="42"/>
  <c r="N30" i="42" s="1"/>
  <c r="T90" i="42"/>
  <c r="P100" i="42"/>
  <c r="L39" i="42"/>
  <c r="P39" i="42"/>
  <c r="U64" i="2"/>
  <c r="U73" i="2" s="1"/>
  <c r="K12" i="2"/>
  <c r="N10" i="58"/>
  <c r="W93" i="2"/>
  <c r="N14" i="44"/>
  <c r="J15" i="44"/>
  <c r="G66" i="55"/>
  <c r="F67" i="55"/>
  <c r="K13" i="44"/>
  <c r="N13" i="44"/>
  <c r="J14" i="44"/>
  <c r="Q99" i="2"/>
  <c r="Q101" i="2"/>
  <c r="Q97" i="2"/>
  <c r="R100" i="2"/>
  <c r="R97" i="2"/>
  <c r="F65" i="55"/>
  <c r="G65" i="55" s="1"/>
  <c r="O13" i="44"/>
  <c r="K14" i="44"/>
  <c r="N16" i="44"/>
  <c r="L13" i="44"/>
  <c r="R101" i="2"/>
  <c r="O69" i="42"/>
  <c r="O24" i="2"/>
  <c r="O97" i="2"/>
  <c r="O100" i="2"/>
  <c r="O109" i="2"/>
  <c r="S105" i="2"/>
  <c r="S109" i="2" s="1"/>
  <c r="S64" i="2"/>
  <c r="S73" i="2" s="1"/>
  <c r="S12" i="2"/>
  <c r="J10" i="2"/>
  <c r="J97" i="2"/>
  <c r="J99" i="2"/>
  <c r="J73" i="2"/>
  <c r="Q26" i="53"/>
  <c r="Q32" i="53" s="1"/>
  <c r="Q36" i="53"/>
  <c r="J35" i="42"/>
  <c r="J33" i="42"/>
  <c r="J10" i="42"/>
  <c r="J30" i="42" s="1"/>
  <c r="J63" i="42"/>
  <c r="J69" i="42" s="1"/>
  <c r="J45" i="42"/>
  <c r="J22" i="42"/>
  <c r="J70" i="42" a="1"/>
  <c r="J70" i="42" s="1"/>
  <c r="J51" i="42"/>
  <c r="J37" i="42"/>
  <c r="N33" i="42"/>
  <c r="N35" i="42"/>
  <c r="N51" i="42"/>
  <c r="N24" i="42"/>
  <c r="N22" i="42"/>
  <c r="N12" i="42"/>
  <c r="N63" i="42"/>
  <c r="N69" i="42" s="1"/>
  <c r="N39" i="42"/>
  <c r="R48" i="42"/>
  <c r="R42" i="42"/>
  <c r="R24" i="42"/>
  <c r="R90" i="42"/>
  <c r="R60" i="42"/>
  <c r="R39" i="42"/>
  <c r="R33" i="42"/>
  <c r="R74" i="42"/>
  <c r="R20" i="42"/>
  <c r="R21" i="42" s="1"/>
  <c r="R35" i="42"/>
  <c r="Q33" i="58"/>
  <c r="Q10" i="58"/>
  <c r="L10" i="2"/>
  <c r="L12" i="2" s="1"/>
  <c r="L98" i="2"/>
  <c r="P10" i="2"/>
  <c r="P24" i="2"/>
  <c r="P98" i="2"/>
  <c r="T12" i="2"/>
  <c r="T49" i="2"/>
  <c r="T60" i="2" s="1"/>
  <c r="T64" i="2"/>
  <c r="T73" i="2" s="1"/>
  <c r="K45" i="42"/>
  <c r="K51" i="42"/>
  <c r="K24" i="42"/>
  <c r="K20" i="42"/>
  <c r="O51" i="42"/>
  <c r="O20" i="42"/>
  <c r="S90" i="42"/>
  <c r="S48" i="42"/>
  <c r="S42" i="42"/>
  <c r="S100" i="42"/>
  <c r="S60" i="42"/>
  <c r="K70" i="42" a="1"/>
  <c r="K70" i="42" s="1"/>
  <c r="S14" i="42"/>
  <c r="K14" i="42"/>
  <c r="S20" i="42"/>
  <c r="S21" i="42" s="1"/>
  <c r="O22" i="42"/>
  <c r="P99" i="2"/>
  <c r="L100" i="2"/>
  <c r="L24" i="2"/>
  <c r="T95" i="2"/>
  <c r="T75" i="2"/>
  <c r="T36" i="2"/>
  <c r="T47" i="2" s="1"/>
  <c r="K35" i="42"/>
  <c r="K37" i="42"/>
  <c r="O42" i="42"/>
  <c r="S35" i="42"/>
  <c r="S37" i="42"/>
  <c r="R36" i="53"/>
  <c r="U47" i="2"/>
  <c r="M24" i="2"/>
  <c r="M99" i="2"/>
  <c r="Q105" i="2"/>
  <c r="Q109" i="2" s="1"/>
  <c r="Q36" i="2"/>
  <c r="Q47" i="2" s="1"/>
  <c r="S36" i="53"/>
  <c r="S26" i="53"/>
  <c r="S32" i="53" s="1"/>
  <c r="L35" i="42"/>
  <c r="L33" i="42"/>
  <c r="L10" i="42"/>
  <c r="L30" i="42" s="1"/>
  <c r="L20" i="42"/>
  <c r="P74" i="42"/>
  <c r="P33" i="42"/>
  <c r="P35" i="42"/>
  <c r="P20" i="42"/>
  <c r="P21" i="42" s="1"/>
  <c r="T42" i="42"/>
  <c r="T48" i="42"/>
  <c r="T24" i="42"/>
  <c r="T100" i="42"/>
  <c r="L33" i="58"/>
  <c r="L10" i="58"/>
  <c r="P33" i="58"/>
  <c r="P10" i="58"/>
  <c r="T33" i="58"/>
  <c r="T10" i="58"/>
  <c r="L57" i="58"/>
  <c r="P13" i="42"/>
  <c r="P28" i="42" s="1"/>
  <c r="K10" i="58"/>
  <c r="K57" i="58"/>
  <c r="O10" i="58"/>
  <c r="O57" i="58"/>
  <c r="G67" i="55" l="1"/>
  <c r="S99" i="2"/>
  <c r="O30" i="42"/>
  <c r="U100" i="2"/>
  <c r="U99" i="2"/>
  <c r="U97" i="2"/>
  <c r="U101" i="2"/>
  <c r="W60" i="2"/>
  <c r="S97" i="2"/>
  <c r="S101" i="2"/>
  <c r="S98" i="2"/>
  <c r="P12" i="2"/>
  <c r="G63" i="55"/>
  <c r="T63" i="55"/>
  <c r="T1" i="55" s="1"/>
  <c r="G11" i="16" s="1"/>
  <c r="Q63" i="42"/>
  <c r="Q69" i="42" s="1"/>
  <c r="W47" i="2"/>
  <c r="P63" i="42"/>
  <c r="T97" i="2"/>
  <c r="T98" i="2"/>
  <c r="T100" i="2"/>
  <c r="T99" i="2"/>
  <c r="T101" i="2"/>
  <c r="X32" i="53"/>
  <c r="W109" i="2"/>
  <c r="C16" i="2" a="1"/>
  <c r="C26" i="2" a="1"/>
  <c r="J12" i="2"/>
  <c r="W73" i="2"/>
  <c r="T63" i="42" l="1"/>
  <c r="T69" i="42" s="1"/>
  <c r="R63" i="42"/>
  <c r="R69" i="42" s="1"/>
  <c r="T1" i="2"/>
  <c r="G13" i="16" s="1"/>
  <c r="P69" i="42"/>
  <c r="S63" i="42"/>
  <c r="C22" i="2"/>
  <c r="C18" i="2"/>
  <c r="C17" i="2"/>
  <c r="C16" i="2"/>
  <c r="C20" i="2"/>
  <c r="C21" i="2"/>
  <c r="C19" i="2"/>
  <c r="C31" i="2"/>
  <c r="C28" i="2"/>
  <c r="C29" i="2"/>
  <c r="C32" i="2"/>
  <c r="C30" i="2"/>
  <c r="C26" i="2"/>
  <c r="C27" i="2"/>
  <c r="Q70" i="42" l="1" a="1"/>
  <c r="Q70" i="42" s="1"/>
  <c r="R70" i="42" a="1"/>
  <c r="R70" i="42" s="1"/>
  <c r="P70" i="42" a="1"/>
  <c r="P70" i="42" s="1"/>
  <c r="S69" i="42"/>
  <c r="R27" i="2"/>
  <c r="E27" i="2"/>
  <c r="T27" i="2"/>
  <c r="D27" i="2"/>
  <c r="S27" i="2"/>
  <c r="Q27" i="2"/>
  <c r="S29" i="2"/>
  <c r="E29" i="2"/>
  <c r="R29" i="2"/>
  <c r="D29" i="2"/>
  <c r="Q29" i="2"/>
  <c r="T29" i="2"/>
  <c r="O21" i="2"/>
  <c r="N21" i="2" s="1"/>
  <c r="E21" i="2"/>
  <c r="D21" i="2"/>
  <c r="L18" i="2"/>
  <c r="L28" i="2" s="1"/>
  <c r="E18" i="2"/>
  <c r="D18" i="2"/>
  <c r="Q26" i="2"/>
  <c r="S26" i="2"/>
  <c r="D26" i="2"/>
  <c r="R26" i="2"/>
  <c r="E26" i="2"/>
  <c r="T26" i="2"/>
  <c r="D28" i="2"/>
  <c r="R28" i="2"/>
  <c r="Q28" i="2"/>
  <c r="T28" i="2"/>
  <c r="S28" i="2"/>
  <c r="E28" i="2"/>
  <c r="N20" i="2"/>
  <c r="N30" i="2" s="1"/>
  <c r="E20" i="2"/>
  <c r="D20" i="2"/>
  <c r="D22" i="2"/>
  <c r="E22" i="2"/>
  <c r="P22" i="2"/>
  <c r="O94" i="42" s="1"/>
  <c r="D30" i="2"/>
  <c r="R30" i="2"/>
  <c r="Q30" i="2"/>
  <c r="E30" i="2"/>
  <c r="S30" i="2"/>
  <c r="T30" i="2"/>
  <c r="D31" i="2"/>
  <c r="E31" i="2"/>
  <c r="S31" i="2"/>
  <c r="R31" i="2"/>
  <c r="Q31" i="2"/>
  <c r="T31" i="2"/>
  <c r="J16" i="2"/>
  <c r="J26" i="2" s="1"/>
  <c r="D16" i="2"/>
  <c r="E16" i="2"/>
  <c r="M76" i="42"/>
  <c r="M46" i="42"/>
  <c r="E32" i="2"/>
  <c r="D32" i="2"/>
  <c r="E19" i="2"/>
  <c r="D19" i="2"/>
  <c r="M19" i="2"/>
  <c r="M29" i="2" s="1"/>
  <c r="E17" i="2"/>
  <c r="K17" i="2"/>
  <c r="J17" i="2" s="1"/>
  <c r="J27" i="2" s="1"/>
  <c r="D17" i="2"/>
  <c r="M18" i="2" l="1"/>
  <c r="N18" i="2" s="1"/>
  <c r="O18" i="2" s="1"/>
  <c r="J52" i="42"/>
  <c r="J93" i="42"/>
  <c r="J77" i="42"/>
  <c r="O31" i="2"/>
  <c r="K18" i="2"/>
  <c r="J18" i="2" s="1"/>
  <c r="J28" i="2" s="1"/>
  <c r="P21" i="2"/>
  <c r="N25" i="42" s="1"/>
  <c r="N26" i="42" s="1"/>
  <c r="N43" i="42"/>
  <c r="Q49" i="42"/>
  <c r="O83" i="42"/>
  <c r="M25" i="42"/>
  <c r="M26" i="42" s="1"/>
  <c r="N31" i="42"/>
  <c r="L43" i="42"/>
  <c r="L94" i="42"/>
  <c r="N94" i="42"/>
  <c r="S52" i="42"/>
  <c r="O77" i="42"/>
  <c r="M43" i="42"/>
  <c r="L78" i="42"/>
  <c r="N77" i="42"/>
  <c r="K43" i="42"/>
  <c r="T70" i="42" a="1"/>
  <c r="T70" i="42" s="1"/>
  <c r="L17" i="2"/>
  <c r="L27" i="2" s="1"/>
  <c r="K16" i="2"/>
  <c r="L16" i="2" s="1"/>
  <c r="M16" i="2" s="1"/>
  <c r="M28" i="2"/>
  <c r="K27" i="2"/>
  <c r="S70" i="42" a="1"/>
  <c r="S70" i="42" s="1"/>
  <c r="M20" i="2"/>
  <c r="L20" i="2" s="1"/>
  <c r="L30" i="2" s="1"/>
  <c r="J46" i="42"/>
  <c r="R43" i="42"/>
  <c r="L46" i="42"/>
  <c r="Q46" i="42"/>
  <c r="S43" i="42"/>
  <c r="J81" i="42"/>
  <c r="R46" i="42"/>
  <c r="J80" i="42"/>
  <c r="L77" i="42"/>
  <c r="M84" i="42"/>
  <c r="K25" i="42"/>
  <c r="K26" i="42" s="1"/>
  <c r="R52" i="42"/>
  <c r="J40" i="42"/>
  <c r="K81" i="42"/>
  <c r="Q17" i="42"/>
  <c r="Q18" i="42" s="1"/>
  <c r="L81" i="42"/>
  <c r="K77" i="42"/>
  <c r="N93" i="42"/>
  <c r="L82" i="42"/>
  <c r="N82" i="42"/>
  <c r="R94" i="42"/>
  <c r="R16" i="44" s="1"/>
  <c r="O20" i="2"/>
  <c r="P20" i="2" s="1"/>
  <c r="P30" i="2" s="1"/>
  <c r="N31" i="2"/>
  <c r="M21" i="2"/>
  <c r="O22" i="2"/>
  <c r="L19" i="2"/>
  <c r="K46" i="42"/>
  <c r="S49" i="42"/>
  <c r="J31" i="42"/>
  <c r="O78" i="42"/>
  <c r="N80" i="42"/>
  <c r="J92" i="42"/>
  <c r="T17" i="42"/>
  <c r="T18" i="42" s="1"/>
  <c r="P93" i="42"/>
  <c r="P15" i="44" s="1"/>
  <c r="O80" i="42"/>
  <c r="Q40" i="42"/>
  <c r="J17" i="42"/>
  <c r="J18" i="42" s="1"/>
  <c r="L49" i="42"/>
  <c r="P31" i="42"/>
  <c r="M17" i="42"/>
  <c r="M18" i="42" s="1"/>
  <c r="R92" i="42"/>
  <c r="R40" i="42"/>
  <c r="L52" i="42"/>
  <c r="R17" i="42"/>
  <c r="R18" i="42" s="1"/>
  <c r="O92" i="42"/>
  <c r="J84" i="42"/>
  <c r="L40" i="42"/>
  <c r="P40" i="42"/>
  <c r="S46" i="42"/>
  <c r="L84" i="42"/>
  <c r="J49" i="42"/>
  <c r="O76" i="42"/>
  <c r="N83" i="42"/>
  <c r="K82" i="42"/>
  <c r="O31" i="42"/>
  <c r="Q94" i="42"/>
  <c r="Q16" i="44" s="1"/>
  <c r="L93" i="42"/>
  <c r="R93" i="42"/>
  <c r="R15" i="44" s="1"/>
  <c r="K84" i="42"/>
  <c r="M82" i="42"/>
  <c r="K79" i="42"/>
  <c r="L79" i="42"/>
  <c r="L83" i="42"/>
  <c r="K83" i="42"/>
  <c r="N19" i="2"/>
  <c r="R49" i="42"/>
  <c r="N52" i="42"/>
  <c r="R31" i="42"/>
  <c r="P46" i="42"/>
  <c r="L80" i="42"/>
  <c r="P43" i="42"/>
  <c r="Q52" i="42"/>
  <c r="N84" i="42"/>
  <c r="P49" i="42"/>
  <c r="Q43" i="42"/>
  <c r="N46" i="42"/>
  <c r="M81" i="42"/>
  <c r="M52" i="42"/>
  <c r="J76" i="42"/>
  <c r="N76" i="42"/>
  <c r="O52" i="42"/>
  <c r="M40" i="42"/>
  <c r="S31" i="42"/>
  <c r="K92" i="42"/>
  <c r="K49" i="42"/>
  <c r="N49" i="42"/>
  <c r="L76" i="42"/>
  <c r="N81" i="42"/>
  <c r="P92" i="42"/>
  <c r="M83" i="42"/>
  <c r="M92" i="42"/>
  <c r="K80" i="42"/>
  <c r="M80" i="42"/>
  <c r="J83" i="42"/>
  <c r="K93" i="42"/>
  <c r="J79" i="42"/>
  <c r="J78" i="42"/>
  <c r="M78" i="42"/>
  <c r="J94" i="42"/>
  <c r="O82" i="42"/>
  <c r="M79" i="42"/>
  <c r="O93" i="42"/>
  <c r="P94" i="42"/>
  <c r="P16" i="44" s="1"/>
  <c r="P32" i="2"/>
  <c r="R25" i="42"/>
  <c r="R26" i="42" s="1"/>
  <c r="O43" i="42"/>
  <c r="N40" i="42"/>
  <c r="O46" i="42"/>
  <c r="K31" i="42"/>
  <c r="S92" i="42"/>
  <c r="K76" i="42"/>
  <c r="S40" i="42"/>
  <c r="L31" i="42"/>
  <c r="L92" i="42"/>
  <c r="M31" i="42"/>
  <c r="M93" i="42"/>
  <c r="M77" i="42"/>
  <c r="J43" i="42"/>
  <c r="T92" i="42"/>
  <c r="Q92" i="42"/>
  <c r="K40" i="42"/>
  <c r="K52" i="42"/>
  <c r="K78" i="42"/>
  <c r="O81" i="42"/>
  <c r="P52" i="42"/>
  <c r="Q93" i="42"/>
  <c r="Q15" i="44" s="1"/>
  <c r="M49" i="42"/>
  <c r="O84" i="42"/>
  <c r="O79" i="42"/>
  <c r="S93" i="42"/>
  <c r="S15" i="44" s="1"/>
  <c r="N79" i="42"/>
  <c r="N92" i="42"/>
  <c r="M94" i="42"/>
  <c r="K94" i="42"/>
  <c r="T94" i="42"/>
  <c r="T16" i="44" s="1"/>
  <c r="Q31" i="42"/>
  <c r="T93" i="42"/>
  <c r="T15" i="44" s="1"/>
  <c r="N78" i="42"/>
  <c r="S94" i="42"/>
  <c r="S16" i="44" s="1"/>
  <c r="J82" i="42"/>
  <c r="M30" i="2" l="1"/>
  <c r="N28" i="2"/>
  <c r="K28" i="2"/>
  <c r="L26" i="2"/>
  <c r="P31" i="2"/>
  <c r="P17" i="42"/>
  <c r="P18" i="42" s="1"/>
  <c r="N17" i="42"/>
  <c r="N18" i="42" s="1"/>
  <c r="L17" i="42"/>
  <c r="L18" i="42" s="1"/>
  <c r="T25" i="42"/>
  <c r="T26" i="42" s="1"/>
  <c r="J25" i="42"/>
  <c r="J26" i="42" s="1"/>
  <c r="M17" i="2"/>
  <c r="M27" i="2" s="1"/>
  <c r="P25" i="42"/>
  <c r="P26" i="42" s="1"/>
  <c r="L25" i="42"/>
  <c r="L26" i="42" s="1"/>
  <c r="O30" i="2"/>
  <c r="S17" i="42"/>
  <c r="S18" i="42" s="1"/>
  <c r="S25" i="42"/>
  <c r="S26" i="42" s="1"/>
  <c r="K17" i="42"/>
  <c r="K18" i="42" s="1"/>
  <c r="O25" i="42"/>
  <c r="O26" i="42" s="1"/>
  <c r="J54" i="42"/>
  <c r="J56" i="42" s="1"/>
  <c r="L96" i="42"/>
  <c r="K26" i="2"/>
  <c r="O17" i="42"/>
  <c r="O18" i="42" s="1"/>
  <c r="Q25" i="42"/>
  <c r="Q26" i="42" s="1"/>
  <c r="K20" i="2"/>
  <c r="K30" i="2" s="1"/>
  <c r="M54" i="42"/>
  <c r="K86" i="42"/>
  <c r="O86" i="42"/>
  <c r="J96" i="42"/>
  <c r="N96" i="42"/>
  <c r="M86" i="42"/>
  <c r="O96" i="42"/>
  <c r="P14" i="44"/>
  <c r="P96" i="42"/>
  <c r="N86" i="42"/>
  <c r="N54" i="42"/>
  <c r="N56" i="42" s="1"/>
  <c r="L54" i="42"/>
  <c r="L56" i="42" s="1"/>
  <c r="K19" i="2"/>
  <c r="L29" i="2"/>
  <c r="L21" i="2"/>
  <c r="M31" i="2"/>
  <c r="K54" i="42"/>
  <c r="K56" i="42" s="1"/>
  <c r="S14" i="44"/>
  <c r="S96" i="42"/>
  <c r="J86" i="42"/>
  <c r="N29" i="2"/>
  <c r="O19" i="2"/>
  <c r="Q54" i="42"/>
  <c r="Q56" i="42" s="1"/>
  <c r="J20" i="2"/>
  <c r="J30" i="2" s="1"/>
  <c r="Q96" i="42"/>
  <c r="Q14" i="44"/>
  <c r="M96" i="42"/>
  <c r="L86" i="42"/>
  <c r="M56" i="42"/>
  <c r="O32" i="2"/>
  <c r="N22" i="2"/>
  <c r="P18" i="2"/>
  <c r="P28" i="2" s="1"/>
  <c r="O28" i="2"/>
  <c r="M26" i="2"/>
  <c r="N16" i="2"/>
  <c r="T96" i="42"/>
  <c r="T14" i="44"/>
  <c r="S54" i="42"/>
  <c r="S56" i="42" s="1"/>
  <c r="O13" i="42"/>
  <c r="O28" i="42" s="1"/>
  <c r="O21" i="42"/>
  <c r="O87" i="58"/>
  <c r="O39" i="42" s="1"/>
  <c r="O40" i="42" s="1"/>
  <c r="K96" i="42"/>
  <c r="P54" i="42"/>
  <c r="P56" i="42" s="1"/>
  <c r="R14" i="44"/>
  <c r="R96" i="42"/>
  <c r="R54" i="42"/>
  <c r="R56" i="42" s="1"/>
  <c r="N17" i="2" l="1"/>
  <c r="N27" i="2" s="1"/>
  <c r="N21" i="42"/>
  <c r="N13" i="42"/>
  <c r="N28" i="42" s="1"/>
  <c r="O29" i="2"/>
  <c r="P19" i="2"/>
  <c r="P29" i="2" s="1"/>
  <c r="L31" i="2"/>
  <c r="K21" i="2"/>
  <c r="O16" i="2"/>
  <c r="N26" i="2"/>
  <c r="M22" i="2"/>
  <c r="N32" i="2"/>
  <c r="J19" i="2"/>
  <c r="J29" i="2" s="1"/>
  <c r="K29" i="2"/>
  <c r="M90" i="58" l="1"/>
  <c r="O90" i="58" s="1"/>
  <c r="O48" i="42" s="1"/>
  <c r="O49" i="42" s="1"/>
  <c r="O17" i="2"/>
  <c r="O27" i="2" s="1"/>
  <c r="L22" i="2"/>
  <c r="M32" i="2"/>
  <c r="M21" i="42"/>
  <c r="M13" i="42"/>
  <c r="M28" i="42" s="1"/>
  <c r="J21" i="2"/>
  <c r="J31" i="2" s="1"/>
  <c r="K31" i="2"/>
  <c r="P16" i="2"/>
  <c r="O26" i="2"/>
  <c r="P17" i="2" l="1"/>
  <c r="P27" i="2" s="1"/>
  <c r="L13" i="42"/>
  <c r="L28" i="42" s="1"/>
  <c r="L21" i="42"/>
  <c r="K22" i="2"/>
  <c r="L32" i="2"/>
  <c r="M15" i="42"/>
  <c r="Q23" i="42"/>
  <c r="S23" i="42"/>
  <c r="R23" i="42"/>
  <c r="K23" i="42"/>
  <c r="R15" i="42"/>
  <c r="K15" i="42"/>
  <c r="L15" i="42"/>
  <c r="O15" i="42"/>
  <c r="M23" i="42"/>
  <c r="P23" i="42"/>
  <c r="S15" i="42"/>
  <c r="P26" i="2"/>
  <c r="P15" i="42"/>
  <c r="N15" i="42"/>
  <c r="O23" i="42"/>
  <c r="N23" i="42"/>
  <c r="L23" i="42"/>
  <c r="J23" i="42"/>
  <c r="Q15" i="42"/>
  <c r="J15" i="42"/>
  <c r="K13" i="42" l="1"/>
  <c r="K28" i="42" s="1"/>
  <c r="K21" i="42"/>
  <c r="J22" i="2"/>
  <c r="J32" i="2" s="1"/>
  <c r="K32" i="2"/>
  <c r="O33" i="42"/>
  <c r="J21" i="42" l="1"/>
  <c r="O37" i="42" s="1"/>
  <c r="J13" i="42"/>
  <c r="J28" i="42" s="1"/>
  <c r="O35" i="42" s="1"/>
  <c r="O54" i="42" s="1"/>
  <c r="O56" i="42" l="1"/>
  <c r="C79" i="42" l="1"/>
  <c r="R78" i="42"/>
  <c r="P78" i="42"/>
  <c r="S78" i="42"/>
  <c r="T78" i="42"/>
  <c r="Q78" i="42"/>
  <c r="C78" i="42"/>
  <c r="Q76" i="42"/>
  <c r="R76" i="42"/>
  <c r="S76" i="42"/>
  <c r="T76" i="42"/>
  <c r="P76" i="42"/>
  <c r="C76" i="42"/>
  <c r="Q77" i="42"/>
  <c r="S77" i="42"/>
  <c r="T77" i="42"/>
  <c r="R77" i="42"/>
  <c r="P77" i="42"/>
  <c r="C77" i="42"/>
  <c r="T79" i="42"/>
  <c r="S79" i="42"/>
  <c r="P79" i="42"/>
  <c r="R79" i="42"/>
  <c r="Q79" i="42"/>
  <c r="T80" i="42" l="1"/>
  <c r="Q80" i="42"/>
  <c r="R80" i="42"/>
  <c r="S80" i="42"/>
  <c r="P80" i="42"/>
  <c r="C80" i="42"/>
  <c r="T81" i="42" l="1"/>
  <c r="Q81" i="42"/>
  <c r="S81" i="42"/>
  <c r="P81" i="42"/>
  <c r="R81" i="42"/>
  <c r="C81" i="42"/>
  <c r="Q82" i="42"/>
  <c r="R82" i="42"/>
  <c r="P82" i="42"/>
  <c r="S82" i="42"/>
  <c r="T82" i="42"/>
  <c r="C82" i="42"/>
  <c r="Q83" i="42" l="1"/>
  <c r="S83" i="42"/>
  <c r="P83" i="42"/>
  <c r="R83" i="42"/>
  <c r="T83" i="42"/>
  <c r="C83" i="42"/>
  <c r="P84" i="42" l="1"/>
  <c r="P86" i="42" s="1"/>
  <c r="T84" i="42"/>
  <c r="T86" i="42" s="1"/>
  <c r="R84" i="42"/>
  <c r="R86" i="42" s="1"/>
  <c r="Q84" i="42"/>
  <c r="Q86" i="42" s="1"/>
  <c r="S84" i="42"/>
  <c r="S86" i="42" s="1"/>
  <c r="C84" i="42"/>
  <c r="R22" i="53"/>
  <c r="Q22" i="53"/>
  <c r="P22" i="53"/>
  <c r="T22" i="53"/>
  <c r="Q103" i="42" l="1"/>
  <c r="Q102" i="42"/>
  <c r="Q13" i="44" s="1"/>
  <c r="R102" i="42"/>
  <c r="R13" i="44" s="1"/>
  <c r="R103" i="42"/>
  <c r="S22" i="53"/>
  <c r="X22" i="53" s="1"/>
  <c r="T103" i="42"/>
  <c r="T102" i="42"/>
  <c r="T13" i="44" s="1"/>
  <c r="S102" i="42"/>
  <c r="S13" i="44" s="1"/>
  <c r="S103" i="42"/>
  <c r="P102" i="42"/>
  <c r="P13" i="44" s="1"/>
  <c r="P103" i="42"/>
  <c r="P40" i="53" l="1"/>
  <c r="P104" i="42"/>
  <c r="Q40" i="53" l="1"/>
  <c r="Q104" i="42"/>
  <c r="R40" i="53" l="1"/>
  <c r="R104" i="42"/>
  <c r="S104" i="42" l="1"/>
  <c r="S40" i="53"/>
  <c r="T40" i="53" l="1"/>
  <c r="X40" i="53" s="1"/>
  <c r="S1" i="53" s="1"/>
  <c r="G14" i="16" s="1"/>
  <c r="S1" i="16" s="1"/>
  <c r="T104" i="42"/>
  <c r="V1" i="4" l="1"/>
  <c r="W1" i="55"/>
  <c r="W1" i="44"/>
  <c r="W1" i="42"/>
  <c r="W1" i="2"/>
  <c r="V1" i="54"/>
  <c r="W1" i="58"/>
  <c r="W1" i="53"/>
</calcChain>
</file>

<file path=xl/sharedStrings.xml><?xml version="1.0" encoding="utf-8"?>
<sst xmlns="http://schemas.openxmlformats.org/spreadsheetml/2006/main" count="823" uniqueCount="263">
  <si>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</si>
  <si>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</si>
  <si>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</si>
  <si>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</si>
  <si>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</si>
  <si>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</si>
  <si>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</si>
  <si>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</si>
  <si>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</si>
  <si>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</si>
  <si>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</si>
  <si>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</si>
  <si>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</si>
  <si>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</si>
  <si>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</si>
  <si>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</si>
  <si>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</si>
  <si>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</si>
  <si>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</si>
  <si>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</si>
  <si>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</si>
  <si>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</si>
  <si>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</si>
  <si>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</si>
  <si>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</si>
  <si>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</si>
  <si>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</si>
  <si>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</si>
  <si>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</si>
  <si>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</si>
  <si>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</si>
  <si>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</si>
  <si>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</si>
  <si>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</si>
  <si>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</si>
  <si>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</si>
  <si>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</si>
  <si>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</si>
  <si>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</si>
  <si>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</si>
  <si>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</si>
  <si>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</si>
  <si>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</si>
  <si>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</si>
  <si>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</si>
  <si>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</si>
  <si>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</si>
  <si>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</si>
  <si>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</si>
  <si>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</si>
  <si>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</si>
  <si>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</si>
  <si>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</si>
  <si>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</si>
  <si>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</si>
  <si>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</si>
  <si>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</si>
  <si>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</si>
  <si>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</si>
  <si>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</si>
  <si>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</si>
  <si>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</si>
  <si>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</si>
  <si>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</si>
  <si>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</si>
  <si>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</si>
  <si>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</si>
  <si>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</si>
  <si>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</si>
  <si>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</si>
  <si>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</si>
  <si>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</si>
  <si>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</si>
  <si>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</si>
  <si>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</si>
  <si>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</si>
  <si>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</si>
  <si>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</si>
  <si>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</si>
  <si>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</si>
  <si>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</si>
  <si>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</si>
  <si>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</si>
  <si>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</si>
  <si>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</si>
  <si>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</si>
  <si>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</si>
  <si>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</si>
  <si>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</si>
  <si>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</si>
  <si>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</si>
  <si>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</si>
  <si>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</si>
  <si>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</si>
  <si>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</si>
  <si>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</si>
  <si>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</si>
  <si>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</si>
  <si>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</si>
  <si>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</si>
  <si>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</si>
  <si>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</si>
  <si>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</si>
  <si>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</si>
  <si>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</si>
  <si>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</si>
  <si>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</si>
  <si>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</si>
  <si>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</si>
  <si>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</si>
  <si>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</si>
  <si>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</si>
  <si>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</si>
  <si>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</si>
  <si>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</si>
  <si>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</si>
  <si>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</si>
  <si>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</si>
  <si>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</si>
  <si>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</si>
  <si>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</si>
  <si>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</si>
  <si>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</si>
  <si>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</si>
  <si>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</si>
  <si>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</si>
  <si>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</si>
  <si>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</si>
  <si>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</si>
  <si>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</si>
  <si>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</si>
  <si>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</si>
  <si>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</si>
  <si>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</si>
  <si>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</si>
  <si>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</si>
  <si>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</si>
  <si>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</si>
  <si>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</si>
  <si>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</si>
  <si>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</si>
  <si>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</si>
  <si>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</si>
  <si>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</si>
  <si>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</si>
  <si>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</si>
  <si>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</si>
  <si>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</si>
  <si>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</si>
  <si>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</si>
  <si>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</si>
  <si>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</si>
  <si>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</si>
  <si>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</si>
  <si>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</si>
  <si>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</si>
  <si>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</si>
  <si>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</si>
  <si>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</si>
  <si>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</si>
  <si>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</si>
  <si>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</si>
  <si>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</si>
  <si>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</si>
  <si>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</si>
  <si>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</si>
  <si>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</si>
  <si>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</si>
  <si>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</si>
  <si>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</si>
  <si>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</si>
  <si>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</si>
  <si>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</si>
  <si>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</si>
  <si>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</si>
  <si>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</si>
  <si>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</si>
  <si>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</si>
  <si>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</si>
  <si>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</si>
  <si>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</si>
  <si>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</si>
  <si>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</si>
  <si>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</si>
  <si>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</si>
  <si>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</si>
  <si>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</si>
  <si>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</si>
  <si>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</si>
  <si>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</si>
  <si>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</si>
  <si>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</si>
  <si>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</si>
  <si>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</si>
  <si>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</si>
  <si>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</si>
  <si>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</si>
  <si>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</si>
  <si>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</si>
  <si>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</si>
  <si>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</si>
  <si>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</si>
  <si>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</si>
  <si>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</si>
  <si>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Communications network</t>
  </si>
  <si>
    <t>Wasted truck visits</t>
  </si>
  <si>
    <t>Replacement expenditure on faults and minor repairs</t>
  </si>
  <si>
    <t>United Energy</t>
  </si>
  <si>
    <t>Cell</t>
  </si>
  <si>
    <t>Description</t>
  </si>
  <si>
    <t>Input|Reported opex</t>
  </si>
  <si>
    <t>H84, M84</t>
  </si>
  <si>
    <t>Comms network opex adjustment</t>
  </si>
  <si>
    <t>Input|Rate of change</t>
  </si>
  <si>
    <t>Row 39</t>
  </si>
  <si>
    <t>Added inputs for BIS Oxford</t>
  </si>
  <si>
    <t>Row 40</t>
  </si>
  <si>
    <t>Calculated average of DAE and BIS oxford</t>
  </si>
  <si>
    <t>Rows 51 and 53</t>
  </si>
  <si>
    <t>Moved price change weighting from row 51 to row 53 to pick up average</t>
  </si>
  <si>
    <t>Input|Step changes</t>
  </si>
  <si>
    <t>Linked to step change model</t>
  </si>
  <si>
    <t>P40:T40</t>
  </si>
  <si>
    <t>Linked to PTRM</t>
  </si>
  <si>
    <t>Input|General</t>
  </si>
  <si>
    <t>G8</t>
  </si>
  <si>
    <t>Changed to 'revised'</t>
  </si>
  <si>
    <t>Communications network opex allocation to SCS</t>
  </si>
  <si>
    <t>Average of DAE and BIS Oxford</t>
  </si>
  <si>
    <t>RRP change</t>
  </si>
  <si>
    <t>Inputs added for calculating amount, including 2019 cost from draft decision metering cost model</t>
  </si>
  <si>
    <t>Linked to calculate from inputs in row 84</t>
  </si>
  <si>
    <t>C12:C20, P12:T20</t>
  </si>
  <si>
    <t>WPI – BIS Oxford November 2020</t>
  </si>
  <si>
    <t>ESV levy</t>
  </si>
  <si>
    <t>revised proposal</t>
  </si>
  <si>
    <t>Rows 84</t>
  </si>
  <si>
    <t>Inserted rows</t>
  </si>
  <si>
    <t>Converted to June 2021 dollars for negative base adjustment</t>
  </si>
  <si>
    <t>2019 data added</t>
  </si>
  <si>
    <t>M85</t>
  </si>
  <si>
    <t>O87</t>
  </si>
  <si>
    <t>M90, O90</t>
  </si>
  <si>
    <t>GSLs</t>
  </si>
  <si>
    <t>C28, P28:T28</t>
  </si>
  <si>
    <t>GSLs increased by 50% as a placeholder estimate for final Electricity Distribution Code review; description amended in C28</t>
  </si>
  <si>
    <t>Row 28</t>
  </si>
  <si>
    <t>Linked to category specific forecasts model</t>
  </si>
  <si>
    <t>21 December 2020 Amendments</t>
  </si>
  <si>
    <t>21 Dec update</t>
  </si>
  <si>
    <t>UE RRP Amendments</t>
  </si>
  <si>
    <t>Increasing insurance premiums</t>
  </si>
  <si>
    <t>24 March 2021 Amendments</t>
  </si>
  <si>
    <t>Row 13</t>
  </si>
  <si>
    <t>Insurance premiums</t>
  </si>
  <si>
    <t xml:space="preserve">Values as per 'United Energy - MOD RRP IR069 - Public.xlsx' </t>
  </si>
  <si>
    <t>IT cloud solutions</t>
  </si>
  <si>
    <t>Solar enablement</t>
  </si>
  <si>
    <t>5 minute settlement</t>
  </si>
  <si>
    <t>Demand management programs</t>
  </si>
  <si>
    <t/>
  </si>
  <si>
    <t>Security of critical infrastructure</t>
  </si>
  <si>
    <t>GSL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</si>
</sst>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  <numFmt numFmtId="207" formatCode="d\ mmm\ yyyy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73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167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1" fillId="0" borderId="0"/>
    <xf numFmtId="164" fontId="90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  <xf numFmtId="0" fontId="20" fillId="0" borderId="0"/>
  </cellStyleXfs>
  <cellXfs count="252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0" fontId="91" fillId="0" borderId="0" xfId="272" applyFont="1"/>
    <xf numFmtId="0" fontId="92" fillId="0" borderId="7" xfId="272" applyFont="1" applyBorder="1" applyAlignment="1">
      <alignment vertical="top"/>
    </xf>
    <xf numFmtId="0" fontId="91" fillId="0" borderId="0" xfId="272" applyFont="1" applyAlignment="1">
      <alignment vertical="top"/>
    </xf>
    <xf numFmtId="203" fontId="6" fillId="0" borderId="0" xfId="0" applyNumberFormat="1" applyFont="1" applyAlignment="1">
      <alignment horizontal="center"/>
    </xf>
    <xf numFmtId="0" fontId="92" fillId="0" borderId="0" xfId="272" applyFont="1" applyAlignment="1">
      <alignment vertical="top"/>
    </xf>
    <xf numFmtId="169" fontId="4" fillId="50" borderId="3" xfId="0" applyNumberFormat="1" applyFont="1" applyFill="1" applyBorder="1" applyAlignment="1" applyProtection="1">
      <alignment horizontal="center"/>
      <protection locked="0"/>
    </xf>
    <xf numFmtId="49" fontId="4" fillId="50" borderId="3" xfId="0" applyNumberFormat="1" applyFont="1" applyFill="1" applyBorder="1" applyAlignment="1" applyProtection="1">
      <alignment horizontal="left" indent="1"/>
      <protection locked="0"/>
    </xf>
    <xf numFmtId="203" fontId="5" fillId="50" borderId="3" xfId="0" applyNumberFormat="1" applyFont="1" applyFill="1" applyBorder="1" applyAlignment="1">
      <alignment horizontal="center"/>
    </xf>
    <xf numFmtId="9" fontId="4" fillId="50" borderId="3" xfId="2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4" fillId="50" borderId="31" xfId="0" applyNumberFormat="1" applyFont="1" applyFill="1" applyBorder="1" applyAlignment="1" applyProtection="1">
      <alignment horizontal="center"/>
      <protection locked="0"/>
    </xf>
    <xf numFmtId="204" fontId="13" fillId="50" borderId="3" xfId="0" applyNumberFormat="1" applyFont="1" applyFill="1" applyBorder="1" applyAlignment="1">
      <alignment horizontal="center"/>
    </xf>
    <xf numFmtId="0" fontId="0" fillId="50" borderId="0" xfId="0" applyFill="1"/>
    <xf numFmtId="10" fontId="4" fillId="50" borderId="26" xfId="2" applyNumberFormat="1" applyFont="1" applyFill="1" applyBorder="1" applyAlignment="1" applyProtection="1">
      <alignment horizontal="center"/>
      <protection locked="0"/>
    </xf>
    <xf numFmtId="10" fontId="4" fillId="50" borderId="3" xfId="2" applyNumberFormat="1" applyFont="1" applyFill="1" applyBorder="1" applyAlignment="1" applyProtection="1">
      <alignment horizontal="center"/>
      <protection locked="0"/>
    </xf>
    <xf numFmtId="193" fontId="4" fillId="50" borderId="3" xfId="0" applyNumberFormat="1" applyFont="1" applyFill="1" applyBorder="1" applyAlignment="1" applyProtection="1">
      <alignment horizontal="left" indent="1"/>
    </xf>
    <xf numFmtId="2" fontId="4" fillId="50" borderId="3" xfId="0" applyNumberFormat="1" applyFont="1" applyFill="1" applyBorder="1" applyAlignment="1" applyProtection="1">
      <alignment horizontal="left" indent="1"/>
      <protection locked="0"/>
    </xf>
    <xf numFmtId="164" fontId="4" fillId="50" borderId="3" xfId="0" applyNumberFormat="1" applyFont="1" applyFill="1" applyBorder="1" applyProtection="1">
      <protection locked="0"/>
    </xf>
    <xf numFmtId="2" fontId="4" fillId="50" borderId="3" xfId="0" applyNumberFormat="1" applyFont="1" applyFill="1" applyBorder="1" applyAlignment="1" applyProtection="1">
      <alignment horizontal="center"/>
      <protection locked="0"/>
    </xf>
    <xf numFmtId="164" fontId="4" fillId="51" borderId="3" xfId="0" applyNumberFormat="1" applyFont="1" applyFill="1" applyBorder="1" applyProtection="1">
      <protection locked="0"/>
    </xf>
    <xf numFmtId="0" fontId="0" fillId="51" borderId="1" xfId="0" applyFont="1" applyFill="1" applyBorder="1" applyProtection="1"/>
    <xf numFmtId="0" fontId="92" fillId="51" borderId="0" xfId="272" applyFont="1" applyFill="1"/>
    <xf numFmtId="0" fontId="91" fillId="51" borderId="0" xfId="272" applyFont="1" applyFill="1"/>
    <xf numFmtId="0" fontId="92" fillId="50" borderId="0" xfId="272" applyFont="1" applyFill="1"/>
    <xf numFmtId="0" fontId="91" fillId="50" borderId="0" xfId="272" applyFont="1" applyFill="1"/>
    <xf numFmtId="0" fontId="72" fillId="38" borderId="2" xfId="0" applyNumberFormat="1" applyFont="1" applyFill="1" applyBorder="1" applyAlignment="1" applyProtection="1">
      <alignment horizontal="center"/>
    </xf>
    <xf numFmtId="164" fontId="4" fillId="52" borderId="3" xfId="0" applyNumberFormat="1" applyFont="1" applyFill="1" applyBorder="1" applyProtection="1">
      <protection locked="0"/>
    </xf>
    <xf numFmtId="2" fontId="4" fillId="52" borderId="3" xfId="0" applyNumberFormat="1" applyFont="1" applyFill="1" applyBorder="1" applyAlignment="1" applyProtection="1">
      <alignment horizontal="left" indent="1"/>
      <protection locked="0"/>
    </xf>
    <xf numFmtId="207" fontId="4" fillId="52" borderId="0" xfId="0" applyNumberFormat="1" applyFont="1" applyFill="1" applyAlignment="1" applyProtection="1">
      <alignment horizontal="center"/>
      <protection locked="0"/>
    </xf>
    <xf numFmtId="0" fontId="92" fillId="52" borderId="0" xfId="272" applyFont="1" applyFill="1"/>
  </cellXfs>
  <cellStyles count="273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269" xr:uid="{00000000-0005-0000-0000-000044000000}"/>
    <cellStyle name="Comma 2" xfId="8" xr:uid="{00000000-0005-0000-0000-000045000000}"/>
    <cellStyle name="Comma 2 2" xfId="73" xr:uid="{00000000-0005-0000-0000-000046000000}"/>
    <cellStyle name="Comma 2 3" xfId="74" xr:uid="{00000000-0005-0000-0000-000047000000}"/>
    <cellStyle name="Comma 2 3 2" xfId="75" xr:uid="{00000000-0005-0000-0000-000048000000}"/>
    <cellStyle name="Comma 2 4" xfId="76" xr:uid="{00000000-0005-0000-0000-000049000000}"/>
    <cellStyle name="Comma 2 5" xfId="77" xr:uid="{00000000-0005-0000-0000-00004A000000}"/>
    <cellStyle name="Comma 3" xfId="78" xr:uid="{00000000-0005-0000-0000-00004B000000}"/>
    <cellStyle name="Comma 3 2" xfId="79" xr:uid="{00000000-0005-0000-0000-00004C000000}"/>
    <cellStyle name="Comma 3 3" xfId="80" xr:uid="{00000000-0005-0000-0000-00004D000000}"/>
    <cellStyle name="Comma 4" xfId="81" xr:uid="{00000000-0005-0000-0000-00004E000000}"/>
    <cellStyle name="Comma 5" xfId="82" xr:uid="{00000000-0005-0000-0000-00004F000000}"/>
    <cellStyle name="Comma 6" xfId="83" xr:uid="{00000000-0005-0000-0000-000050000000}"/>
    <cellStyle name="Comma 7" xfId="84" xr:uid="{00000000-0005-0000-0000-000051000000}"/>
    <cellStyle name="Comma 8" xfId="85" xr:uid="{00000000-0005-0000-0000-000052000000}"/>
    <cellStyle name="Comma 9" xfId="267" xr:uid="{00000000-0005-0000-0000-000053000000}"/>
    <cellStyle name="Comma0" xfId="86" xr:uid="{00000000-0005-0000-0000-000054000000}"/>
    <cellStyle name="Currency 11" xfId="87" xr:uid="{00000000-0005-0000-0000-000055000000}"/>
    <cellStyle name="Currency 11 2" xfId="88" xr:uid="{00000000-0005-0000-0000-000056000000}"/>
    <cellStyle name="Currency 2" xfId="89" xr:uid="{00000000-0005-0000-0000-000057000000}"/>
    <cellStyle name="Currency 2 2" xfId="90" xr:uid="{00000000-0005-0000-0000-000058000000}"/>
    <cellStyle name="Currency 3" xfId="91" xr:uid="{00000000-0005-0000-0000-000059000000}"/>
    <cellStyle name="Currency 3 2" xfId="92" xr:uid="{00000000-0005-0000-0000-00005A000000}"/>
    <cellStyle name="Currency 4" xfId="93" xr:uid="{00000000-0005-0000-0000-00005B000000}"/>
    <cellStyle name="Currency 4 2" xfId="94" xr:uid="{00000000-0005-0000-0000-00005C000000}"/>
    <cellStyle name="Currency 5" xfId="243" xr:uid="{00000000-0005-0000-0000-00005D000000}"/>
    <cellStyle name="Currency 6" xfId="265" xr:uid="{00000000-0005-0000-0000-00005E000000}"/>
    <cellStyle name="D4_B8B1_005004B79812_.wvu.PrintTitlest" xfId="95" xr:uid="{00000000-0005-0000-0000-00005F000000}"/>
    <cellStyle name="Date" xfId="96" xr:uid="{00000000-0005-0000-0000-000060000000}"/>
    <cellStyle name="Date 2" xfId="97" xr:uid="{00000000-0005-0000-0000-000061000000}"/>
    <cellStyle name="Emphasis 1" xfId="98" xr:uid="{00000000-0005-0000-0000-000062000000}"/>
    <cellStyle name="Emphasis 2" xfId="99" xr:uid="{00000000-0005-0000-0000-000063000000}"/>
    <cellStyle name="Emphasis 3" xfId="100" xr:uid="{00000000-0005-0000-0000-000064000000}"/>
    <cellStyle name="Empty_Cell" xfId="247" xr:uid="{00000000-0005-0000-0000-000065000000}"/>
    <cellStyle name="Euro" xfId="101" xr:uid="{00000000-0005-0000-0000-000066000000}"/>
    <cellStyle name="Explanatory Text 2" xfId="102" xr:uid="{00000000-0005-0000-0000-000067000000}"/>
    <cellStyle name="Fixed" xfId="103" xr:uid="{00000000-0005-0000-0000-000068000000}"/>
    <cellStyle name="Fixed 2" xfId="104" xr:uid="{00000000-0005-0000-0000-000069000000}"/>
    <cellStyle name="Gilsans" xfId="105" xr:uid="{00000000-0005-0000-0000-00006A000000}"/>
    <cellStyle name="Gilsansl" xfId="106" xr:uid="{00000000-0005-0000-0000-00006B000000}"/>
    <cellStyle name="Good 2" xfId="107" xr:uid="{00000000-0005-0000-0000-00006C000000}"/>
    <cellStyle name="Header1" xfId="248" xr:uid="{00000000-0005-0000-0000-00006D000000}"/>
    <cellStyle name="Header2" xfId="249" xr:uid="{00000000-0005-0000-0000-00006E000000}"/>
    <cellStyle name="Header3" xfId="250" xr:uid="{00000000-0005-0000-0000-00006F000000}"/>
    <cellStyle name="Header4" xfId="251" xr:uid="{00000000-0005-0000-0000-000070000000}"/>
    <cellStyle name="Header5" xfId="252" xr:uid="{00000000-0005-0000-0000-000071000000}"/>
    <cellStyle name="Heading 1 2" xfId="108" xr:uid="{00000000-0005-0000-0000-000072000000}"/>
    <cellStyle name="Heading 1 2 2" xfId="109" xr:uid="{00000000-0005-0000-0000-000073000000}"/>
    <cellStyle name="Heading 1 3" xfId="110" xr:uid="{00000000-0005-0000-0000-000074000000}"/>
    <cellStyle name="Heading 2 2" xfId="111" xr:uid="{00000000-0005-0000-0000-000075000000}"/>
    <cellStyle name="Heading 2 2 2" xfId="112" xr:uid="{00000000-0005-0000-0000-000076000000}"/>
    <cellStyle name="Heading 2 3" xfId="113" xr:uid="{00000000-0005-0000-0000-000077000000}"/>
    <cellStyle name="Heading 3 2" xfId="114" xr:uid="{00000000-0005-0000-0000-000078000000}"/>
    <cellStyle name="Heading 3 2 2" xfId="115" xr:uid="{00000000-0005-0000-0000-000079000000}"/>
    <cellStyle name="Heading 3 3" xfId="116" xr:uid="{00000000-0005-0000-0000-00007A000000}"/>
    <cellStyle name="Heading 4 2" xfId="117" xr:uid="{00000000-0005-0000-0000-00007B000000}"/>
    <cellStyle name="Heading 4 2 2" xfId="118" xr:uid="{00000000-0005-0000-0000-00007C000000}"/>
    <cellStyle name="Heading 4 3" xfId="119" xr:uid="{00000000-0005-0000-0000-00007D000000}"/>
    <cellStyle name="Heading(4)" xfId="120" xr:uid="{00000000-0005-0000-0000-00007E000000}"/>
    <cellStyle name="Hyperlink" xfId="3" builtinId="8"/>
    <cellStyle name="Hyperlink 2" xfId="121" xr:uid="{00000000-0005-0000-0000-000080000000}"/>
    <cellStyle name="Hyperlink Arrow" xfId="122" xr:uid="{00000000-0005-0000-0000-000081000000}"/>
    <cellStyle name="Hyperlink Text" xfId="123" xr:uid="{00000000-0005-0000-0000-000082000000}"/>
    <cellStyle name="Input 2" xfId="124" xr:uid="{00000000-0005-0000-0000-000083000000}"/>
    <cellStyle name="Input|Date" xfId="1" xr:uid="{00000000-0005-0000-0000-000084000000}"/>
    <cellStyle name="Input1" xfId="125" xr:uid="{00000000-0005-0000-0000-000085000000}"/>
    <cellStyle name="Input1 2" xfId="126" xr:uid="{00000000-0005-0000-0000-000086000000}"/>
    <cellStyle name="Input2" xfId="127" xr:uid="{00000000-0005-0000-0000-000087000000}"/>
    <cellStyle name="Input2 2" xfId="128" xr:uid="{00000000-0005-0000-0000-000088000000}"/>
    <cellStyle name="Input3" xfId="129" xr:uid="{00000000-0005-0000-0000-000089000000}"/>
    <cellStyle name="Input3 2" xfId="130" xr:uid="{00000000-0005-0000-0000-00008A000000}"/>
    <cellStyle name="Inputs_Divider" xfId="253" xr:uid="{00000000-0005-0000-0000-00008B000000}"/>
    <cellStyle name="InSheet" xfId="254" xr:uid="{00000000-0005-0000-0000-00008C000000}"/>
    <cellStyle name="K_Number" xfId="271" xr:uid="{00000000-0005-0000-0000-00008D000000}"/>
    <cellStyle name="Lines" xfId="131" xr:uid="{00000000-0005-0000-0000-00008E000000}"/>
    <cellStyle name="Linked Cell 2" xfId="132" xr:uid="{00000000-0005-0000-0000-00008F000000}"/>
    <cellStyle name="Mine" xfId="133" xr:uid="{00000000-0005-0000-0000-000090000000}"/>
    <cellStyle name="Model Name" xfId="134" xr:uid="{00000000-0005-0000-0000-000091000000}"/>
    <cellStyle name="Neutral 2" xfId="135" xr:uid="{00000000-0005-0000-0000-000092000000}"/>
    <cellStyle name="Normal" xfId="0" builtinId="0"/>
    <cellStyle name="Normal - Style1" xfId="136" xr:uid="{00000000-0005-0000-0000-000094000000}"/>
    <cellStyle name="Normal 10" xfId="241" xr:uid="{00000000-0005-0000-0000-000095000000}"/>
    <cellStyle name="Normal 10 2" xfId="272" xr:uid="{50DC281D-629A-46BC-9918-6674BB640913}"/>
    <cellStyle name="Normal 11" xfId="264" xr:uid="{00000000-0005-0000-0000-000096000000}"/>
    <cellStyle name="Normal 12" xfId="268" xr:uid="{00000000-0005-0000-0000-000097000000}"/>
    <cellStyle name="Normal 13" xfId="137" xr:uid="{00000000-0005-0000-0000-000098000000}"/>
    <cellStyle name="Normal 13 2" xfId="7" xr:uid="{00000000-0005-0000-0000-000099000000}"/>
    <cellStyle name="Normal 13_29(d) - Gas extensions -tariffs" xfId="138" xr:uid="{00000000-0005-0000-0000-00009A000000}"/>
    <cellStyle name="Normal 15" xfId="139" xr:uid="{00000000-0005-0000-0000-00009B000000}"/>
    <cellStyle name="Normal 16" xfId="140" xr:uid="{00000000-0005-0000-0000-00009C000000}"/>
    <cellStyle name="Normal 2" xfId="141" xr:uid="{00000000-0005-0000-0000-00009D000000}"/>
    <cellStyle name="Normal 2 2" xfId="142" xr:uid="{00000000-0005-0000-0000-00009E000000}"/>
    <cellStyle name="Normal 2 2 2" xfId="143" xr:uid="{00000000-0005-0000-0000-00009F000000}"/>
    <cellStyle name="Normal 2 3" xfId="144" xr:uid="{00000000-0005-0000-0000-0000A0000000}"/>
    <cellStyle name="Normal 2 3 2" xfId="145" xr:uid="{00000000-0005-0000-0000-0000A1000000}"/>
    <cellStyle name="Normal 2 3_29(d) - Gas extensions -tariffs" xfId="146" xr:uid="{00000000-0005-0000-0000-0000A2000000}"/>
    <cellStyle name="Normal 2 4" xfId="147" xr:uid="{00000000-0005-0000-0000-0000A3000000}"/>
    <cellStyle name="Normal 2 5" xfId="148" xr:uid="{00000000-0005-0000-0000-0000A4000000}"/>
    <cellStyle name="Normal 2_29(d) - Gas extensions -tariffs" xfId="149" xr:uid="{00000000-0005-0000-0000-0000A5000000}"/>
    <cellStyle name="Normal 3" xfId="150" xr:uid="{00000000-0005-0000-0000-0000A6000000}"/>
    <cellStyle name="Normal 3 2" xfId="151" xr:uid="{00000000-0005-0000-0000-0000A7000000}"/>
    <cellStyle name="Normal 3_29(d) - Gas extensions -tariffs" xfId="152" xr:uid="{00000000-0005-0000-0000-0000A8000000}"/>
    <cellStyle name="Normal 38" xfId="153" xr:uid="{00000000-0005-0000-0000-0000A9000000}"/>
    <cellStyle name="Normal 38 2" xfId="154" xr:uid="{00000000-0005-0000-0000-0000AA000000}"/>
    <cellStyle name="Normal 38_29(d) - Gas extensions -tariffs" xfId="155" xr:uid="{00000000-0005-0000-0000-0000AB000000}"/>
    <cellStyle name="Normal 4" xfId="156" xr:uid="{00000000-0005-0000-0000-0000AC000000}"/>
    <cellStyle name="Normal 4 2" xfId="157" xr:uid="{00000000-0005-0000-0000-0000AD000000}"/>
    <cellStyle name="Normal 4 3" xfId="158" xr:uid="{00000000-0005-0000-0000-0000AE000000}"/>
    <cellStyle name="Normal 4_29(d) - Gas extensions -tariffs" xfId="159" xr:uid="{00000000-0005-0000-0000-0000AF000000}"/>
    <cellStyle name="Normal 40" xfId="160" xr:uid="{00000000-0005-0000-0000-0000B0000000}"/>
    <cellStyle name="Normal 40 2" xfId="161" xr:uid="{00000000-0005-0000-0000-0000B1000000}"/>
    <cellStyle name="Normal 40_29(d) - Gas extensions -tariffs" xfId="162" xr:uid="{00000000-0005-0000-0000-0000B2000000}"/>
    <cellStyle name="Normal 42" xfId="270" xr:uid="{00000000-0005-0000-0000-0000B3000000}"/>
    <cellStyle name="Normal 5" xfId="163" xr:uid="{00000000-0005-0000-0000-0000B4000000}"/>
    <cellStyle name="Normal 5 2" xfId="164" xr:uid="{00000000-0005-0000-0000-0000B5000000}"/>
    <cellStyle name="Normal 6" xfId="165" xr:uid="{00000000-0005-0000-0000-0000B6000000}"/>
    <cellStyle name="Normal 6 2" xfId="166" xr:uid="{00000000-0005-0000-0000-0000B7000000}"/>
    <cellStyle name="Normal 7" xfId="9" xr:uid="{00000000-0005-0000-0000-0000B8000000}"/>
    <cellStyle name="Normal 7 2" xfId="167" xr:uid="{00000000-0005-0000-0000-0000B9000000}"/>
    <cellStyle name="Normal 8" xfId="168" xr:uid="{00000000-0005-0000-0000-0000BA000000}"/>
    <cellStyle name="Normal 9" xfId="169" xr:uid="{00000000-0005-0000-0000-0000BB000000}"/>
    <cellStyle name="Note 2" xfId="170" xr:uid="{00000000-0005-0000-0000-0000BC000000}"/>
    <cellStyle name="OffSheet" xfId="255" xr:uid="{00000000-0005-0000-0000-0000BD000000}"/>
    <cellStyle name="Output 2" xfId="171" xr:uid="{00000000-0005-0000-0000-0000BE000000}"/>
    <cellStyle name="Percent" xfId="2" builtinId="5"/>
    <cellStyle name="Percent [2]" xfId="172" xr:uid="{00000000-0005-0000-0000-0000C0000000}"/>
    <cellStyle name="Percent [2] 2" xfId="173" xr:uid="{00000000-0005-0000-0000-0000C1000000}"/>
    <cellStyle name="Percent [2]_29(d) - Gas extensions -tariffs" xfId="174" xr:uid="{00000000-0005-0000-0000-0000C2000000}"/>
    <cellStyle name="Percent 2" xfId="4" xr:uid="{00000000-0005-0000-0000-0000C3000000}"/>
    <cellStyle name="Percent 2 2" xfId="175" xr:uid="{00000000-0005-0000-0000-0000C4000000}"/>
    <cellStyle name="Percent 3" xfId="176" xr:uid="{00000000-0005-0000-0000-0000C5000000}"/>
    <cellStyle name="Percent 3 2" xfId="177" xr:uid="{00000000-0005-0000-0000-0000C6000000}"/>
    <cellStyle name="Percent 4" xfId="178" xr:uid="{00000000-0005-0000-0000-0000C7000000}"/>
    <cellStyle name="Percent 5" xfId="242" xr:uid="{00000000-0005-0000-0000-0000C8000000}"/>
    <cellStyle name="Percent 6" xfId="266" xr:uid="{00000000-0005-0000-0000-0000C9000000}"/>
    <cellStyle name="Percent 7" xfId="179" xr:uid="{00000000-0005-0000-0000-0000CA000000}"/>
    <cellStyle name="Percentage" xfId="180" xr:uid="{00000000-0005-0000-0000-0000CB000000}"/>
    <cellStyle name="Period Title" xfId="181" xr:uid="{00000000-0005-0000-0000-0000CC000000}"/>
    <cellStyle name="PSChar" xfId="182" xr:uid="{00000000-0005-0000-0000-0000CD000000}"/>
    <cellStyle name="PSDate" xfId="183" xr:uid="{00000000-0005-0000-0000-0000CE000000}"/>
    <cellStyle name="PSDec" xfId="184" xr:uid="{00000000-0005-0000-0000-0000CF000000}"/>
    <cellStyle name="PSDetail" xfId="185" xr:uid="{00000000-0005-0000-0000-0000D0000000}"/>
    <cellStyle name="PSHeading" xfId="186" xr:uid="{00000000-0005-0000-0000-0000D1000000}"/>
    <cellStyle name="PSInt" xfId="187" xr:uid="{00000000-0005-0000-0000-0000D2000000}"/>
    <cellStyle name="PSSpacer" xfId="188" xr:uid="{00000000-0005-0000-0000-0000D3000000}"/>
    <cellStyle name="Ratio" xfId="189" xr:uid="{00000000-0005-0000-0000-0000D4000000}"/>
    <cellStyle name="Ratio 2" xfId="190" xr:uid="{00000000-0005-0000-0000-0000D5000000}"/>
    <cellStyle name="Ratio_29(d) - Gas extensions -tariffs" xfId="191" xr:uid="{00000000-0005-0000-0000-0000D6000000}"/>
    <cellStyle name="Right Date" xfId="192" xr:uid="{00000000-0005-0000-0000-0000D7000000}"/>
    <cellStyle name="Right Number" xfId="193" xr:uid="{00000000-0005-0000-0000-0000D8000000}"/>
    <cellStyle name="Right Year" xfId="194" xr:uid="{00000000-0005-0000-0000-0000D9000000}"/>
    <cellStyle name="SAPError" xfId="195" xr:uid="{00000000-0005-0000-0000-0000DA000000}"/>
    <cellStyle name="SAPError 2" xfId="196" xr:uid="{00000000-0005-0000-0000-0000DB000000}"/>
    <cellStyle name="SAPKey" xfId="197" xr:uid="{00000000-0005-0000-0000-0000DC000000}"/>
    <cellStyle name="SAPKey 2" xfId="198" xr:uid="{00000000-0005-0000-0000-0000DD000000}"/>
    <cellStyle name="SAPLocked" xfId="199" xr:uid="{00000000-0005-0000-0000-0000DE000000}"/>
    <cellStyle name="SAPLocked 2" xfId="200" xr:uid="{00000000-0005-0000-0000-0000DF000000}"/>
    <cellStyle name="SAPOutput" xfId="201" xr:uid="{00000000-0005-0000-0000-0000E0000000}"/>
    <cellStyle name="SAPOutput 2" xfId="202" xr:uid="{00000000-0005-0000-0000-0000E1000000}"/>
    <cellStyle name="SAPSpace" xfId="203" xr:uid="{00000000-0005-0000-0000-0000E2000000}"/>
    <cellStyle name="SAPSpace 2" xfId="204" xr:uid="{00000000-0005-0000-0000-0000E3000000}"/>
    <cellStyle name="SAPText" xfId="205" xr:uid="{00000000-0005-0000-0000-0000E4000000}"/>
    <cellStyle name="SAPText 2" xfId="206" xr:uid="{00000000-0005-0000-0000-0000E5000000}"/>
    <cellStyle name="SAPUnLocked" xfId="207" xr:uid="{00000000-0005-0000-0000-0000E6000000}"/>
    <cellStyle name="SAPUnLocked 2" xfId="208" xr:uid="{00000000-0005-0000-0000-0000E7000000}"/>
    <cellStyle name="Sheet Title" xfId="209" xr:uid="{00000000-0005-0000-0000-0000E8000000}"/>
    <cellStyle name="SheetHeader1" xfId="256" xr:uid="{00000000-0005-0000-0000-0000E9000000}"/>
    <cellStyle name="SheetHeader2" xfId="257" xr:uid="{00000000-0005-0000-0000-0000EA000000}"/>
    <cellStyle name="SheetHeader3" xfId="258" xr:uid="{00000000-0005-0000-0000-0000EB000000}"/>
    <cellStyle name="Style 1" xfId="210" xr:uid="{00000000-0005-0000-0000-0000EC000000}"/>
    <cellStyle name="Style 1 2" xfId="211" xr:uid="{00000000-0005-0000-0000-0000ED000000}"/>
    <cellStyle name="Style 1_29(d) - Gas extensions -tariffs" xfId="212" xr:uid="{00000000-0005-0000-0000-0000EE000000}"/>
    <cellStyle name="Style2" xfId="213" xr:uid="{00000000-0005-0000-0000-0000EF000000}"/>
    <cellStyle name="Style3" xfId="214" xr:uid="{00000000-0005-0000-0000-0000F0000000}"/>
    <cellStyle name="Style4" xfId="215" xr:uid="{00000000-0005-0000-0000-0000F1000000}"/>
    <cellStyle name="Style4 2" xfId="216" xr:uid="{00000000-0005-0000-0000-0000F2000000}"/>
    <cellStyle name="Style4_29(d) - Gas extensions -tariffs" xfId="217" xr:uid="{00000000-0005-0000-0000-0000F3000000}"/>
    <cellStyle name="Style5" xfId="218" xr:uid="{00000000-0005-0000-0000-0000F4000000}"/>
    <cellStyle name="Style5 2" xfId="219" xr:uid="{00000000-0005-0000-0000-0000F5000000}"/>
    <cellStyle name="Style5_29(d) - Gas extensions -tariffs" xfId="220" xr:uid="{00000000-0005-0000-0000-0000F6000000}"/>
    <cellStyle name="Table Head Green" xfId="221" xr:uid="{00000000-0005-0000-0000-0000F7000000}"/>
    <cellStyle name="Table Head_pldt" xfId="222" xr:uid="{00000000-0005-0000-0000-0000F8000000}"/>
    <cellStyle name="Table Source" xfId="223" xr:uid="{00000000-0005-0000-0000-0000F9000000}"/>
    <cellStyle name="Table Units" xfId="224" xr:uid="{00000000-0005-0000-0000-0000FA000000}"/>
    <cellStyle name="Table_Heading" xfId="259" xr:uid="{00000000-0005-0000-0000-0000FB000000}"/>
    <cellStyle name="Technical_Input" xfId="260" xr:uid="{00000000-0005-0000-0000-0000FC000000}"/>
    <cellStyle name="Text" xfId="225" xr:uid="{00000000-0005-0000-0000-0000FD000000}"/>
    <cellStyle name="Text 2" xfId="226" xr:uid="{00000000-0005-0000-0000-0000FE000000}"/>
    <cellStyle name="Text 3" xfId="227" xr:uid="{00000000-0005-0000-0000-0000FF000000}"/>
    <cellStyle name="Text Head 1" xfId="228" xr:uid="{00000000-0005-0000-0000-000000010000}"/>
    <cellStyle name="Text Head 2" xfId="229" xr:uid="{00000000-0005-0000-0000-000001010000}"/>
    <cellStyle name="Text Indent 2" xfId="230" xr:uid="{00000000-0005-0000-0000-000002010000}"/>
    <cellStyle name="Theirs" xfId="231" xr:uid="{00000000-0005-0000-0000-000003010000}"/>
    <cellStyle name="Title 2" xfId="232" xr:uid="{00000000-0005-0000-0000-000004010000}"/>
    <cellStyle name="TOC 1" xfId="233" xr:uid="{00000000-0005-0000-0000-000005010000}"/>
    <cellStyle name="TOC 2" xfId="234" xr:uid="{00000000-0005-0000-0000-000006010000}"/>
    <cellStyle name="TOC 3" xfId="235" xr:uid="{00000000-0005-0000-0000-000007010000}"/>
    <cellStyle name="Total 2" xfId="236" xr:uid="{00000000-0005-0000-0000-000008010000}"/>
    <cellStyle name="Totals" xfId="261" xr:uid="{00000000-0005-0000-0000-000009010000}"/>
    <cellStyle name="unit" xfId="262" xr:uid="{00000000-0005-0000-0000-00000A010000}"/>
    <cellStyle name="User_Input" xfId="263" xr:uid="{00000000-0005-0000-0000-00000B010000}"/>
    <cellStyle name="Warning Text 2" xfId="237" xr:uid="{00000000-0005-0000-0000-00000C010000}"/>
    <cellStyle name="year" xfId="238" xr:uid="{00000000-0005-0000-0000-00000D010000}"/>
    <cellStyle name="year 2" xfId="239" xr:uid="{00000000-0005-0000-0000-00000E010000}"/>
    <cellStyle name="year_29(d) - Gas extensions -tariffs" xfId="240" xr:uid="{00000000-0005-0000-0000-00000F010000}"/>
  </cellStyles>
  <dxfs count="2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66FF33"/>
      <color rgb="FFFFFF99"/>
      <color rgb="FFFFFFCC"/>
      <color rgb="FFDBE5F1"/>
      <color rgb="FFDAEEF3"/>
      <color rgb="FF006100"/>
      <color rgb="FFC6EFCE"/>
      <color rgb="FF9C000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E%20RRP%20MOD%2010.02%20-%20PTRM%202021-26%20-%20insurance%20update%20-%20Mar2021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Amendments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>
            <v>5</v>
          </cell>
          <cell r="N13" t="str">
            <v>x</v>
          </cell>
          <cell r="P13" t="str">
            <v>Level 6</v>
          </cell>
          <cell r="Q13" t="str">
            <v>400 King William Street</v>
          </cell>
          <cell r="R13" t="str">
            <v>ADELAIDE</v>
          </cell>
          <cell r="S13" t="str">
            <v>SA</v>
          </cell>
          <cell r="U13" t="str">
            <v>PO Box 6468</v>
          </cell>
          <cell r="V13" t="str">
            <v>Halifax Street</v>
          </cell>
          <cell r="W13" t="str">
            <v>ADELAIDE</v>
          </cell>
          <cell r="X13" t="str">
            <v>SA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>
            <v>5</v>
          </cell>
          <cell r="N14" t="str">
            <v>x</v>
          </cell>
          <cell r="P14" t="str">
            <v>Level 6</v>
          </cell>
          <cell r="Q14" t="str">
            <v>400 King William Street</v>
          </cell>
          <cell r="R14" t="str">
            <v>ADELAIDE</v>
          </cell>
          <cell r="S14" t="str">
            <v>SA</v>
          </cell>
          <cell r="U14" t="str">
            <v>PO Box 6468</v>
          </cell>
          <cell r="V14" t="str">
            <v>Halifax Street</v>
          </cell>
          <cell r="W14" t="str">
            <v>ADELAIDE</v>
          </cell>
          <cell r="X14" t="str">
            <v>SA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distribution determination</v>
          </cell>
          <cell r="P15" t="str">
            <v>Level 6</v>
          </cell>
          <cell r="Q15" t="str">
            <v>400 King William Street</v>
          </cell>
          <cell r="R15" t="str">
            <v>ADELAIDE</v>
          </cell>
          <cell r="S15" t="str">
            <v>SA</v>
          </cell>
          <cell r="U15" t="str">
            <v>PO Box 6468</v>
          </cell>
          <cell r="V15" t="str">
            <v>Halifax Street</v>
          </cell>
          <cell r="W15" t="str">
            <v>ADELAIDE</v>
          </cell>
          <cell r="X15" t="str">
            <v>SA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P16" t="str">
            <v>Level 6</v>
          </cell>
          <cell r="Q16" t="str">
            <v>400 King William Street</v>
          </cell>
          <cell r="R16" t="str">
            <v>ADELAIDE</v>
          </cell>
          <cell r="S16" t="str">
            <v>SA</v>
          </cell>
          <cell r="U16" t="str">
            <v>PO Box 6468</v>
          </cell>
          <cell r="V16" t="str">
            <v>Halifax Street</v>
          </cell>
          <cell r="W16" t="str">
            <v>ADELAIDE</v>
          </cell>
          <cell r="X16" t="str">
            <v>SA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B17" t="str">
            <v>Ausgrid</v>
          </cell>
          <cell r="C17" t="str">
            <v>Ausgrid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2014-19 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distribution determination</v>
          </cell>
          <cell r="P18" t="str">
            <v>570 George St</v>
          </cell>
          <cell r="R18" t="str">
            <v>SYDNEY</v>
          </cell>
          <cell r="S18" t="str">
            <v>NSW</v>
          </cell>
          <cell r="U18" t="str">
            <v>GPO Box 4009</v>
          </cell>
          <cell r="W18" t="str">
            <v>SYDNEY</v>
          </cell>
          <cell r="X18" t="str">
            <v>NSW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B19" t="str">
            <v>AusNet (D)</v>
          </cell>
          <cell r="C19" t="str">
            <v>AusNet Electricity Services Pty Ltd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2016-20 Distribution Determination</v>
          </cell>
          <cell r="P19" t="str">
            <v>Level 32</v>
          </cell>
          <cell r="Q19" t="str">
            <v>2 Southbank Boulevard</v>
          </cell>
          <cell r="R19" t="str">
            <v>SOUTHBANK</v>
          </cell>
          <cell r="S19" t="str">
            <v>Vic</v>
          </cell>
          <cell r="U19" t="str">
            <v>Locked Bag 14051</v>
          </cell>
          <cell r="W19" t="str">
            <v>MELBOURNE CITY MAIL CENTRE</v>
          </cell>
          <cell r="X19" t="str">
            <v>Vic</v>
          </cell>
          <cell r="AC19" t="str">
            <v>NO</v>
          </cell>
          <cell r="AD19" t="str">
            <v>YES</v>
          </cell>
          <cell r="AE19" t="str">
            <v>YES</v>
          </cell>
          <cell r="AF19" t="str">
            <v>YES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B20" t="str">
            <v>AusNet (Gas)</v>
          </cell>
          <cell r="C20" t="str">
            <v>AusNet Gas Services</v>
          </cell>
          <cell r="D20" t="str">
            <v>086015036</v>
          </cell>
          <cell r="E20" t="str">
            <v>Vic</v>
          </cell>
          <cell r="F20" t="str">
            <v>Gas</v>
          </cell>
          <cell r="G20" t="str">
            <v>Distribution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 t="str">
            <v>X</v>
          </cell>
          <cell r="P20" t="str">
            <v>Level 19, HSBC Building</v>
          </cell>
          <cell r="Q20" t="str">
            <v>580 George Street</v>
          </cell>
          <cell r="R20" t="str">
            <v>SYDNEY</v>
          </cell>
          <cell r="S20" t="str">
            <v>NSW</v>
          </cell>
          <cell r="U20" t="str">
            <v>PO Box R41</v>
          </cell>
          <cell r="W20" t="str">
            <v>ROYAL EXCHANGE</v>
          </cell>
          <cell r="X20" t="str">
            <v>NSW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distribution determination</v>
          </cell>
          <cell r="P21" t="str">
            <v>123 Straight Street</v>
          </cell>
          <cell r="R21" t="str">
            <v>SYDNEY</v>
          </cell>
          <cell r="S21" t="str">
            <v>NSW</v>
          </cell>
          <cell r="U21" t="str">
            <v>PO Box 123</v>
          </cell>
          <cell r="W21" t="str">
            <v>SYDNEY</v>
          </cell>
          <cell r="X21" t="str">
            <v>NSW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YES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B22" t="str">
            <v>Central Ranges Pipeline (D)</v>
          </cell>
          <cell r="C22" t="str">
            <v>Central Ranges Pipeline Pty Ltd</v>
          </cell>
          <cell r="D22">
            <v>108218355</v>
          </cell>
          <cell r="E22" t="str">
            <v>NSW</v>
          </cell>
          <cell r="F22" t="str">
            <v>Gas</v>
          </cell>
          <cell r="G22" t="str">
            <v>Distribution</v>
          </cell>
          <cell r="I22" t="str">
            <v>Financial</v>
          </cell>
          <cell r="J22" t="str">
            <v>June</v>
          </cell>
          <cell r="K22">
            <v>15</v>
          </cell>
          <cell r="L22">
            <v>5</v>
          </cell>
          <cell r="M22">
            <v>5</v>
          </cell>
          <cell r="N22">
            <v>5</v>
          </cell>
          <cell r="O22" t="str">
            <v>distribution determination</v>
          </cell>
          <cell r="P22" t="str">
            <v>Level 19</v>
          </cell>
          <cell r="Q22" t="str">
            <v>580 George Street</v>
          </cell>
          <cell r="R22" t="str">
            <v>SYDNEY</v>
          </cell>
          <cell r="S22" t="str">
            <v>NSW</v>
          </cell>
          <cell r="U22" t="str">
            <v>PO Box R41</v>
          </cell>
          <cell r="W22" t="str">
            <v>ROYAL EXCHANGE</v>
          </cell>
          <cell r="X22" t="str">
            <v>NSW</v>
          </cell>
          <cell r="AC22" t="str">
            <v>NO</v>
          </cell>
          <cell r="AD22" t="str">
            <v>NO</v>
          </cell>
          <cell r="AE22" t="str">
            <v>NO</v>
          </cell>
          <cell r="AF22" t="str">
            <v>NO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5</v>
          </cell>
          <cell r="N23">
            <v>2</v>
          </cell>
          <cell r="O23" t="str">
            <v>2016-20 Distribution Determination</v>
          </cell>
          <cell r="P23" t="str">
            <v>40 Market Street</v>
          </cell>
          <cell r="R23" t="str">
            <v>MELBOURNE</v>
          </cell>
          <cell r="S23" t="str">
            <v>Vic</v>
          </cell>
          <cell r="U23" t="str">
            <v>Locked Bag 14090</v>
          </cell>
          <cell r="W23" t="str">
            <v>MELBOURNE</v>
          </cell>
          <cell r="X23" t="str">
            <v>Vic</v>
          </cell>
          <cell r="AC23" t="str">
            <v>YES</v>
          </cell>
          <cell r="AD23" t="str">
            <v>YES</v>
          </cell>
          <cell r="AE23" t="str">
            <v>NO</v>
          </cell>
          <cell r="AF23" t="str">
            <v>NO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B24" t="str">
            <v>Endeavour Energy</v>
          </cell>
          <cell r="C24" t="str">
            <v>Endeavour Energy</v>
          </cell>
          <cell r="D24">
            <v>11247365823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U24" t="str">
            <v>PO Box 811</v>
          </cell>
          <cell r="W24" t="str">
            <v>SEVEN HILLS</v>
          </cell>
          <cell r="X24" t="str">
            <v>NSW</v>
          </cell>
          <cell r="AC24" t="str">
            <v>NO</v>
          </cell>
          <cell r="AD24" t="str">
            <v>YES</v>
          </cell>
          <cell r="AE24" t="str">
            <v>YES</v>
          </cell>
          <cell r="AF24" t="str">
            <v>YES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AC25" t="str">
            <v>YES</v>
          </cell>
          <cell r="AD25" t="str">
            <v>YES</v>
          </cell>
          <cell r="AE25" t="str">
            <v>YES</v>
          </cell>
          <cell r="AF25" t="str">
            <v>NO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AC26" t="str">
            <v>NO</v>
          </cell>
          <cell r="AD26" t="str">
            <v>YES</v>
          </cell>
          <cell r="AE26" t="str">
            <v>YES</v>
          </cell>
          <cell r="AF26" t="str">
            <v>YES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B27" t="str">
            <v>Essential Energy</v>
          </cell>
          <cell r="C27" t="str">
            <v>Essential Energy</v>
          </cell>
          <cell r="D27">
            <v>37428185226</v>
          </cell>
          <cell r="E27" t="str">
            <v>NSW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2014-19 Distribution Determination</v>
          </cell>
          <cell r="P27" t="str">
            <v>8 Buller Street</v>
          </cell>
          <cell r="R27" t="str">
            <v>PORT MACQUARIE</v>
          </cell>
          <cell r="S27" t="str">
            <v>NSW</v>
          </cell>
          <cell r="U27" t="str">
            <v>PO Box 5730</v>
          </cell>
          <cell r="W27" t="str">
            <v>PORT MACQUARIE</v>
          </cell>
          <cell r="X27" t="str">
            <v>NSW</v>
          </cell>
          <cell r="AC27" t="str">
            <v>NO</v>
          </cell>
          <cell r="AD27" t="str">
            <v>NO</v>
          </cell>
          <cell r="AE27" t="str">
            <v>YES</v>
          </cell>
          <cell r="AF27" t="str">
            <v>YES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B28" t="str">
            <v>Evoenergy</v>
          </cell>
          <cell r="C28" t="str">
            <v>Evoenergy</v>
          </cell>
          <cell r="D28">
            <v>76670568688</v>
          </cell>
          <cell r="E28" t="str">
            <v>ACT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 t="str">
            <v>2014-19 Distribution Determination</v>
          </cell>
          <cell r="P28" t="str">
            <v>40 Bunda Street</v>
          </cell>
          <cell r="R28" t="str">
            <v>CANBERRA</v>
          </cell>
          <cell r="S28" t="str">
            <v>ACT</v>
          </cell>
          <cell r="U28" t="str">
            <v>GPO BOX 366</v>
          </cell>
          <cell r="W28" t="str">
            <v>CANBERRA</v>
          </cell>
          <cell r="X28" t="str">
            <v>ACT</v>
          </cell>
          <cell r="AC28" t="str">
            <v>NO</v>
          </cell>
          <cell r="AD28" t="str">
            <v>YES</v>
          </cell>
          <cell r="AE28" t="str">
            <v>YES</v>
          </cell>
          <cell r="AF28" t="str">
            <v>NO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B29" t="str">
            <v>Evoenergy (Tx Assets)</v>
          </cell>
          <cell r="C29" t="str">
            <v>Evoenergy (Tx Assets)</v>
          </cell>
          <cell r="D29">
            <v>76670568688</v>
          </cell>
          <cell r="E29" t="str">
            <v>ACT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 t="str">
            <v>distribution determination</v>
          </cell>
          <cell r="P29" t="str">
            <v>40 Bunda Street</v>
          </cell>
          <cell r="R29" t="str">
            <v>CANBERRA</v>
          </cell>
          <cell r="S29" t="str">
            <v>ACT</v>
          </cell>
          <cell r="U29" t="str">
            <v>GPO BOX 366</v>
          </cell>
          <cell r="W29" t="str">
            <v>CANBERRA</v>
          </cell>
          <cell r="X29" t="str">
            <v>ACT</v>
          </cell>
          <cell r="AC29" t="str">
            <v>NO</v>
          </cell>
          <cell r="AD29" t="str">
            <v>YES</v>
          </cell>
          <cell r="AE29" t="str">
            <v>YES</v>
          </cell>
          <cell r="AF29" t="str">
            <v>NO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B30" t="str">
            <v>Evoenergy Gas</v>
          </cell>
          <cell r="C30" t="str">
            <v>Evoenergy Gas</v>
          </cell>
          <cell r="D30">
            <v>76670568688</v>
          </cell>
          <cell r="E30" t="str">
            <v>ACT</v>
          </cell>
          <cell r="F30" t="str">
            <v>Gas</v>
          </cell>
          <cell r="G30" t="str">
            <v>Distribution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x</v>
          </cell>
          <cell r="P30" t="str">
            <v>40 Bunda Street</v>
          </cell>
          <cell r="R30" t="str">
            <v>CANBERRA</v>
          </cell>
          <cell r="S30" t="str">
            <v>ACT</v>
          </cell>
          <cell r="U30" t="str">
            <v>GPO BOX 366</v>
          </cell>
          <cell r="W30" t="str">
            <v>CANBERRA</v>
          </cell>
          <cell r="X30" t="str">
            <v>ACT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B31" t="str">
            <v>Jemena Electricity</v>
          </cell>
          <cell r="C31" t="str">
            <v>Jemena Electricity</v>
          </cell>
          <cell r="D31">
            <v>82064651083</v>
          </cell>
          <cell r="E31" t="str">
            <v>Vic</v>
          </cell>
          <cell r="F31" t="str">
            <v>Electricity</v>
          </cell>
          <cell r="G31" t="str">
            <v>Distribution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>
            <v>5</v>
          </cell>
          <cell r="N31">
            <v>2</v>
          </cell>
          <cell r="O31" t="str">
            <v>2016-20 Distribution Determination</v>
          </cell>
          <cell r="P31" t="str">
            <v>Level 16</v>
          </cell>
          <cell r="Q31" t="str">
            <v>567 Collins Street</v>
          </cell>
          <cell r="R31" t="str">
            <v>MELBOURNE</v>
          </cell>
          <cell r="S31" t="str">
            <v>Vic</v>
          </cell>
          <cell r="U31" t="str">
            <v>PO Box 16182</v>
          </cell>
          <cell r="W31" t="str">
            <v>MELBOURNE</v>
          </cell>
          <cell r="X31" t="str">
            <v>Vic</v>
          </cell>
          <cell r="AC31" t="str">
            <v>NO</v>
          </cell>
          <cell r="AD31" t="str">
            <v>YES</v>
          </cell>
          <cell r="AE31" t="str">
            <v>YES</v>
          </cell>
          <cell r="AF31" t="str">
            <v>NO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B32" t="str">
            <v>JGN</v>
          </cell>
          <cell r="C32" t="str">
            <v>Jemena Gas Networks (NSW) Ltd</v>
          </cell>
          <cell r="D32" t="str">
            <v>003 004 322</v>
          </cell>
          <cell r="E32" t="str">
            <v>NSW</v>
          </cell>
          <cell r="F32" t="str">
            <v>Gas</v>
          </cell>
          <cell r="G32" t="str">
            <v>Distribution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AC32" t="str">
            <v>NO</v>
          </cell>
          <cell r="AD32" t="str">
            <v>NO</v>
          </cell>
          <cell r="AE32" t="str">
            <v>NO</v>
          </cell>
          <cell r="AF32" t="str">
            <v>NO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B33" t="str">
            <v>Multinet Gas</v>
          </cell>
          <cell r="C33" t="str">
            <v>Multinet Gas (DB No.1) Pty Ltd (ACN 086 026 986), Multinet Gas (DB No.2) Pty Ltd (ACN 086 230 122)</v>
          </cell>
          <cell r="D33" t="str">
            <v>086026986</v>
          </cell>
          <cell r="E33" t="str">
            <v>Vic</v>
          </cell>
          <cell r="F33" t="str">
            <v>Gas</v>
          </cell>
          <cell r="G33" t="str">
            <v>Distribution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 t="str">
            <v>x</v>
          </cell>
          <cell r="P33" t="str">
            <v>43-45 Centreway</v>
          </cell>
          <cell r="R33" t="str">
            <v>MT WAVERLEY</v>
          </cell>
          <cell r="S33" t="str">
            <v>Vic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B34" t="str">
            <v>Power and Water</v>
          </cell>
          <cell r="C34" t="str">
            <v>Power and Water Corporation</v>
          </cell>
          <cell r="D34">
            <v>15947352360</v>
          </cell>
          <cell r="E34" t="str">
            <v>NT</v>
          </cell>
          <cell r="F34" t="str">
            <v>Electricity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x</v>
          </cell>
          <cell r="O34" t="str">
            <v>distribution determination</v>
          </cell>
          <cell r="P34" t="str">
            <v>GPO Box 1921</v>
          </cell>
          <cell r="R34" t="str">
            <v>DARWIN</v>
          </cell>
          <cell r="S34" t="str">
            <v>NT</v>
          </cell>
          <cell r="U34" t="str">
            <v>GPO Box 1921</v>
          </cell>
          <cell r="W34" t="str">
            <v>DARWIN</v>
          </cell>
          <cell r="X34" t="str">
            <v>NT</v>
          </cell>
          <cell r="AC34" t="str">
            <v>YES</v>
          </cell>
          <cell r="AD34" t="str">
            <v>YES</v>
          </cell>
          <cell r="AE34" t="str">
            <v>YES</v>
          </cell>
          <cell r="AF34" t="str">
            <v>YES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B35" t="str">
            <v>Powercor Australia</v>
          </cell>
          <cell r="C35" t="str">
            <v>Powercor Australia</v>
          </cell>
          <cell r="D35">
            <v>89064651109</v>
          </cell>
          <cell r="E35" t="str">
            <v>Vic</v>
          </cell>
          <cell r="F35" t="str">
            <v>Electricity</v>
          </cell>
          <cell r="G35" t="str">
            <v>Distribution</v>
          </cell>
          <cell r="I35" t="str">
            <v>Calendar</v>
          </cell>
          <cell r="J35" t="str">
            <v>December</v>
          </cell>
          <cell r="K35">
            <v>5</v>
          </cell>
          <cell r="L35">
            <v>5</v>
          </cell>
          <cell r="M35">
            <v>5</v>
          </cell>
          <cell r="N35">
            <v>2</v>
          </cell>
          <cell r="O35" t="str">
            <v>2016-20 Distribution Determination</v>
          </cell>
          <cell r="P35" t="str">
            <v>40 Market Street</v>
          </cell>
          <cell r="R35" t="str">
            <v>MELBOURNE</v>
          </cell>
          <cell r="S35" t="str">
            <v>Vic</v>
          </cell>
          <cell r="U35" t="str">
            <v>Locked bag 14090</v>
          </cell>
          <cell r="W35" t="str">
            <v>MELBOURNE</v>
          </cell>
          <cell r="X35" t="str">
            <v>Vic</v>
          </cell>
          <cell r="AC35" t="str">
            <v>NO</v>
          </cell>
          <cell r="AD35" t="str">
            <v>NO</v>
          </cell>
          <cell r="AE35" t="str">
            <v>YES</v>
          </cell>
          <cell r="AF35" t="str">
            <v>YES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U36" t="str">
            <v>GPO Box 77</v>
          </cell>
          <cell r="W36" t="str">
            <v>ADELAIDE</v>
          </cell>
          <cell r="X36" t="str">
            <v>SA</v>
          </cell>
          <cell r="AC36" t="str">
            <v>NO</v>
          </cell>
          <cell r="AD36" t="str">
            <v>NO</v>
          </cell>
          <cell r="AE36" t="str">
            <v>YES</v>
          </cell>
          <cell r="AF36" t="str">
            <v>YES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 t="str">
            <v>distribution determination</v>
          </cell>
          <cell r="P37" t="str">
            <v>1-7 Maria Street</v>
          </cell>
          <cell r="R37" t="str">
            <v>LENAH VALLEY</v>
          </cell>
          <cell r="S37" t="str">
            <v>Tas</v>
          </cell>
          <cell r="U37" t="str">
            <v>PO Box 606</v>
          </cell>
          <cell r="W37" t="str">
            <v>MOONAH</v>
          </cell>
          <cell r="X37" t="str">
            <v>Tas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YES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B38" t="str">
            <v>United Energy</v>
          </cell>
          <cell r="C38" t="str">
            <v>United Energy</v>
          </cell>
          <cell r="D38">
            <v>70064651029</v>
          </cell>
          <cell r="E38" t="str">
            <v>Vic</v>
          </cell>
          <cell r="F38" t="str">
            <v>Electricity</v>
          </cell>
          <cell r="G38" t="str">
            <v>Distribution</v>
          </cell>
          <cell r="I38" t="str">
            <v>Calendar</v>
          </cell>
          <cell r="J38" t="str">
            <v>December</v>
          </cell>
          <cell r="K38">
            <v>5</v>
          </cell>
          <cell r="L38">
            <v>5</v>
          </cell>
          <cell r="M38">
            <v>5</v>
          </cell>
          <cell r="N38">
            <v>2</v>
          </cell>
          <cell r="O38" t="str">
            <v>2016-20 Distribution Determination</v>
          </cell>
          <cell r="P38" t="str">
            <v>43-45 Centreway</v>
          </cell>
          <cell r="R38" t="str">
            <v>MOUNT WAVERLEY</v>
          </cell>
          <cell r="S38" t="str">
            <v>Vic</v>
          </cell>
          <cell r="U38" t="str">
            <v>PO Box 449</v>
          </cell>
          <cell r="W38" t="str">
            <v>MOUNT WAVERLEY</v>
          </cell>
          <cell r="X38" t="str">
            <v>Vic</v>
          </cell>
          <cell r="AC38" t="str">
            <v>NO</v>
          </cell>
          <cell r="AD38" t="str">
            <v>NO</v>
          </cell>
          <cell r="AE38" t="str">
            <v>YES</v>
          </cell>
          <cell r="AF38" t="str">
            <v>NO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B45" t="str">
            <v>ARR</v>
          </cell>
          <cell r="D45" t="str">
            <v>ANNUAL REPORTING</v>
          </cell>
          <cell r="E45">
            <v>1</v>
          </cell>
        </row>
        <row r="46">
          <cell r="B46" t="str">
            <v>CA</v>
          </cell>
          <cell r="D46" t="str">
            <v>CATEGORY ANALYSIS</v>
          </cell>
          <cell r="E46">
            <v>1</v>
          </cell>
        </row>
        <row r="47">
          <cell r="B47" t="str">
            <v>CESS</v>
          </cell>
          <cell r="D47" t="str">
            <v>CAPITLAL EXPENDITURE SHARING SCHEMING</v>
          </cell>
          <cell r="E47">
            <v>5</v>
          </cell>
        </row>
        <row r="48">
          <cell r="B48" t="str">
            <v>CPI</v>
          </cell>
          <cell r="D48" t="str">
            <v>CPI</v>
          </cell>
          <cell r="E48">
            <v>5</v>
          </cell>
        </row>
        <row r="49">
          <cell r="B49" t="str">
            <v>EB</v>
          </cell>
          <cell r="D49" t="str">
            <v>ECONOMIC BENCHMARKING</v>
          </cell>
          <cell r="E49">
            <v>1</v>
          </cell>
        </row>
        <row r="50">
          <cell r="B50" t="str">
            <v>Pricing</v>
          </cell>
          <cell r="D50" t="str">
            <v>PRICING PROPOSAL</v>
          </cell>
          <cell r="E50">
            <v>5</v>
          </cell>
        </row>
        <row r="51">
          <cell r="B51" t="str">
            <v>PTRM</v>
          </cell>
          <cell r="D51" t="str">
            <v>POST TAX REVENUE MODEL</v>
          </cell>
          <cell r="E51">
            <v>5</v>
          </cell>
        </row>
        <row r="52">
          <cell r="B52" t="str">
            <v>Reset</v>
          </cell>
          <cell r="D52" t="str">
            <v>REGULATORY REPORTING STATEMENT</v>
          </cell>
          <cell r="E52">
            <v>5</v>
          </cell>
        </row>
        <row r="53">
          <cell r="B53" t="str">
            <v>RFM</v>
          </cell>
          <cell r="D53" t="str">
            <v>ROLL FORWARD MODEL</v>
          </cell>
          <cell r="E53">
            <v>5</v>
          </cell>
        </row>
        <row r="54">
          <cell r="B54" t="str">
            <v>WACC</v>
          </cell>
          <cell r="D54" t="str">
            <v>WEIGHTED AVERAGE COST OF CAPITAL</v>
          </cell>
          <cell r="E54">
            <v>1</v>
          </cell>
        </row>
        <row r="59">
          <cell r="E59" t="e">
            <v>#N/A</v>
          </cell>
          <cell r="G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</row>
        <row r="64">
          <cell r="E64" t="e">
            <v>#N/A</v>
          </cell>
          <cell r="G64" t="e">
            <v>#N/A</v>
          </cell>
          <cell r="I64" t="e">
            <v>#N/A</v>
          </cell>
        </row>
        <row r="65">
          <cell r="E65" t="e">
            <v>#N/A</v>
          </cell>
          <cell r="G65" t="e">
            <v>#N/A</v>
          </cell>
          <cell r="I65" t="e">
            <v>#N/A</v>
          </cell>
        </row>
        <row r="66">
          <cell r="E66" t="e">
            <v>#N/A</v>
          </cell>
          <cell r="G66" t="e">
            <v>#N/A</v>
          </cell>
          <cell r="I66" t="e">
            <v>#N/A</v>
          </cell>
        </row>
        <row r="67">
          <cell r="E67" t="e">
            <v>#N/A</v>
          </cell>
          <cell r="G67" t="e">
            <v>#N/A</v>
          </cell>
          <cell r="I67" t="e">
            <v>#N/A</v>
          </cell>
        </row>
        <row r="68">
          <cell r="E68" t="e">
            <v>#N/A</v>
          </cell>
          <cell r="G68" t="e">
            <v>#N/A</v>
          </cell>
          <cell r="I68" t="e">
            <v>#N/A</v>
          </cell>
        </row>
        <row r="69">
          <cell r="E69" t="e">
            <v>#N/A</v>
          </cell>
          <cell r="G69" t="e">
            <v>#N/A</v>
          </cell>
          <cell r="I69" t="e">
            <v>#N/A</v>
          </cell>
        </row>
        <row r="70">
          <cell r="E70" t="e">
            <v>#N/A</v>
          </cell>
          <cell r="G70" t="e">
            <v>#N/A</v>
          </cell>
          <cell r="I70" t="e">
            <v>#N/A</v>
          </cell>
        </row>
        <row r="71">
          <cell r="E71" t="e">
            <v>#N/A</v>
          </cell>
          <cell r="G71" t="e">
            <v>#N/A</v>
          </cell>
          <cell r="I71" t="e">
            <v>#N/A</v>
          </cell>
        </row>
        <row r="72">
          <cell r="E72" t="e">
            <v>#N/A</v>
          </cell>
          <cell r="G72" t="e">
            <v>#N/A</v>
          </cell>
          <cell r="I72" t="e">
            <v>#N/A</v>
          </cell>
        </row>
        <row r="73">
          <cell r="E73" t="e">
            <v>#N/A</v>
          </cell>
          <cell r="G73" t="e">
            <v>#N/A</v>
          </cell>
          <cell r="I73" t="e">
            <v>#N/A</v>
          </cell>
        </row>
      </sheetData>
      <sheetData sheetId="2">
        <row r="10">
          <cell r="C10" t="str">
            <v>PTRM</v>
          </cell>
        </row>
        <row r="13">
          <cell r="C13" t="str">
            <v>Public</v>
          </cell>
        </row>
        <row r="20">
          <cell r="C20" t="str">
            <v>Distribution</v>
          </cell>
        </row>
        <row r="22">
          <cell r="C22" t="str">
            <v>Calendar</v>
          </cell>
        </row>
        <row r="28">
          <cell r="C28" t="str">
            <v>CRY not present</v>
          </cell>
        </row>
        <row r="29">
          <cell r="C29" t="str">
            <v>December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 t="e">
            <v>#N/A</v>
          </cell>
        </row>
        <row r="39">
          <cell r="C39" t="e">
            <v>#N/A</v>
          </cell>
        </row>
        <row r="40">
          <cell r="C40" t="e">
            <v>#N/A</v>
          </cell>
        </row>
        <row r="41">
          <cell r="C41" t="e">
            <v>#N/A</v>
          </cell>
        </row>
        <row r="45">
          <cell r="C45" t="e">
            <v>#N/A</v>
          </cell>
        </row>
        <row r="46">
          <cell r="C46" t="e">
            <v>#N/A</v>
          </cell>
        </row>
        <row r="47">
          <cell r="C47" t="e">
            <v>#N/A</v>
          </cell>
        </row>
        <row r="48">
          <cell r="C48" t="e">
            <v>#N/A</v>
          </cell>
        </row>
        <row r="50">
          <cell r="C50" t="e">
            <v>#N/A</v>
          </cell>
        </row>
        <row r="51">
          <cell r="C51" t="e">
            <v>#N/A</v>
          </cell>
        </row>
        <row r="52">
          <cell r="C52">
            <v>0</v>
          </cell>
        </row>
        <row r="53">
          <cell r="C53" t="e">
            <v>#N/A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e">
            <v>#N/A</v>
          </cell>
        </row>
        <row r="57">
          <cell r="C57" t="e">
            <v>#N/A</v>
          </cell>
        </row>
        <row r="58">
          <cell r="C58">
            <v>0</v>
          </cell>
        </row>
        <row r="59">
          <cell r="C59" t="e">
            <v>#N/A</v>
          </cell>
        </row>
        <row r="61">
          <cell r="C61" t="str">
            <v>No</v>
          </cell>
        </row>
        <row r="62">
          <cell r="C62">
            <v>0</v>
          </cell>
        </row>
        <row r="63">
          <cell r="C63" t="str">
            <v>not a Multiple year submission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e">
            <v>#N/A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>
        <row r="16">
          <cell r="AL16" t="str">
            <v>United Energy</v>
          </cell>
        </row>
        <row r="24">
          <cell r="BQ24" t="str">
            <v/>
          </cell>
        </row>
        <row r="42">
          <cell r="AR42" t="str">
            <v>2020-21</v>
          </cell>
        </row>
        <row r="61">
          <cell r="AR61" t="str">
            <v>Revised regulatory proposal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7">
          <cell r="G7" t="str">
            <v>Subtransmission</v>
          </cell>
          <cell r="J7">
            <v>469.89999816057184</v>
          </cell>
          <cell r="L7" t="str">
            <v>n/a</v>
          </cell>
          <cell r="M7">
            <v>60</v>
          </cell>
          <cell r="N7">
            <v>308.1069617243819</v>
          </cell>
          <cell r="O7">
            <v>24.980345453903148</v>
          </cell>
          <cell r="P7">
            <v>45</v>
          </cell>
        </row>
        <row r="8">
          <cell r="G8" t="str">
            <v>Distribution system assets</v>
          </cell>
          <cell r="J8">
            <v>1812.2547067544454</v>
          </cell>
          <cell r="L8" t="str">
            <v>n/a</v>
          </cell>
          <cell r="M8">
            <v>35.6</v>
          </cell>
          <cell r="N8">
            <v>1530.7754449922531</v>
          </cell>
          <cell r="O8">
            <v>35.324096350519262</v>
          </cell>
          <cell r="P8">
            <v>46</v>
          </cell>
        </row>
        <row r="9">
          <cell r="G9" t="str">
            <v>Public Lighting</v>
          </cell>
          <cell r="J9">
            <v>-1.7930140184126691E-15</v>
          </cell>
          <cell r="L9" t="str">
            <v>n/a</v>
          </cell>
          <cell r="M9" t="str">
            <v>n/a</v>
          </cell>
          <cell r="N9">
            <v>0</v>
          </cell>
          <cell r="O9" t="str">
            <v>n/a</v>
          </cell>
          <cell r="P9" t="str">
            <v>n/a</v>
          </cell>
        </row>
        <row r="10">
          <cell r="G10" t="str">
            <v>SCADA (10-year asset)</v>
          </cell>
          <cell r="J10">
            <v>27.811123190186525</v>
          </cell>
          <cell r="L10" t="str">
            <v>n/a</v>
          </cell>
          <cell r="M10">
            <v>10</v>
          </cell>
          <cell r="N10">
            <v>26.726079676918047</v>
          </cell>
          <cell r="O10">
            <v>8.0063801950889424</v>
          </cell>
          <cell r="P10">
            <v>10</v>
          </cell>
        </row>
        <row r="11">
          <cell r="G11" t="str">
            <v>Non-network general assets - IT</v>
          </cell>
          <cell r="J11">
            <v>70.65347681838891</v>
          </cell>
          <cell r="L11" t="str">
            <v>n/a</v>
          </cell>
          <cell r="M11">
            <v>5</v>
          </cell>
          <cell r="N11">
            <v>64.358556855524711</v>
          </cell>
          <cell r="O11">
            <v>2.9543331544955094</v>
          </cell>
          <cell r="P11">
            <v>4</v>
          </cell>
        </row>
        <row r="12">
          <cell r="G12" t="str">
            <v>Non-network general assets - Other</v>
          </cell>
          <cell r="J12">
            <v>22.069470223483894</v>
          </cell>
          <cell r="L12" t="str">
            <v>n/a</v>
          </cell>
          <cell r="M12">
            <v>7.5</v>
          </cell>
          <cell r="N12">
            <v>40.429157568184081</v>
          </cell>
          <cell r="O12">
            <v>8.9210666476204032</v>
          </cell>
          <cell r="P12">
            <v>12</v>
          </cell>
        </row>
        <row r="13">
          <cell r="G13" t="str">
            <v>Land</v>
          </cell>
          <cell r="J13">
            <v>0</v>
          </cell>
          <cell r="L13" t="str">
            <v>n/a</v>
          </cell>
          <cell r="M13" t="str">
            <v>n/a</v>
          </cell>
          <cell r="N13">
            <v>42.875621910238998</v>
          </cell>
          <cell r="O13" t="str">
            <v>n/a</v>
          </cell>
          <cell r="P13" t="str">
            <v>n/a</v>
          </cell>
        </row>
        <row r="14">
          <cell r="G14" t="str">
            <v>SCADA (5-year asset)</v>
          </cell>
          <cell r="J14">
            <v>-1.195843499500429</v>
          </cell>
          <cell r="L14" t="str">
            <v>n/a</v>
          </cell>
          <cell r="M14">
            <v>5</v>
          </cell>
          <cell r="N14">
            <v>-2.2204460492503131E-16</v>
          </cell>
          <cell r="O14">
            <v>5</v>
          </cell>
          <cell r="P14">
            <v>5</v>
          </cell>
        </row>
        <row r="15">
          <cell r="G15" t="str">
            <v>Accelerated depreciation assets</v>
          </cell>
          <cell r="J15">
            <v>0.2296878097345133</v>
          </cell>
          <cell r="L15" t="str">
            <v>n/a</v>
          </cell>
          <cell r="M15" t="str">
            <v>n/a</v>
          </cell>
          <cell r="N15">
            <v>0.17477148691837102</v>
          </cell>
          <cell r="O15">
            <v>5</v>
          </cell>
          <cell r="P15" t="str">
            <v>n/a</v>
          </cell>
        </row>
        <row r="55">
          <cell r="G55" t="str">
            <v>In-house software</v>
          </cell>
          <cell r="J55">
            <v>0</v>
          </cell>
          <cell r="L55" t="str">
            <v>n/a</v>
          </cell>
          <cell r="M55">
            <v>5</v>
          </cell>
          <cell r="N55">
            <v>0</v>
          </cell>
          <cell r="O55" t="str">
            <v>n/a</v>
          </cell>
          <cell r="P55">
            <v>5</v>
          </cell>
        </row>
        <row r="56">
          <cell r="G56" t="str">
            <v>Equity raising costs</v>
          </cell>
          <cell r="J56">
            <v>8.9477434160356939</v>
          </cell>
          <cell r="L56" t="str">
            <v>n/a</v>
          </cell>
          <cell r="M56">
            <v>27.947819800479039</v>
          </cell>
          <cell r="N56">
            <v>1.2348459000237717</v>
          </cell>
          <cell r="O56">
            <v>3.2471068374940315</v>
          </cell>
          <cell r="P56">
            <v>5</v>
          </cell>
        </row>
        <row r="57">
          <cell r="J57">
            <v>2410.6703628733462</v>
          </cell>
        </row>
        <row r="110">
          <cell r="G110">
            <v>0</v>
          </cell>
        </row>
        <row r="373">
          <cell r="G373">
            <v>2.3743086789108414E-2</v>
          </cell>
        </row>
        <row r="375">
          <cell r="G375">
            <v>0.58499999999999996</v>
          </cell>
        </row>
        <row r="376">
          <cell r="G376">
            <v>0.6</v>
          </cell>
        </row>
        <row r="386">
          <cell r="G386">
            <v>0.9</v>
          </cell>
        </row>
        <row r="387">
          <cell r="G387">
            <v>0.03</v>
          </cell>
        </row>
        <row r="388">
          <cell r="G388">
            <v>0.01</v>
          </cell>
        </row>
        <row r="389">
          <cell r="G389">
            <v>0.3</v>
          </cell>
        </row>
        <row r="390">
          <cell r="G390">
            <v>8.0486269142356905E-4</v>
          </cell>
        </row>
      </sheetData>
      <sheetData sheetId="9">
        <row r="18">
          <cell r="G18">
            <v>4.6235656001975094E-2</v>
          </cell>
          <cell r="H18">
            <v>4.4587499558037591E-2</v>
          </cell>
          <cell r="I18">
            <v>4.2939343114100095E-2</v>
          </cell>
          <cell r="J18">
            <v>4.1291186670162586E-2</v>
          </cell>
          <cell r="K18">
            <v>3.964303022622509E-2</v>
          </cell>
          <cell r="L18">
            <v>3.964303022622509E-2</v>
          </cell>
          <cell r="M18">
            <v>3.964303022622509E-2</v>
          </cell>
          <cell r="N18">
            <v>3.964303022622509E-2</v>
          </cell>
          <cell r="O18">
            <v>3.964303022622509E-2</v>
          </cell>
          <cell r="P18">
            <v>3.964303022622509E-2</v>
          </cell>
        </row>
        <row r="19">
          <cell r="G19">
            <v>2.1970911943750338E-2</v>
          </cell>
          <cell r="H19">
            <v>2.0360980247794605E-2</v>
          </cell>
          <cell r="I19">
            <v>1.8751048551838602E-2</v>
          </cell>
          <cell r="J19">
            <v>1.7141116855882731E-2</v>
          </cell>
          <cell r="K19">
            <v>1.5531185159926863E-2</v>
          </cell>
          <cell r="L19">
            <v>1.5531185159926863E-2</v>
          </cell>
          <cell r="M19">
            <v>1.5531185159926863E-2</v>
          </cell>
          <cell r="N19">
            <v>1.5531185159926863E-2</v>
          </cell>
          <cell r="O19">
            <v>1.5531185159926863E-2</v>
          </cell>
          <cell r="P19">
            <v>1.5531185159926863E-2</v>
          </cell>
        </row>
      </sheetData>
      <sheetData sheetId="10" refreshError="1"/>
      <sheetData sheetId="11" refreshError="1"/>
      <sheetData sheetId="12" refreshError="1"/>
      <sheetData sheetId="13">
        <row r="47">
          <cell r="G47">
            <v>4.4951852278776558E-2</v>
          </cell>
          <cell r="H47">
            <v>5.1317375234451124E-2</v>
          </cell>
          <cell r="I47">
            <v>5.1430044323603416E-2</v>
          </cell>
          <cell r="J47">
            <v>5.1541631367058055E-2</v>
          </cell>
          <cell r="K47">
            <v>5.1652120914944956E-2</v>
          </cell>
          <cell r="L47">
            <v>3.7695543741994617E-2</v>
          </cell>
          <cell r="M47">
            <v>3.7695543741994617E-2</v>
          </cell>
          <cell r="N47">
            <v>3.7695543741994617E-2</v>
          </cell>
          <cell r="O47">
            <v>3.7695543741994617E-2</v>
          </cell>
          <cell r="P47">
            <v>3.7695543741994617E-2</v>
          </cell>
        </row>
        <row r="63">
          <cell r="G63">
            <v>0.19702442269121592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-3.5639093846409385E-3</v>
          </cell>
          <cell r="M63">
            <v>-3.5639093846409385E-3</v>
          </cell>
          <cell r="N63">
            <v>-3.5639093846409385E-3</v>
          </cell>
          <cell r="O63">
            <v>-3.5639093846409385E-3</v>
          </cell>
          <cell r="P63">
            <v>-3.5639093846409385E-3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4" refreshError="1"/>
      <sheetData sheetId="15">
        <row r="54">
          <cell r="Q54">
            <v>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9"/>
  <sheetViews>
    <sheetView showGridLines="0" workbookViewId="0">
      <selection activeCell="A38" sqref="A38:XFD39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193</v>
      </c>
      <c r="D10" s="7" t="s">
        <v>180</v>
      </c>
    </row>
    <row r="11" spans="1:47">
      <c r="C11" s="19" t="s">
        <v>59</v>
      </c>
      <c r="D11" s="7" t="s">
        <v>50</v>
      </c>
    </row>
    <row r="12" spans="1:47">
      <c r="C12" s="19" t="s">
        <v>194</v>
      </c>
      <c r="D12" s="7" t="s">
        <v>181</v>
      </c>
    </row>
    <row r="13" spans="1:47">
      <c r="C13" s="19" t="s">
        <v>195</v>
      </c>
      <c r="D13" s="7" t="s">
        <v>182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05C2-3189-4FB7-8BFA-5F16BAE613D6}">
  <sheetPr>
    <tabColor rgb="FF00FFFF"/>
  </sheetPr>
  <dimension ref="A1:D30"/>
  <sheetViews>
    <sheetView showGridLines="0" workbookViewId="0">
      <selection activeCell="D30" sqref="D30"/>
    </sheetView>
  </sheetViews>
  <sheetFormatPr defaultRowHeight="12.75"/>
  <cols>
    <col min="1" max="1" width="18.1640625" style="222" customWidth="1"/>
    <col min="2" max="2" width="22" style="222" customWidth="1"/>
    <col min="3" max="3" width="25.83203125" style="222" customWidth="1"/>
    <col min="4" max="4" width="69.1640625" style="222" bestFit="1" customWidth="1"/>
    <col min="5" max="16384" width="9.33203125" style="222"/>
  </cols>
  <sheetData>
    <row r="1" spans="1:4">
      <c r="A1" s="245" t="s">
        <v>250</v>
      </c>
      <c r="B1" s="246"/>
    </row>
    <row r="3" spans="1:4">
      <c r="A3" s="223" t="s">
        <v>27</v>
      </c>
      <c r="B3" s="223" t="s">
        <v>208</v>
      </c>
      <c r="C3" s="223" t="s">
        <v>209</v>
      </c>
      <c r="D3" s="223"/>
    </row>
    <row r="4" spans="1:4">
      <c r="A4" s="224" t="s">
        <v>224</v>
      </c>
      <c r="B4" s="224" t="s">
        <v>225</v>
      </c>
      <c r="C4" s="224" t="s">
        <v>226</v>
      </c>
      <c r="D4" s="226"/>
    </row>
    <row r="5" spans="1:4">
      <c r="A5" s="222" t="s">
        <v>210</v>
      </c>
      <c r="B5" s="224" t="s">
        <v>236</v>
      </c>
      <c r="C5" s="224" t="s">
        <v>237</v>
      </c>
      <c r="D5" s="226"/>
    </row>
    <row r="6" spans="1:4">
      <c r="A6" s="222" t="s">
        <v>210</v>
      </c>
      <c r="B6" s="222" t="s">
        <v>211</v>
      </c>
      <c r="C6" s="222" t="s">
        <v>212</v>
      </c>
      <c r="D6" s="222" t="s">
        <v>230</v>
      </c>
    </row>
    <row r="7" spans="1:4">
      <c r="A7" s="222" t="s">
        <v>210</v>
      </c>
      <c r="B7" s="222" t="s">
        <v>240</v>
      </c>
      <c r="C7" s="222" t="s">
        <v>234</v>
      </c>
      <c r="D7" s="222" t="s">
        <v>239</v>
      </c>
    </row>
    <row r="8" spans="1:4">
      <c r="A8" s="222" t="s">
        <v>210</v>
      </c>
      <c r="B8" s="222" t="s">
        <v>241</v>
      </c>
      <c r="C8" s="222" t="s">
        <v>212</v>
      </c>
      <c r="D8" s="222" t="s">
        <v>231</v>
      </c>
    </row>
    <row r="9" spans="1:4">
      <c r="A9" s="222" t="s">
        <v>210</v>
      </c>
      <c r="B9" s="222" t="s">
        <v>242</v>
      </c>
      <c r="C9" s="222" t="s">
        <v>234</v>
      </c>
      <c r="D9" s="222" t="s">
        <v>238</v>
      </c>
    </row>
    <row r="10" spans="1:4">
      <c r="A10" s="222" t="s">
        <v>213</v>
      </c>
      <c r="B10" s="222" t="s">
        <v>214</v>
      </c>
      <c r="C10" s="222" t="s">
        <v>79</v>
      </c>
      <c r="D10" s="222" t="s">
        <v>215</v>
      </c>
    </row>
    <row r="11" spans="1:4">
      <c r="A11" s="222" t="s">
        <v>213</v>
      </c>
      <c r="B11" s="222" t="s">
        <v>216</v>
      </c>
      <c r="C11" s="222" t="s">
        <v>79</v>
      </c>
      <c r="D11" s="222" t="s">
        <v>217</v>
      </c>
    </row>
    <row r="12" spans="1:4">
      <c r="A12" s="222" t="s">
        <v>213</v>
      </c>
      <c r="B12" s="222" t="s">
        <v>218</v>
      </c>
      <c r="C12" s="222" t="s">
        <v>79</v>
      </c>
      <c r="D12" s="222" t="s">
        <v>219</v>
      </c>
    </row>
    <row r="13" spans="1:4">
      <c r="A13" s="222" t="s">
        <v>220</v>
      </c>
      <c r="B13" s="222" t="s">
        <v>232</v>
      </c>
      <c r="C13" s="222" t="s">
        <v>102</v>
      </c>
      <c r="D13" s="222" t="s">
        <v>221</v>
      </c>
    </row>
    <row r="14" spans="1:4">
      <c r="A14" s="222" t="s">
        <v>220</v>
      </c>
      <c r="B14" s="222" t="s">
        <v>244</v>
      </c>
      <c r="C14" s="222" t="s">
        <v>243</v>
      </c>
      <c r="D14" s="222" t="s">
        <v>245</v>
      </c>
    </row>
    <row r="15" spans="1:4">
      <c r="A15" s="222" t="s">
        <v>220</v>
      </c>
      <c r="B15" s="222" t="s">
        <v>222</v>
      </c>
      <c r="C15" s="222" t="s">
        <v>39</v>
      </c>
      <c r="D15" s="222" t="s">
        <v>223</v>
      </c>
    </row>
    <row r="19" spans="1:4">
      <c r="A19" s="243" t="s">
        <v>248</v>
      </c>
      <c r="B19" s="244"/>
    </row>
    <row r="21" spans="1:4">
      <c r="A21" s="223" t="s">
        <v>27</v>
      </c>
      <c r="B21" s="223" t="s">
        <v>208</v>
      </c>
      <c r="C21" s="223" t="s">
        <v>209</v>
      </c>
      <c r="D21" s="223"/>
    </row>
    <row r="22" spans="1:4">
      <c r="A22" s="222" t="s">
        <v>220</v>
      </c>
      <c r="B22" s="222" t="s">
        <v>246</v>
      </c>
      <c r="C22" s="222" t="s">
        <v>243</v>
      </c>
      <c r="D22" s="222" t="s">
        <v>247</v>
      </c>
    </row>
    <row r="27" spans="1:4">
      <c r="A27" s="251" t="s">
        <v>252</v>
      </c>
      <c r="B27" s="251"/>
    </row>
    <row r="29" spans="1:4">
      <c r="A29" s="223" t="s">
        <v>27</v>
      </c>
      <c r="B29" s="223" t="s">
        <v>208</v>
      </c>
      <c r="C29" s="223" t="s">
        <v>209</v>
      </c>
      <c r="D29" s="223"/>
    </row>
    <row r="30" spans="1:4">
      <c r="A30" s="222" t="s">
        <v>220</v>
      </c>
      <c r="B30" s="222" t="s">
        <v>253</v>
      </c>
      <c r="C30" s="222" t="s">
        <v>254</v>
      </c>
      <c r="D30" s="222" t="s">
        <v>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35"/>
  <sheetViews>
    <sheetView showGridLines="0" zoomScaleNormal="100" workbookViewId="0">
      <selection activeCell="G8" sqref="G8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207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227" t="s">
        <v>235</v>
      </c>
      <c r="H8" s="29"/>
      <c r="I8" s="29"/>
      <c r="S8" s="131" t="str">
        <f>IF(COUNTBLANK($G8),"Check","Ok")</f>
        <v>Ok</v>
      </c>
    </row>
    <row r="9" spans="1:47">
      <c r="C9" s="29" t="s">
        <v>189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190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191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147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192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  <row r="30" spans="1:47" hidden="1"/>
    <row r="31" spans="1:47" hidden="1"/>
    <row r="32" spans="1:47" hidden="1"/>
    <row r="33" hidden="1"/>
    <row r="34" hidden="1"/>
    <row r="35" hidden="1"/>
  </sheetData>
  <dataConsolidate/>
  <conditionalFormatting sqref="W16:W17">
    <cfRule type="cellIs" dxfId="261" priority="13" operator="equal">
      <formula>"Check"</formula>
    </cfRule>
    <cfRule type="cellIs" dxfId="260" priority="14" operator="equal">
      <formula>"Ok"</formula>
    </cfRule>
  </conditionalFormatting>
  <conditionalFormatting sqref="V1">
    <cfRule type="cellIs" dxfId="259" priority="3" operator="equal">
      <formula>"Check"</formula>
    </cfRule>
    <cfRule type="cellIs" dxfId="258" priority="4" operator="equal">
      <formula>"Ok"</formula>
    </cfRule>
  </conditionalFormatting>
  <conditionalFormatting sqref="S7:S16">
    <cfRule type="cellIs" dxfId="257" priority="5" operator="equal">
      <formula>"Check"</formula>
    </cfRule>
    <cfRule type="cellIs" dxfId="256" priority="6" operator="equal">
      <formula>"Ok"</formula>
    </cfRule>
  </conditionalFormatting>
  <conditionalFormatting sqref="S1">
    <cfRule type="cellIs" dxfId="255" priority="1" operator="equal">
      <formula>"Check"</formula>
    </cfRule>
    <cfRule type="cellIs" dxfId="254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"draft,revised proposal,final"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2"/>
  <sheetViews>
    <sheetView showGridLines="0" topLeftCell="F1" workbookViewId="0">
      <selection activeCell="R1" sqref="R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34" t="s">
        <v>229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53" priority="11" operator="equal">
      <formula>"Check"</formula>
    </cfRule>
    <cfRule type="cellIs" dxfId="252" priority="12" operator="equal">
      <formula>"Ok"</formula>
    </cfRule>
  </conditionalFormatting>
  <conditionalFormatting sqref="W1">
    <cfRule type="cellIs" dxfId="251" priority="7" operator="equal">
      <formula>"Check"</formula>
    </cfRule>
    <cfRule type="cellIs" dxfId="250" priority="8" operator="equal">
      <formula>"Ok"</formula>
    </cfRule>
  </conditionalFormatting>
  <conditionalFormatting sqref="T1">
    <cfRule type="cellIs" dxfId="249" priority="5" operator="equal">
      <formula>"Check"</formula>
    </cfRule>
    <cfRule type="cellIs" dxfId="248" priority="6" operator="equal">
      <formula>"Ok"</formula>
    </cfRule>
  </conditionalFormatting>
  <conditionalFormatting sqref="X51:X57">
    <cfRule type="cellIs" dxfId="247" priority="3" operator="equal">
      <formula>"Check"</formula>
    </cfRule>
    <cfRule type="cellIs" dxfId="246" priority="4" operator="equal">
      <formula>"Ok"</formula>
    </cfRule>
  </conditionalFormatting>
  <conditionalFormatting sqref="X58:X62 T9:T84">
    <cfRule type="cellIs" dxfId="245" priority="1" operator="equal">
      <formula>"Check"</formula>
    </cfRule>
    <cfRule type="cellIs" dxfId="244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99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7" width="3.33203125" style="103" customWidth="1"/>
    <col min="8" max="8" width="7.1640625" style="103" customWidth="1"/>
    <col min="9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Q1" s="69"/>
      <c r="R1" s="72" t="s">
        <v>81</v>
      </c>
      <c r="S1" s="76" t="str">
        <f>IF(COUNTA($X$29:$X$290)=COUNTIF($X$29:$X$290,"OK"),"OK","Check")</f>
        <v>OK</v>
      </c>
      <c r="T1" s="76"/>
      <c r="U1" s="69"/>
      <c r="V1" s="185" t="s">
        <v>24</v>
      </c>
      <c r="W1" s="76" t="str">
        <f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199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140.25047591075102</v>
      </c>
      <c r="K13" s="161">
        <v>143.25458920826628</v>
      </c>
      <c r="L13" s="161">
        <v>146.36585607001172</v>
      </c>
      <c r="M13" s="161">
        <v>147.27756687031641</v>
      </c>
      <c r="N13" s="161">
        <v>149.19873019776318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140.25047591075102</v>
      </c>
      <c r="K15" s="129">
        <f t="shared" ref="K15:T15" si="1">K13</f>
        <v>143.25458920826628</v>
      </c>
      <c r="L15" s="129">
        <f t="shared" si="1"/>
        <v>146.36585607001172</v>
      </c>
      <c r="M15" s="129">
        <f t="shared" si="1"/>
        <v>147.27756687031641</v>
      </c>
      <c r="N15" s="129">
        <f t="shared" si="1"/>
        <v>149.19873019776318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156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1.0661805740472128</v>
      </c>
      <c r="K19" s="161">
        <v>1.1089262448318917</v>
      </c>
      <c r="L19" s="161">
        <v>1.1553256470376421</v>
      </c>
      <c r="M19" s="161">
        <v>1.1831147888265721</v>
      </c>
      <c r="N19" s="161">
        <v>1.2024526319004227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185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0.60413753969717277</v>
      </c>
      <c r="K20" s="161">
        <v>0.60413753969717277</v>
      </c>
      <c r="L20" s="161">
        <v>0.60413753969717277</v>
      </c>
      <c r="M20" s="161">
        <v>0.60413753969717277</v>
      </c>
      <c r="N20" s="161">
        <v>0.60413753969717277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154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1.6703181137443854</v>
      </c>
      <c r="K29" s="129">
        <f t="shared" ref="K29:S29" si="4">SUM(K19:K27)</f>
        <v>1.7130637845290644</v>
      </c>
      <c r="L29" s="129">
        <f t="shared" si="4"/>
        <v>1.7594631867348149</v>
      </c>
      <c r="M29" s="129">
        <f t="shared" si="4"/>
        <v>1.7872523285237447</v>
      </c>
      <c r="N29" s="129">
        <f t="shared" si="4"/>
        <v>1.8065901715975956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200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81.71514635035328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81.71514635035328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156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0.60714455901382425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185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0.32785189985803337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154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0.93499645887185756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138.42794329502553</v>
      </c>
      <c r="K60" s="161">
        <v>133.02997606209951</v>
      </c>
      <c r="L60" s="161">
        <v>109.98414999868766</v>
      </c>
      <c r="M60" s="161">
        <v>112.27959799999999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176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173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1.888996125025</v>
      </c>
      <c r="K64" s="161">
        <v>-3.0536307299999996</v>
      </c>
      <c r="L64" s="161">
        <v>-2.9963570350878399</v>
      </c>
      <c r="M64" s="161">
        <v>-5.2018579999999996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184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0.50545342999999998</v>
      </c>
      <c r="K65" s="161">
        <v>0.35026671999999998</v>
      </c>
      <c r="L65" s="161">
        <v>0.21057397</v>
      </c>
      <c r="M65" s="161">
        <v>0.452822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186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174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136.03349374000052</v>
      </c>
      <c r="K70" s="129">
        <f t="shared" ref="K70:S70" si="12">K60-SUM(K64:K68)</f>
        <v>135.73334007209951</v>
      </c>
      <c r="L70" s="129">
        <f t="shared" si="12"/>
        <v>112.7699330637755</v>
      </c>
      <c r="M70" s="129">
        <f t="shared" si="12"/>
        <v>117.028634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185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0.71394000000000002</v>
      </c>
      <c r="K75" s="161">
        <v>0.79210000000000003</v>
      </c>
      <c r="L75" s="161">
        <v>0.65620934930009922</v>
      </c>
      <c r="M75" s="161">
        <v>8.0000000000000002E-3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154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0.71394000000000002</v>
      </c>
      <c r="K79" s="184">
        <f t="shared" ref="K79:S79" si="14">SUM(K74:K77)</f>
        <v>0.79210000000000003</v>
      </c>
      <c r="L79" s="184">
        <f t="shared" si="14"/>
        <v>0.65620934930009922</v>
      </c>
      <c r="M79" s="184">
        <f t="shared" si="14"/>
        <v>8.0000000000000002E-3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8"/>
      <c r="B84" s="8"/>
      <c r="C84" s="228" t="s">
        <v>227</v>
      </c>
      <c r="D84" s="16" t="s">
        <v>34</v>
      </c>
      <c r="E84" s="16" t="str">
        <f>$E$79</f>
        <v>$millions</v>
      </c>
      <c r="F84" s="229" t="str">
        <f t="shared" ref="F84:F85" si="15">$F$79</f>
        <v>nominal</v>
      </c>
      <c r="G84" s="21"/>
      <c r="H84" s="230">
        <v>0.88</v>
      </c>
      <c r="I84" s="21"/>
      <c r="J84" s="225"/>
      <c r="K84" s="231"/>
      <c r="L84" s="231"/>
      <c r="M84" s="232">
        <v>1.055652</v>
      </c>
      <c r="N84" s="8"/>
      <c r="O84" s="8"/>
      <c r="P84" s="8"/>
      <c r="Q84" s="225"/>
      <c r="R84" s="225"/>
      <c r="S84" s="225"/>
      <c r="T84" s="225"/>
      <c r="U84" s="8"/>
      <c r="V84" s="8"/>
      <c r="W84" s="8"/>
      <c r="X84" s="29"/>
    </row>
    <row r="85" spans="1:24">
      <c r="A85" s="8"/>
      <c r="B85" s="8"/>
      <c r="C85" s="238" t="s">
        <v>234</v>
      </c>
      <c r="D85" s="16" t="s">
        <v>34</v>
      </c>
      <c r="E85" s="16" t="str">
        <f>$E$79</f>
        <v>$millions</v>
      </c>
      <c r="F85" s="229" t="str">
        <f t="shared" si="15"/>
        <v>nominal</v>
      </c>
      <c r="G85" s="21"/>
      <c r="H85" s="8"/>
      <c r="I85" s="21"/>
      <c r="J85" s="225"/>
      <c r="K85" s="231"/>
      <c r="L85" s="231"/>
      <c r="M85" s="233">
        <v>2.3348874999999998</v>
      </c>
      <c r="N85" s="8"/>
      <c r="O85" s="8"/>
      <c r="P85" s="8"/>
      <c r="Q85" s="225"/>
      <c r="R85" s="225"/>
      <c r="S85" s="225"/>
      <c r="T85" s="225"/>
      <c r="U85" s="8"/>
      <c r="V85" s="8"/>
      <c r="W85" s="8"/>
      <c r="X85" s="29"/>
    </row>
    <row r="86" spans="1:2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25"/>
      <c r="R86" s="225"/>
      <c r="S86" s="225"/>
      <c r="T86" s="225"/>
      <c r="U86" s="8"/>
      <c r="V86" s="8"/>
      <c r="W86" s="8"/>
      <c r="X86" s="29"/>
    </row>
    <row r="87" spans="1:24">
      <c r="A87" s="29"/>
      <c r="B87" s="29"/>
      <c r="C87" s="61" t="s">
        <v>204</v>
      </c>
      <c r="D87" s="30" t="s">
        <v>34</v>
      </c>
      <c r="E87" s="30" t="str">
        <f>$E$79</f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233">
        <f>M84*IF($F84="nominal",LOOKUP($F87,Nominal_to_Real,'Input|Rate of change'!P$26:P$32),INDEX('Input|Rate of change'!$C$14:$P$22,MATCH('Calc|Opex forecast'!$F84,'Input|Rate of change'!$C$14:$C$22,0),MATCH('Calc|Opex forecast'!$F85,'Input|Rate of change'!$C$14:$P$14,0)))*IF($E84="$millions",1000000,IF($E84="$000",1000,1))/IF($E87="$millions",1000000,IF($E87="$000",1000,1))*H84</f>
        <v>0.92968214799145399</v>
      </c>
      <c r="P87" s="161"/>
      <c r="Q87" s="161"/>
      <c r="R87" s="161"/>
      <c r="S87" s="161"/>
      <c r="T87" s="161"/>
      <c r="U87" s="29"/>
      <c r="V87" s="142"/>
      <c r="W87" s="142"/>
      <c r="X87" s="29"/>
    </row>
    <row r="88" spans="1:24">
      <c r="A88" s="29"/>
      <c r="B88" s="29"/>
      <c r="C88" s="61" t="s">
        <v>205</v>
      </c>
      <c r="D88" s="30" t="s">
        <v>34</v>
      </c>
      <c r="E88" s="30" t="str">
        <f t="shared" ref="E88:E93" si="16">$E$79</f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0.21792843031231496</v>
      </c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206</v>
      </c>
      <c r="D89" s="30" t="s">
        <v>34</v>
      </c>
      <c r="E89" s="30" t="str">
        <f t="shared" si="16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>
        <v>3.5</v>
      </c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>
      <c r="A90" s="29"/>
      <c r="B90" s="29"/>
      <c r="C90" s="238" t="s">
        <v>234</v>
      </c>
      <c r="D90" s="30" t="s">
        <v>34</v>
      </c>
      <c r="E90" s="30" t="str">
        <f t="shared" si="16"/>
        <v>$millions</v>
      </c>
      <c r="F90" s="169">
        <v>44348</v>
      </c>
      <c r="G90" s="32"/>
      <c r="H90" s="32"/>
      <c r="I90" s="32"/>
      <c r="J90" s="161"/>
      <c r="K90" s="161"/>
      <c r="L90" s="161"/>
      <c r="M90" s="240">
        <f>-M85*IF($F85="nominal",LOOKUP($F90,Nominal_to_Real,'Input|Rate of change'!N$26:N$32),INDEX('Input|Rate of change'!$C$14:$P$22,MATCH('Calc|Opex forecast'!$F88,'Input|Rate of change'!$C$14:$C$22,0),MATCH('Calc|Opex forecast'!$F89,'Input|Rate of change'!$C$14:$P$14,0)))*IF($E85="$millions",1000000,IF($E85="$000",1000,1))/IF($E90="$millions",1000000,IF($E90="$000",1000,1))</f>
        <v>-2.389369540677257</v>
      </c>
      <c r="N90" s="231"/>
      <c r="O90" s="233">
        <f>M90</f>
        <v>-2.389369540677257</v>
      </c>
      <c r="P90" s="161"/>
      <c r="Q90" s="161"/>
      <c r="R90" s="161"/>
      <c r="S90" s="161"/>
      <c r="T90" s="161"/>
      <c r="U90" s="124"/>
      <c r="V90" s="142"/>
      <c r="W90" s="142"/>
      <c r="X90" s="29"/>
    </row>
    <row r="91" spans="1:24">
      <c r="A91" s="29"/>
      <c r="B91" s="29"/>
      <c r="C91" s="61"/>
      <c r="D91" s="30" t="s">
        <v>34</v>
      </c>
      <c r="E91" s="30" t="str">
        <f t="shared" si="16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175</v>
      </c>
      <c r="D93" s="30" t="s">
        <v>34</v>
      </c>
      <c r="E93" s="30" t="str">
        <f t="shared" si="16"/>
        <v>$millions</v>
      </c>
      <c r="F93" s="169">
        <v>44348</v>
      </c>
      <c r="G93" s="32"/>
      <c r="H93" s="32"/>
      <c r="I93" s="32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24"/>
      <c r="V93" s="142"/>
      <c r="W93" s="142"/>
      <c r="X93" s="29"/>
    </row>
    <row r="94" spans="1:24" s="102" customFormat="1">
      <c r="A94" s="195"/>
      <c r="B94" s="195"/>
      <c r="C94" s="196"/>
      <c r="D94" s="105"/>
      <c r="E94" s="105"/>
      <c r="F94" s="197"/>
      <c r="G94" s="198"/>
      <c r="H94" s="198"/>
      <c r="I94" s="198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04"/>
      <c r="V94" s="162"/>
      <c r="W94" s="162"/>
      <c r="X94" s="195"/>
    </row>
    <row r="95" spans="1:24">
      <c r="A95" s="29"/>
      <c r="B95" s="29"/>
      <c r="C95" s="61" t="s">
        <v>88</v>
      </c>
      <c r="D95" s="30" t="s">
        <v>34</v>
      </c>
      <c r="E95" s="30" t="s">
        <v>31</v>
      </c>
      <c r="F95" s="32"/>
      <c r="G95" s="32"/>
      <c r="H95" s="32"/>
      <c r="I95" s="32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124"/>
      <c r="V95" s="142"/>
      <c r="W95" s="142"/>
      <c r="X95" s="29"/>
    </row>
    <row r="96" spans="1:24">
      <c r="A96" s="29"/>
      <c r="B96" s="29"/>
      <c r="C96" s="111"/>
      <c r="D96" s="30"/>
      <c r="E96" s="30"/>
      <c r="F96" s="30"/>
      <c r="G96" s="32"/>
      <c r="H96" s="32"/>
      <c r="I96" s="30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</row>
    <row r="97" spans="1:24" ht="12.75">
      <c r="A97" s="94"/>
      <c r="B97" s="95" t="s">
        <v>21</v>
      </c>
      <c r="C97" s="94"/>
      <c r="D97" s="94"/>
      <c r="E97" s="94"/>
      <c r="F97" s="96"/>
      <c r="G97" s="96"/>
      <c r="H97" s="96"/>
      <c r="I97" s="96"/>
      <c r="J97" s="97"/>
      <c r="K97" s="98"/>
      <c r="L97" s="97"/>
      <c r="M97" s="98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8"/>
    </row>
    <row r="98" spans="1:24"/>
    <row r="99" spans="1:24"/>
  </sheetData>
  <conditionalFormatting sqref="X60 X74:X77 X64:X68">
    <cfRule type="cellIs" dxfId="243" priority="64" operator="equal">
      <formula>"Check"</formula>
    </cfRule>
    <cfRule type="cellIs" dxfId="242" priority="65" operator="equal">
      <formula>"Ok"</formula>
    </cfRule>
  </conditionalFormatting>
  <conditionalFormatting sqref="X79">
    <cfRule type="cellIs" dxfId="241" priority="62" operator="equal">
      <formula>"Check"</formula>
    </cfRule>
    <cfRule type="cellIs" dxfId="240" priority="63" operator="equal">
      <formula>"Ok"</formula>
    </cfRule>
  </conditionalFormatting>
  <conditionalFormatting sqref="X15">
    <cfRule type="cellIs" dxfId="239" priority="60" operator="equal">
      <formula>"Check"</formula>
    </cfRule>
    <cfRule type="cellIs" dxfId="238" priority="61" operator="equal">
      <formula>"Ok"</formula>
    </cfRule>
  </conditionalFormatting>
  <conditionalFormatting sqref="W1">
    <cfRule type="cellIs" dxfId="237" priority="58" operator="equal">
      <formula>"Check"</formula>
    </cfRule>
    <cfRule type="cellIs" dxfId="236" priority="59" operator="equal">
      <formula>"Ok"</formula>
    </cfRule>
  </conditionalFormatting>
  <conditionalFormatting sqref="S1:T1">
    <cfRule type="cellIs" dxfId="235" priority="56" operator="equal">
      <formula>"Check"</formula>
    </cfRule>
    <cfRule type="cellIs" dxfId="234" priority="57" operator="equal">
      <formula>"Ok"</formula>
    </cfRule>
  </conditionalFormatting>
  <conditionalFormatting sqref="J15:T15">
    <cfRule type="cellIs" dxfId="233" priority="55" operator="equal">
      <formula>0</formula>
    </cfRule>
  </conditionalFormatting>
  <conditionalFormatting sqref="J79:S79">
    <cfRule type="cellIs" dxfId="232" priority="54" operator="equal">
      <formula>0</formula>
    </cfRule>
  </conditionalFormatting>
  <conditionalFormatting sqref="X71:X73">
    <cfRule type="cellIs" dxfId="231" priority="52" operator="equal">
      <formula>"Check"</formula>
    </cfRule>
    <cfRule type="cellIs" dxfId="230" priority="53" operator="equal">
      <formula>"Ok"</formula>
    </cfRule>
  </conditionalFormatting>
  <conditionalFormatting sqref="J56:T56 N60:T60 J64:T68 J74:S77">
    <cfRule type="expression" dxfId="229" priority="50">
      <formula>J$57=J$4</formula>
    </cfRule>
  </conditionalFormatting>
  <conditionalFormatting sqref="P13:T13 J21:T27 O19:T20">
    <cfRule type="expression" dxfId="228" priority="49">
      <formula>J$10=J$4</formula>
    </cfRule>
  </conditionalFormatting>
  <conditionalFormatting sqref="J60:O60">
    <cfRule type="expression" dxfId="227" priority="46">
      <formula>J$10=J$4</formula>
    </cfRule>
  </conditionalFormatting>
  <conditionalFormatting sqref="X70">
    <cfRule type="cellIs" dxfId="226" priority="44" operator="equal">
      <formula>"Check"</formula>
    </cfRule>
    <cfRule type="cellIs" dxfId="225" priority="45" operator="equal">
      <formula>"Ok"</formula>
    </cfRule>
  </conditionalFormatting>
  <conditionalFormatting sqref="J70:S70">
    <cfRule type="cellIs" dxfId="224" priority="42" operator="equal">
      <formula>0</formula>
    </cfRule>
  </conditionalFormatting>
  <conditionalFormatting sqref="J91:T91 J93:T93 J95:T95 J87:N89 P87:T90 J90:L90">
    <cfRule type="expression" dxfId="223" priority="41">
      <formula>J$83=J$4</formula>
    </cfRule>
  </conditionalFormatting>
  <conditionalFormatting sqref="X29">
    <cfRule type="cellIs" dxfId="222" priority="37" operator="equal">
      <formula>"Check"</formula>
    </cfRule>
    <cfRule type="cellIs" dxfId="221" priority="38" operator="equal">
      <formula>"Ok"</formula>
    </cfRule>
  </conditionalFormatting>
  <conditionalFormatting sqref="J29:T29">
    <cfRule type="cellIs" dxfId="220" priority="36" operator="equal">
      <formula>0</formula>
    </cfRule>
  </conditionalFormatting>
  <conditionalFormatting sqref="N13">
    <cfRule type="expression" dxfId="219" priority="33">
      <formula>N$57=N$4</formula>
    </cfRule>
  </conditionalFormatting>
  <conditionalFormatting sqref="J13:N13">
    <cfRule type="expression" dxfId="218" priority="32">
      <formula>J$10=J$4</formula>
    </cfRule>
  </conditionalFormatting>
  <conditionalFormatting sqref="O60">
    <cfRule type="expression" dxfId="217" priority="30">
      <formula>O$10=O$4</formula>
    </cfRule>
  </conditionalFormatting>
  <conditionalFormatting sqref="T79">
    <cfRule type="cellIs" dxfId="216" priority="29" operator="equal">
      <formula>0</formula>
    </cfRule>
  </conditionalFormatting>
  <conditionalFormatting sqref="T74:T77">
    <cfRule type="expression" dxfId="215" priority="28">
      <formula>T$57=T$4</formula>
    </cfRule>
  </conditionalFormatting>
  <conditionalFormatting sqref="T70">
    <cfRule type="cellIs" dxfId="214" priority="27" operator="equal">
      <formula>0</formula>
    </cfRule>
  </conditionalFormatting>
  <conditionalFormatting sqref="O12:O13">
    <cfRule type="expression" dxfId="213" priority="25">
      <formula>O$10=O$4</formula>
    </cfRule>
  </conditionalFormatting>
  <conditionalFormatting sqref="X38">
    <cfRule type="cellIs" dxfId="212" priority="23" operator="equal">
      <formula>"Check"</formula>
    </cfRule>
    <cfRule type="cellIs" dxfId="211" priority="24" operator="equal">
      <formula>"Ok"</formula>
    </cfRule>
  </conditionalFormatting>
  <conditionalFormatting sqref="J38:T38">
    <cfRule type="cellIs" dxfId="210" priority="22" operator="equal">
      <formula>0</formula>
    </cfRule>
  </conditionalFormatting>
  <conditionalFormatting sqref="J42:N50 P42:T50">
    <cfRule type="expression" dxfId="209" priority="21">
      <formula>J$33=J$4</formula>
    </cfRule>
  </conditionalFormatting>
  <conditionalFormatting sqref="X52">
    <cfRule type="cellIs" dxfId="208" priority="19" operator="equal">
      <formula>"Check"</formula>
    </cfRule>
    <cfRule type="cellIs" dxfId="207" priority="20" operator="equal">
      <formula>"Ok"</formula>
    </cfRule>
  </conditionalFormatting>
  <conditionalFormatting sqref="J52:T52">
    <cfRule type="cellIs" dxfId="206" priority="18" operator="equal">
      <formula>0</formula>
    </cfRule>
  </conditionalFormatting>
  <conditionalFormatting sqref="J36">
    <cfRule type="expression" dxfId="205" priority="16">
      <formula>J$33=J$4</formula>
    </cfRule>
  </conditionalFormatting>
  <conditionalFormatting sqref="O35">
    <cfRule type="expression" dxfId="204" priority="15">
      <formula>O$10=O$4</formula>
    </cfRule>
  </conditionalFormatting>
  <conditionalFormatting sqref="K36:T36">
    <cfRule type="expression" dxfId="203" priority="13">
      <formula>K$33=K$4</formula>
    </cfRule>
  </conditionalFormatting>
  <conditionalFormatting sqref="O42:O50">
    <cfRule type="expression" dxfId="202" priority="12">
      <formula>O$33=O$4</formula>
    </cfRule>
  </conditionalFormatting>
  <conditionalFormatting sqref="J19:N20">
    <cfRule type="expression" dxfId="201" priority="11">
      <formula>J$10=J$4</formula>
    </cfRule>
  </conditionalFormatting>
  <conditionalFormatting sqref="O88:O89">
    <cfRule type="expression" dxfId="200" priority="10">
      <formula>O$83=O$4</formula>
    </cfRule>
  </conditionalFormatting>
  <conditionalFormatting sqref="O87">
    <cfRule type="cellIs" dxfId="199" priority="9" operator="equal">
      <formula>0</formula>
    </cfRule>
  </conditionalFormatting>
  <conditionalFormatting sqref="O87">
    <cfRule type="cellIs" dxfId="198" priority="8" operator="equal">
      <formula>0</formula>
    </cfRule>
  </conditionalFormatting>
  <conditionalFormatting sqref="K84:L84">
    <cfRule type="expression" dxfId="197" priority="7">
      <formula>K$83=K$4</formula>
    </cfRule>
  </conditionalFormatting>
  <conditionalFormatting sqref="K85:L85">
    <cfRule type="expression" dxfId="196" priority="6">
      <formula>K$83=K$4</formula>
    </cfRule>
  </conditionalFormatting>
  <conditionalFormatting sqref="M85">
    <cfRule type="cellIs" dxfId="195" priority="5" operator="equal">
      <formula>0</formula>
    </cfRule>
  </conditionalFormatting>
  <conditionalFormatting sqref="M85">
    <cfRule type="cellIs" dxfId="194" priority="4" operator="equal">
      <formula>0</formula>
    </cfRule>
  </conditionalFormatting>
  <conditionalFormatting sqref="N90">
    <cfRule type="expression" dxfId="193" priority="3">
      <formula>N$83=N$4</formula>
    </cfRule>
  </conditionalFormatting>
  <conditionalFormatting sqref="O90">
    <cfRule type="cellIs" dxfId="192" priority="2" operator="equal">
      <formula>0</formula>
    </cfRule>
  </conditionalFormatting>
  <conditionalFormatting sqref="O90">
    <cfRule type="cellIs" dxfId="191" priority="1" operator="equal">
      <formula>0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F87:F94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87"/>
  <sheetViews>
    <sheetView showGridLines="0" workbookViewId="0">
      <selection activeCell="A2" sqref="A2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34" t="s">
        <v>229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47"/>
      <c r="L3" s="247"/>
      <c r="M3" s="247"/>
      <c r="N3" s="180"/>
      <c r="O3" s="247"/>
      <c r="P3" s="247"/>
      <c r="Q3" s="247"/>
      <c r="R3" s="247"/>
      <c r="S3" s="247"/>
      <c r="T3" s="247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28" t="s">
        <v>233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35">
        <v>1.3137498473678212E-2</v>
      </c>
      <c r="R39" s="235">
        <v>1.2419523308236181E-2</v>
      </c>
      <c r="S39" s="235">
        <v>1.3751461961990695E-2</v>
      </c>
      <c r="T39" s="235">
        <v>1.6196532715190247E-2</v>
      </c>
      <c r="U39" s="235">
        <v>1.6184913955027823E-2</v>
      </c>
    </row>
    <row r="40" spans="1:50" ht="11.25" customHeight="1" outlineLevel="1">
      <c r="C40" s="228" t="s">
        <v>228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35">
        <f>AVERAGE(Q38:Q39)</f>
        <v>7.762137192630263E-3</v>
      </c>
      <c r="R40" s="235">
        <f t="shared" ref="R40:U40" si="35">AVERAGE(R38:R39)</f>
        <v>4.9608934391037352E-3</v>
      </c>
      <c r="S40" s="235">
        <f t="shared" si="35"/>
        <v>6.512577699459102E-3</v>
      </c>
      <c r="T40" s="235">
        <f t="shared" si="35"/>
        <v>9.9346404822831889E-3</v>
      </c>
      <c r="U40" s="235">
        <f t="shared" si="35"/>
        <v>1.3075423782207421E-2</v>
      </c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6">IF(J36=J4,IF(COUNTA($C38:$C45)=COUNT(J38:J45),"Ok","Check"),"")</f>
        <v/>
      </c>
      <c r="K47" s="132" t="str">
        <f t="shared" si="36"/>
        <v/>
      </c>
      <c r="L47" s="132" t="str">
        <f t="shared" si="36"/>
        <v/>
      </c>
      <c r="M47" s="132" t="str">
        <f t="shared" si="36"/>
        <v/>
      </c>
      <c r="N47" s="132" t="str">
        <f t="shared" si="36"/>
        <v/>
      </c>
      <c r="O47" s="132" t="str">
        <f t="shared" si="36"/>
        <v/>
      </c>
      <c r="P47" s="132" t="str">
        <f t="shared" si="36"/>
        <v/>
      </c>
      <c r="Q47" s="132" t="str">
        <f t="shared" si="36"/>
        <v>Ok</v>
      </c>
      <c r="R47" s="132" t="str">
        <f t="shared" si="36"/>
        <v>Ok</v>
      </c>
      <c r="S47" s="132" t="str">
        <f t="shared" si="36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7">R4</f>
        <v>45078</v>
      </c>
      <c r="S49" s="160">
        <f t="shared" si="37"/>
        <v>45444</v>
      </c>
      <c r="T49" s="160">
        <f t="shared" si="37"/>
        <v>45809</v>
      </c>
      <c r="U49" s="160">
        <f t="shared" si="37"/>
        <v>46174</v>
      </c>
    </row>
    <row r="50" spans="1:50" ht="11.25" customHeight="1" outlineLevel="1"/>
    <row r="51" spans="1:50" ht="11.25" customHeight="1" outlineLevel="1">
      <c r="C51" s="146"/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/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237" t="str">
        <f t="shared" ref="C53:C58" si="39">C40</f>
        <v>Average of DAE and BIS Oxford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236">
        <v>0.59199999999999997</v>
      </c>
      <c r="R53" s="236">
        <v>0.59199999999999997</v>
      </c>
      <c r="S53" s="236">
        <v>0.59199999999999997</v>
      </c>
      <c r="T53" s="236">
        <v>0.59199999999999997</v>
      </c>
      <c r="U53" s="236">
        <v>0.59199999999999997</v>
      </c>
    </row>
    <row r="54" spans="1:50" ht="11.25" customHeight="1" outlineLevel="1">
      <c r="C54" s="146">
        <f t="shared" si="39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9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0">IF(Q49=Q$4,IF(SUM(Q51:Q58)=1,"Ok","Check"),"")</f>
        <v>Ok</v>
      </c>
      <c r="R60" s="132" t="str">
        <f t="shared" si="40"/>
        <v>Ok</v>
      </c>
      <c r="S60" s="132" t="str">
        <f t="shared" si="40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1">Q4</f>
        <v>44713</v>
      </c>
      <c r="R64" s="160">
        <f t="shared" si="41"/>
        <v>45078</v>
      </c>
      <c r="S64" s="160">
        <f t="shared" si="41"/>
        <v>45444</v>
      </c>
      <c r="T64" s="160">
        <f t="shared" si="41"/>
        <v>45809</v>
      </c>
      <c r="U64" s="160">
        <f t="shared" si="41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163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712714.99480020721</v>
      </c>
      <c r="Q66" s="194">
        <v>717327.26569700858</v>
      </c>
      <c r="R66" s="194">
        <v>725223.34797198593</v>
      </c>
      <c r="S66" s="194">
        <v>735084.40265797009</v>
      </c>
      <c r="T66" s="194">
        <v>744656.80725510838</v>
      </c>
      <c r="U66" s="194">
        <v>753895.68290386663</v>
      </c>
    </row>
    <row r="67" spans="3:23" outlineLevel="1">
      <c r="C67" s="61" t="s">
        <v>164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13900.552391049379</v>
      </c>
      <c r="Q67" s="194">
        <v>14038.185392768206</v>
      </c>
      <c r="R67" s="194">
        <v>14232.182891433542</v>
      </c>
      <c r="S67" s="194">
        <v>14437.211149350105</v>
      </c>
      <c r="T67" s="194">
        <v>14653.842396663396</v>
      </c>
      <c r="U67" s="194">
        <v>14882.678636442997</v>
      </c>
    </row>
    <row r="68" spans="3:23" outlineLevel="1">
      <c r="C68" s="61" t="s">
        <v>165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2152.2415340000002</v>
      </c>
      <c r="Q68" s="194">
        <v>2152.2415340000002</v>
      </c>
      <c r="R68" s="194">
        <v>2152.2415340000002</v>
      </c>
      <c r="S68" s="194">
        <v>2152.2415340000002</v>
      </c>
      <c r="T68" s="194">
        <v>2152.2415340000002</v>
      </c>
      <c r="U68" s="194">
        <v>2152.2415340000002</v>
      </c>
    </row>
    <row r="69" spans="3:23" outlineLevel="1">
      <c r="C69" s="61" t="s">
        <v>166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7701.0403769924187</v>
      </c>
      <c r="Q69" s="194">
        <v>7688.4550726439802</v>
      </c>
      <c r="R69" s="194">
        <v>7671.7112110917942</v>
      </c>
      <c r="S69" s="194">
        <v>7655.0038141995474</v>
      </c>
      <c r="T69" s="194">
        <v>7638.332802554768</v>
      </c>
      <c r="U69" s="194">
        <v>7621.6980969179285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2">IF(J64=J$4,IF(COUNTA($C66:$C71)=COUNT(J66:J71),"Ok","Check"),"")</f>
        <v/>
      </c>
      <c r="K73" s="132" t="str">
        <f t="shared" si="42"/>
        <v/>
      </c>
      <c r="L73" s="132" t="str">
        <f t="shared" si="42"/>
        <v/>
      </c>
      <c r="M73" s="132" t="str">
        <f t="shared" si="42"/>
        <v/>
      </c>
      <c r="N73" s="132" t="str">
        <f t="shared" si="42"/>
        <v/>
      </c>
      <c r="O73" s="132"/>
      <c r="P73" s="132" t="str">
        <f t="shared" si="42"/>
        <v>Ok</v>
      </c>
      <c r="Q73" s="132" t="str">
        <f t="shared" si="42"/>
        <v>Ok</v>
      </c>
      <c r="R73" s="132" t="str">
        <f t="shared" si="42"/>
        <v>Ok</v>
      </c>
      <c r="S73" s="132" t="str">
        <f t="shared" si="42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3">R4</f>
        <v>45078</v>
      </c>
      <c r="S75" s="160">
        <f t="shared" si="43"/>
        <v>45444</v>
      </c>
      <c r="T75" s="160">
        <f t="shared" si="43"/>
        <v>45809</v>
      </c>
      <c r="U75" s="160">
        <f t="shared" si="43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>IF(ISBLANK(M66),"",IF(ISBLANK(N66),"",LN(N66)-LN(M66)))</f>
        <v/>
      </c>
      <c r="O77" s="117" t="str">
        <f t="shared" ref="O77:U77" si="45">IF(ISBLANK(N66),"",IF(ISBLANK(O66),"",LN(O66)-LN(N66)))</f>
        <v/>
      </c>
      <c r="P77" s="117" t="str">
        <f t="shared" si="45"/>
        <v/>
      </c>
      <c r="Q77" s="117">
        <f t="shared" si="45"/>
        <v>6.4505602626478975E-3</v>
      </c>
      <c r="R77" s="117">
        <f t="shared" si="45"/>
        <v>1.0947499603325639E-2</v>
      </c>
      <c r="S77" s="117">
        <f t="shared" si="45"/>
        <v>1.3505652587936012E-2</v>
      </c>
      <c r="T77" s="117">
        <f t="shared" si="45"/>
        <v>1.2938124671730833E-2</v>
      </c>
      <c r="U77" s="117">
        <f t="shared" si="45"/>
        <v>1.2330556010150318E-2</v>
      </c>
    </row>
    <row r="78" spans="3:23" outlineLevel="1">
      <c r="C78" s="146" t="str">
        <f t="shared" ref="C78:C82" si="46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7">IF(ISBLANK(I67),"",IF(ISBLANK(J67),"",LN(J67)-LN(I67)))</f>
        <v/>
      </c>
      <c r="K78" s="117" t="str">
        <f t="shared" si="47"/>
        <v/>
      </c>
      <c r="L78" s="117" t="str">
        <f t="shared" si="47"/>
        <v/>
      </c>
      <c r="M78" s="117" t="str">
        <f t="shared" si="47"/>
        <v/>
      </c>
      <c r="N78" s="117" t="str">
        <f t="shared" si="47"/>
        <v/>
      </c>
      <c r="O78" s="117" t="str">
        <f t="shared" si="47"/>
        <v/>
      </c>
      <c r="P78" s="117" t="str">
        <f t="shared" si="47"/>
        <v/>
      </c>
      <c r="Q78" s="117">
        <f t="shared" si="47"/>
        <v>9.8525650051293212E-3</v>
      </c>
      <c r="R78" s="117">
        <f t="shared" si="47"/>
        <v>1.3724656284603398E-2</v>
      </c>
      <c r="S78" s="117">
        <f t="shared" si="47"/>
        <v>1.4303180110433189E-2</v>
      </c>
      <c r="T78" s="117">
        <f t="shared" si="47"/>
        <v>1.4893599599062668E-2</v>
      </c>
      <c r="U78" s="117">
        <f t="shared" si="47"/>
        <v>1.5495448384504229E-2</v>
      </c>
    </row>
    <row r="79" spans="3:23" outlineLevel="1">
      <c r="C79" s="146" t="str">
        <f t="shared" si="46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8">IF(ISBLANK(I68),"",IF(ISBLANK(J68),"",LN(J68)-LN(I68)))</f>
        <v/>
      </c>
      <c r="K79" s="117" t="str">
        <f t="shared" si="48"/>
        <v/>
      </c>
      <c r="L79" s="117" t="str">
        <f t="shared" si="48"/>
        <v/>
      </c>
      <c r="M79" s="117" t="str">
        <f t="shared" si="48"/>
        <v/>
      </c>
      <c r="N79" s="117" t="str">
        <f t="shared" si="48"/>
        <v/>
      </c>
      <c r="O79" s="117" t="str">
        <f t="shared" si="48"/>
        <v/>
      </c>
      <c r="P79" s="117" t="str">
        <f t="shared" si="48"/>
        <v/>
      </c>
      <c r="Q79" s="117">
        <f t="shared" si="48"/>
        <v>0</v>
      </c>
      <c r="R79" s="117">
        <f t="shared" si="48"/>
        <v>0</v>
      </c>
      <c r="S79" s="117">
        <f t="shared" si="48"/>
        <v>0</v>
      </c>
      <c r="T79" s="117">
        <f t="shared" si="48"/>
        <v>0</v>
      </c>
      <c r="U79" s="117">
        <f t="shared" si="48"/>
        <v>0</v>
      </c>
    </row>
    <row r="80" spans="3:23" outlineLevel="1">
      <c r="C80" s="146" t="str">
        <f t="shared" si="46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9">IF(ISBLANK(I69),"",IF(ISBLANK(J69),"",LN(J69)-LN(I69)))</f>
        <v/>
      </c>
      <c r="K80" s="117" t="str">
        <f t="shared" si="49"/>
        <v/>
      </c>
      <c r="L80" s="117" t="str">
        <f t="shared" si="49"/>
        <v/>
      </c>
      <c r="M80" s="117" t="str">
        <f t="shared" si="49"/>
        <v/>
      </c>
      <c r="N80" s="117" t="str">
        <f t="shared" si="49"/>
        <v/>
      </c>
      <c r="O80" s="117" t="str">
        <f t="shared" si="49"/>
        <v/>
      </c>
      <c r="P80" s="117" t="str">
        <f t="shared" si="49"/>
        <v/>
      </c>
      <c r="Q80" s="117">
        <f t="shared" si="49"/>
        <v>-1.6355711199480538E-3</v>
      </c>
      <c r="R80" s="117">
        <f t="shared" si="49"/>
        <v>-2.180167567855662E-3</v>
      </c>
      <c r="S80" s="117">
        <f t="shared" si="49"/>
        <v>-2.180167567855662E-3</v>
      </c>
      <c r="T80" s="117">
        <f t="shared" si="49"/>
        <v>-2.180167567855662E-3</v>
      </c>
      <c r="U80" s="117">
        <f t="shared" si="49"/>
        <v>-2.1801675678538857E-3</v>
      </c>
    </row>
    <row r="81" spans="3:23" outlineLevel="1">
      <c r="C81" s="146">
        <f t="shared" si="46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0">IF(ISBLANK(I70),"",IF(ISBLANK(J70),"",LN(J70)-LN(I70)))</f>
        <v/>
      </c>
      <c r="K81" s="117" t="str">
        <f t="shared" si="50"/>
        <v/>
      </c>
      <c r="L81" s="117" t="str">
        <f t="shared" si="50"/>
        <v/>
      </c>
      <c r="M81" s="117" t="str">
        <f t="shared" si="50"/>
        <v/>
      </c>
      <c r="N81" s="117" t="str">
        <f t="shared" si="50"/>
        <v/>
      </c>
      <c r="O81" s="117" t="str">
        <f t="shared" si="50"/>
        <v/>
      </c>
      <c r="P81" s="117" t="str">
        <f t="shared" si="50"/>
        <v/>
      </c>
      <c r="Q81" s="117" t="str">
        <f t="shared" si="50"/>
        <v/>
      </c>
      <c r="R81" s="117" t="str">
        <f t="shared" si="50"/>
        <v/>
      </c>
      <c r="S81" s="117" t="str">
        <f t="shared" si="50"/>
        <v/>
      </c>
      <c r="T81" s="117" t="str">
        <f t="shared" si="50"/>
        <v/>
      </c>
      <c r="U81" s="117" t="str">
        <f t="shared" si="50"/>
        <v/>
      </c>
    </row>
    <row r="82" spans="3:23" outlineLevel="1">
      <c r="C82" s="146">
        <f t="shared" si="46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1">IF(ISBLANK(I71),"",IF(ISBLANK(J71),"",LN(J71)-LN(I71)))</f>
        <v/>
      </c>
      <c r="K82" s="117" t="str">
        <f t="shared" si="51"/>
        <v/>
      </c>
      <c r="L82" s="117" t="str">
        <f t="shared" si="51"/>
        <v/>
      </c>
      <c r="M82" s="117" t="str">
        <f t="shared" si="51"/>
        <v/>
      </c>
      <c r="N82" s="117" t="str">
        <f t="shared" si="51"/>
        <v/>
      </c>
      <c r="O82" s="117" t="str">
        <f t="shared" si="51"/>
        <v/>
      </c>
      <c r="P82" s="117" t="str">
        <f t="shared" si="51"/>
        <v/>
      </c>
      <c r="Q82" s="117" t="str">
        <f t="shared" si="51"/>
        <v/>
      </c>
      <c r="R82" s="117" t="str">
        <f t="shared" si="51"/>
        <v/>
      </c>
      <c r="S82" s="117" t="str">
        <f t="shared" si="51"/>
        <v/>
      </c>
      <c r="T82" s="117" t="str">
        <f t="shared" si="51"/>
        <v/>
      </c>
      <c r="U82" s="117" t="str">
        <f t="shared" si="51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167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168</v>
      </c>
      <c r="K84" s="209" t="s">
        <v>169</v>
      </c>
      <c r="L84" s="209" t="s">
        <v>170</v>
      </c>
      <c r="M84" s="209" t="s">
        <v>196</v>
      </c>
      <c r="N84" s="209" t="s">
        <v>171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2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2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2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2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2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172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3">R4</f>
        <v>45078</v>
      </c>
      <c r="S95" s="160">
        <f t="shared" si="53"/>
        <v>45444</v>
      </c>
      <c r="T95" s="160">
        <f t="shared" si="53"/>
        <v>45809</v>
      </c>
      <c r="U95" s="160">
        <f t="shared" si="53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4">IF(J$95=J$4,SUMPRODUCT(J$77:J$82,$J$86:$J$91),"")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 t="str">
        <f t="shared" si="54"/>
        <v/>
      </c>
      <c r="P97" s="117" t="str">
        <f t="shared" si="54"/>
        <v/>
      </c>
      <c r="Q97" s="117">
        <f t="shared" si="54"/>
        <v>5.8353795878769788E-3</v>
      </c>
      <c r="R97" s="117">
        <f t="shared" si="54"/>
        <v>9.4515771502406715E-3</v>
      </c>
      <c r="S97" s="117">
        <f t="shared" si="54"/>
        <v>1.1263781100698577E-2</v>
      </c>
      <c r="T97" s="117">
        <f>IF(T$95=T$4,SUMPRODUCT(T$77:T$82,$J$86:$J$91),"")</f>
        <v>1.0970132285686751E-2</v>
      </c>
      <c r="U97" s="117">
        <f>IF(U$95=U$4,SUMPRODUCT(U$77:U$82,$J$86:$J$91),"")</f>
        <v>1.0651207534027596E-2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5">IF(J$95=J$4,SUMPRODUCT(J$77:J$82,$K$86:$K$91),"")</f>
        <v/>
      </c>
      <c r="K98" s="117" t="str">
        <f t="shared" si="55"/>
        <v/>
      </c>
      <c r="L98" s="117" t="str">
        <f t="shared" si="55"/>
        <v/>
      </c>
      <c r="M98" s="117" t="str">
        <f t="shared" si="55"/>
        <v/>
      </c>
      <c r="N98" s="117" t="str">
        <f t="shared" si="55"/>
        <v/>
      </c>
      <c r="O98" s="117" t="str">
        <f t="shared" si="55"/>
        <v/>
      </c>
      <c r="P98" s="117" t="str">
        <f t="shared" si="55"/>
        <v/>
      </c>
      <c r="Q98" s="117">
        <f t="shared" si="55"/>
        <v>5.9807204158938473E-3</v>
      </c>
      <c r="R98" s="117">
        <f t="shared" si="55"/>
        <v>9.6838574943773174E-3</v>
      </c>
      <c r="S98" s="117">
        <f t="shared" si="55"/>
        <v>1.1537722284565285E-2</v>
      </c>
      <c r="T98" s="117">
        <f>IF(T$95=T$4,SUMPRODUCT(T$77:T$82,$K$86:$K$91),"")</f>
        <v>1.1238281058772561E-2</v>
      </c>
      <c r="U98" s="117">
        <f>IF(U$95=U$4,SUMPRODUCT(U$77:U$82,$K$86:$K$91),"")</f>
        <v>1.0913010137627502E-2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6">IF(J$95=J$4,SUMPRODUCT(J$77:J$82,$L$86:$L$91),"")</f>
        <v/>
      </c>
      <c r="K99" s="117" t="str">
        <f t="shared" si="56"/>
        <v/>
      </c>
      <c r="L99" s="117" t="str">
        <f t="shared" si="56"/>
        <v/>
      </c>
      <c r="M99" s="117" t="str">
        <f t="shared" si="56"/>
        <v/>
      </c>
      <c r="N99" s="117" t="str">
        <f t="shared" si="56"/>
        <v/>
      </c>
      <c r="O99" s="117" t="str">
        <f t="shared" si="56"/>
        <v/>
      </c>
      <c r="P99" s="117" t="str">
        <f t="shared" si="56"/>
        <v/>
      </c>
      <c r="Q99" s="117">
        <f t="shared" si="56"/>
        <v>4.532790374760242E-3</v>
      </c>
      <c r="R99" s="117">
        <f t="shared" si="56"/>
        <v>7.05871336928416E-3</v>
      </c>
      <c r="S99" s="117">
        <f t="shared" si="56"/>
        <v>8.15194806848938E-3</v>
      </c>
      <c r="T99" s="117">
        <f>IF(T$95=T$4,SUMPRODUCT(T$77:T$82,$L$86:$L$91),"")</f>
        <v>8.061503988083512E-3</v>
      </c>
      <c r="U99" s="117">
        <f>IF(U$95=U$4,SUMPRODUCT(U$77:U$82,$L$86:$L$91),"")</f>
        <v>7.958282884013141E-3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7">IF(J$95=J$4,SUMPRODUCT(J$77:J$82,$M$86:$M$91),"")</f>
        <v/>
      </c>
      <c r="K100" s="117" t="str">
        <f t="shared" si="57"/>
        <v/>
      </c>
      <c r="L100" s="117" t="str">
        <f t="shared" si="57"/>
        <v/>
      </c>
      <c r="M100" s="117" t="str">
        <f t="shared" si="57"/>
        <v/>
      </c>
      <c r="N100" s="117" t="str">
        <f t="shared" si="57"/>
        <v/>
      </c>
      <c r="O100" s="117" t="str">
        <f t="shared" si="57"/>
        <v/>
      </c>
      <c r="P100" s="117" t="str">
        <f t="shared" si="57"/>
        <v/>
      </c>
      <c r="Q100" s="117">
        <f t="shared" si="57"/>
        <v>5.7167379622788759E-3</v>
      </c>
      <c r="R100" s="117">
        <f t="shared" si="57"/>
        <v>9.3314314558044092E-3</v>
      </c>
      <c r="S100" s="117">
        <f t="shared" si="57"/>
        <v>1.1186794929228368E-2</v>
      </c>
      <c r="T100" s="117">
        <f>IF(T$95=T$4,SUMPRODUCT(T$77:T$82,$M$86:$M$91),"")</f>
        <v>1.0864092604001962E-2</v>
      </c>
      <c r="U100" s="117">
        <f>IF(U$95=U$4,SUMPRODUCT(U$77:U$82,$M$86:$M$91),"")</f>
        <v>1.0514883671040991E-2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4.9106057015584643E-3</v>
      </c>
      <c r="R101" s="117">
        <f t="shared" ref="R101:U101" si="58">IF(R$95=R$4,SUMPRODUCT(R$77:R$82,$N$86:$N$91),"")</f>
        <v>7.2122490190076622E-3</v>
      </c>
      <c r="S101" s="117">
        <f t="shared" si="58"/>
        <v>7.9124531771872838E-3</v>
      </c>
      <c r="T101" s="117">
        <f t="shared" si="58"/>
        <v>8.0384371949556634E-3</v>
      </c>
      <c r="U101" s="117">
        <f t="shared" si="58"/>
        <v>8.1614790934529304E-3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9">R4</f>
        <v>45078</v>
      </c>
      <c r="S105" s="160">
        <f t="shared" si="59"/>
        <v>45444</v>
      </c>
      <c r="T105" s="160">
        <f t="shared" si="59"/>
        <v>45809</v>
      </c>
      <c r="U105" s="160">
        <f t="shared" si="59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0">$R$107</f>
        <v>5.0000000000000001E-3</v>
      </c>
      <c r="U107" s="167">
        <f t="shared" si="60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1">IF(J105=J$4,IF(ISBLANK(J107),"Check","Ok"),"")</f>
        <v/>
      </c>
      <c r="K109" s="132" t="str">
        <f t="shared" si="61"/>
        <v/>
      </c>
      <c r="L109" s="132" t="str">
        <f t="shared" si="61"/>
        <v/>
      </c>
      <c r="M109" s="132" t="str">
        <f t="shared" si="61"/>
        <v/>
      </c>
      <c r="N109" s="132" t="str">
        <f t="shared" si="61"/>
        <v/>
      </c>
      <c r="O109" s="132" t="str">
        <f t="shared" si="61"/>
        <v/>
      </c>
      <c r="P109" s="132" t="str">
        <f t="shared" si="61"/>
        <v/>
      </c>
      <c r="Q109" s="132" t="str">
        <f t="shared" si="61"/>
        <v>Ok</v>
      </c>
      <c r="R109" s="132" t="str">
        <f t="shared" si="61"/>
        <v>Ok</v>
      </c>
      <c r="S109" s="132" t="str">
        <f t="shared" si="61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1" operator="equal">
      <formula>"Check"</formula>
    </cfRule>
    <cfRule type="cellIs" dxfId="189" priority="132" operator="equal">
      <formula>"Ok"</formula>
    </cfRule>
  </conditionalFormatting>
  <conditionalFormatting sqref="T1">
    <cfRule type="cellIs" dxfId="188" priority="95" operator="equal">
      <formula>"Check"</formula>
    </cfRule>
    <cfRule type="cellIs" dxfId="187" priority="96" operator="equal">
      <formula>"Ok"</formula>
    </cfRule>
  </conditionalFormatting>
  <conditionalFormatting sqref="W60">
    <cfRule type="cellIs" dxfId="186" priority="83" operator="equal">
      <formula>"Check"</formula>
    </cfRule>
    <cfRule type="cellIs" dxfId="185" priority="84" operator="equal">
      <formula>"Ok"</formula>
    </cfRule>
  </conditionalFormatting>
  <conditionalFormatting sqref="J60:T60">
    <cfRule type="cellIs" dxfId="184" priority="75" operator="equal">
      <formula>"Check"</formula>
    </cfRule>
    <cfRule type="cellIs" dxfId="183" priority="76" operator="equal">
      <formula>"Ok"</formula>
    </cfRule>
  </conditionalFormatting>
  <conditionalFormatting sqref="J36:U36">
    <cfRule type="expression" dxfId="182" priority="66">
      <formula>J$36=J$4</formula>
    </cfRule>
  </conditionalFormatting>
  <conditionalFormatting sqref="J38:U38 J41:T45 J39:P40">
    <cfRule type="expression" dxfId="181" priority="64">
      <formula>J$36=J$4</formula>
    </cfRule>
  </conditionalFormatting>
  <conditionalFormatting sqref="J51:U52 J54:U58 J53:P53">
    <cfRule type="expression" dxfId="180" priority="63">
      <formula>J$49=J$4</formula>
    </cfRule>
  </conditionalFormatting>
  <conditionalFormatting sqref="W109">
    <cfRule type="cellIs" dxfId="179" priority="57" operator="equal">
      <formula>"Check"</formula>
    </cfRule>
    <cfRule type="cellIs" dxfId="178" priority="58" operator="equal">
      <formula>"Ok"</formula>
    </cfRule>
  </conditionalFormatting>
  <conditionalFormatting sqref="J109:T109">
    <cfRule type="cellIs" dxfId="177" priority="55" operator="equal">
      <formula>"Check"</formula>
    </cfRule>
    <cfRule type="cellIs" dxfId="176" priority="56" operator="equal">
      <formula>"Ok"</formula>
    </cfRule>
  </conditionalFormatting>
  <conditionalFormatting sqref="W47">
    <cfRule type="cellIs" dxfId="175" priority="53" operator="equal">
      <formula>"Check"</formula>
    </cfRule>
    <cfRule type="cellIs" dxfId="174" priority="54" operator="equal">
      <formula>"Ok"</formula>
    </cfRule>
  </conditionalFormatting>
  <conditionalFormatting sqref="J47:T47">
    <cfRule type="cellIs" dxfId="173" priority="51" operator="equal">
      <formula>"Check"</formula>
    </cfRule>
    <cfRule type="cellIs" dxfId="172" priority="52" operator="equal">
      <formula>"Ok"</formula>
    </cfRule>
  </conditionalFormatting>
  <conditionalFormatting sqref="W73">
    <cfRule type="cellIs" dxfId="171" priority="49" operator="equal">
      <formula>"Check"</formula>
    </cfRule>
    <cfRule type="cellIs" dxfId="170" priority="50" operator="equal">
      <formula>"Ok"</formula>
    </cfRule>
  </conditionalFormatting>
  <conditionalFormatting sqref="J73:T73">
    <cfRule type="cellIs" dxfId="169" priority="47" operator="equal">
      <formula>"Check"</formula>
    </cfRule>
    <cfRule type="cellIs" dxfId="168" priority="48" operator="equal">
      <formula>"Ok"</formula>
    </cfRule>
  </conditionalFormatting>
  <conditionalFormatting sqref="J64:U64">
    <cfRule type="expression" dxfId="167" priority="41">
      <formula>J$64=J$4</formula>
    </cfRule>
  </conditionalFormatting>
  <conditionalFormatting sqref="J70:T71 J66:U69">
    <cfRule type="expression" dxfId="166" priority="39">
      <formula>J$64=J$4</formula>
    </cfRule>
  </conditionalFormatting>
  <conditionalFormatting sqref="J49:U49">
    <cfRule type="expression" dxfId="165" priority="36">
      <formula>J$36=J$4</formula>
    </cfRule>
  </conditionalFormatting>
  <conditionalFormatting sqref="J75:U75">
    <cfRule type="expression" dxfId="164" priority="35">
      <formula>J$36=J$4</formula>
    </cfRule>
  </conditionalFormatting>
  <conditionalFormatting sqref="J105:U105">
    <cfRule type="expression" dxfId="163" priority="34">
      <formula>J$36=J$4</formula>
    </cfRule>
  </conditionalFormatting>
  <conditionalFormatting sqref="J26:T32">
    <cfRule type="cellIs" dxfId="162" priority="32" operator="equal">
      <formula>0</formula>
    </cfRule>
  </conditionalFormatting>
  <conditionalFormatting sqref="J16:T22">
    <cfRule type="cellIs" dxfId="161" priority="31" operator="equal">
      <formula>0</formula>
    </cfRule>
  </conditionalFormatting>
  <conditionalFormatting sqref="W93:W101">
    <cfRule type="cellIs" dxfId="160" priority="27" operator="equal">
      <formula>"Check"</formula>
    </cfRule>
    <cfRule type="cellIs" dxfId="159" priority="28" operator="equal">
      <formula>"Ok"</formula>
    </cfRule>
  </conditionalFormatting>
  <conditionalFormatting sqref="K90:M91">
    <cfRule type="expression" dxfId="158" priority="26">
      <formula>K$84=K$4</formula>
    </cfRule>
  </conditionalFormatting>
  <conditionalFormatting sqref="J96:T96 J93:T94">
    <cfRule type="cellIs" dxfId="157" priority="24" operator="equal">
      <formula>"Check"</formula>
    </cfRule>
    <cfRule type="cellIs" dxfId="156" priority="25" operator="equal">
      <formula>"Ok"</formula>
    </cfRule>
  </conditionalFormatting>
  <conditionalFormatting sqref="J95:U95">
    <cfRule type="expression" dxfId="155" priority="23">
      <formula>J$95=J$4</formula>
    </cfRule>
  </conditionalFormatting>
  <conditionalFormatting sqref="J107:U107">
    <cfRule type="expression" dxfId="154" priority="136">
      <formula>J$105=J$4</formula>
    </cfRule>
  </conditionalFormatting>
  <conditionalFormatting sqref="K86:M89">
    <cfRule type="expression" dxfId="153" priority="22">
      <formula>K$84=K$4</formula>
    </cfRule>
  </conditionalFormatting>
  <conditionalFormatting sqref="U26:U32">
    <cfRule type="cellIs" dxfId="152" priority="21" operator="equal">
      <formula>0</formula>
    </cfRule>
  </conditionalFormatting>
  <conditionalFormatting sqref="U16:U22">
    <cfRule type="cellIs" dxfId="151" priority="20" operator="equal">
      <formula>0</formula>
    </cfRule>
  </conditionalFormatting>
  <conditionalFormatting sqref="U109">
    <cfRule type="cellIs" dxfId="150" priority="2" operator="equal">
      <formula>"Check"</formula>
    </cfRule>
    <cfRule type="cellIs" dxfId="149" priority="3" operator="equal">
      <formula>"Ok"</formula>
    </cfRule>
  </conditionalFormatting>
  <conditionalFormatting sqref="U47">
    <cfRule type="cellIs" dxfId="148" priority="15" operator="equal">
      <formula>"Check"</formula>
    </cfRule>
    <cfRule type="cellIs" dxfId="147" priority="16" operator="equal">
      <formula>"Ok"</formula>
    </cfRule>
  </conditionalFormatting>
  <conditionalFormatting sqref="U38 U41:U45">
    <cfRule type="expression" dxfId="146" priority="14">
      <formula>U$36=U$4</formula>
    </cfRule>
  </conditionalFormatting>
  <conditionalFormatting sqref="U51:U52 U54:U58">
    <cfRule type="expression" dxfId="145" priority="11">
      <formula>U$49=U$4</formula>
    </cfRule>
  </conditionalFormatting>
  <conditionalFormatting sqref="U60">
    <cfRule type="cellIs" dxfId="144" priority="9" operator="equal">
      <formula>"Check"</formula>
    </cfRule>
    <cfRule type="cellIs" dxfId="143" priority="10" operator="equal">
      <formula>"Ok"</formula>
    </cfRule>
  </conditionalFormatting>
  <conditionalFormatting sqref="U73">
    <cfRule type="cellIs" dxfId="142" priority="6" operator="equal">
      <formula>"Check"</formula>
    </cfRule>
    <cfRule type="cellIs" dxfId="141" priority="7" operator="equal">
      <formula>"Ok"</formula>
    </cfRule>
  </conditionalFormatting>
  <conditionalFormatting sqref="U70:U71">
    <cfRule type="expression" dxfId="140" priority="5">
      <formula>U$64=U$4</formula>
    </cfRule>
  </conditionalFormatting>
  <conditionalFormatting sqref="U107">
    <cfRule type="expression" dxfId="139" priority="4">
      <formula>U$105=U$4</formula>
    </cfRule>
  </conditionalFormatting>
  <dataValidations disablePrompts="1"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66"/>
  <sheetViews>
    <sheetView showGridLines="0" tabSelected="1" workbookViewId="0">
      <selection activeCell="Q2" sqref="Q2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  <c r="P2" s="242" t="s">
        <v>249</v>
      </c>
      <c r="Q2" s="250">
        <v>44279</v>
      </c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238" t="s">
        <v>261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39">
        <v>8.5358479086709433</v>
      </c>
      <c r="Q12" s="239">
        <v>5.7599025732741582</v>
      </c>
      <c r="R12" s="239">
        <v>5.6974592032624081</v>
      </c>
      <c r="S12" s="239">
        <v>5.5599701886417128</v>
      </c>
      <c r="T12" s="239">
        <v>5.6030079767700061</v>
      </c>
    </row>
    <row r="13" spans="1:48" outlineLevel="1">
      <c r="C13" s="249" t="s">
        <v>251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48">
        <v>3.2789344821161626</v>
      </c>
      <c r="Q13" s="248">
        <v>5.1638487721161619</v>
      </c>
      <c r="R13" s="248">
        <v>6.2924810371161621</v>
      </c>
      <c r="S13" s="248">
        <v>6.7875615371161624</v>
      </c>
      <c r="T13" s="248">
        <v>7.3321500371161639</v>
      </c>
    </row>
    <row r="14" spans="1:48" outlineLevel="1">
      <c r="C14" s="238" t="s">
        <v>256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39">
        <v>0.68839207822608384</v>
      </c>
      <c r="Q14" s="239">
        <v>0.68054311261007849</v>
      </c>
      <c r="R14" s="239">
        <v>0.96804684174960498</v>
      </c>
      <c r="S14" s="239">
        <v>1.106332549889335</v>
      </c>
      <c r="T14" s="239">
        <v>1.099860653508375</v>
      </c>
    </row>
    <row r="15" spans="1:48" outlineLevel="1">
      <c r="C15" s="238" t="s">
        <v>257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39">
        <v>0.89187328341948835</v>
      </c>
      <c r="Q15" s="239">
        <v>0.75478456023919027</v>
      </c>
      <c r="R15" s="239">
        <v>0.78376835138728562</v>
      </c>
      <c r="S15" s="239">
        <v>0.74152762325637167</v>
      </c>
      <c r="T15" s="239">
        <v>0.77559530717493641</v>
      </c>
    </row>
    <row r="16" spans="1:48" outlineLevel="1">
      <c r="C16" s="238" t="s">
        <v>258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39">
        <v>0.54714678092973335</v>
      </c>
      <c r="Q16" s="239">
        <v>0.58543135839940141</v>
      </c>
      <c r="R16" s="239">
        <v>0.72910218099269442</v>
      </c>
      <c r="S16" s="239">
        <v>0.8516708076577959</v>
      </c>
      <c r="T16" s="239">
        <v>0.98407458393237646</v>
      </c>
    </row>
    <row r="17" spans="1:48" outlineLevel="1">
      <c r="C17" s="238" t="s">
        <v>259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39">
        <v>0.83137273334415818</v>
      </c>
      <c r="Q17" s="239">
        <v>0.5572225771905206</v>
      </c>
      <c r="R17" s="239">
        <v>0.56444859142777248</v>
      </c>
      <c r="S17" s="239">
        <v>0.57398723419791409</v>
      </c>
      <c r="T17" s="239">
        <v>0.57843026898688132</v>
      </c>
    </row>
    <row r="18" spans="1:48" outlineLevel="1">
      <c r="C18" s="238" t="s">
        <v>260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39">
        <v>0</v>
      </c>
      <c r="Q18" s="239">
        <v>0</v>
      </c>
      <c r="R18" s="239">
        <v>0</v>
      </c>
      <c r="S18" s="239">
        <v>0</v>
      </c>
      <c r="T18" s="239">
        <v>0</v>
      </c>
    </row>
    <row r="19" spans="1:48" outlineLevel="1">
      <c r="C19" s="238" t="s">
        <v>260</v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39">
        <v>0</v>
      </c>
      <c r="Q19" s="239">
        <v>0</v>
      </c>
      <c r="R19" s="239">
        <v>0</v>
      </c>
      <c r="S19" s="239">
        <v>0</v>
      </c>
      <c r="T19" s="239">
        <v>0</v>
      </c>
    </row>
    <row r="20" spans="1:48" outlineLevel="1">
      <c r="C20" s="238" t="s">
        <v>260</v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39">
        <v>0</v>
      </c>
      <c r="Q20" s="239">
        <v>0</v>
      </c>
      <c r="R20" s="239">
        <v>0</v>
      </c>
      <c r="S20" s="239">
        <v>0</v>
      </c>
      <c r="T20" s="239">
        <v>0</v>
      </c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113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241" t="s">
        <v>262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41">
        <v>0.81501189500464466</v>
      </c>
      <c r="Q28" s="241">
        <v>0.81501189500464466</v>
      </c>
      <c r="R28" s="241">
        <v>0.81501189500464466</v>
      </c>
      <c r="S28" s="241">
        <v>0.81501189500464466</v>
      </c>
      <c r="T28" s="241">
        <v>0.81501189500464466</v>
      </c>
    </row>
    <row r="29" spans="1:48" outlineLevel="1">
      <c r="C29" s="61"/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T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 t="shared" si="5"/>
        <v>Ok</v>
      </c>
      <c r="T32" s="132" t="str">
        <f t="shared" si="5"/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239">
        <v>1.164155181838364</v>
      </c>
      <c r="Q38" s="239">
        <v>1.2101134294221569</v>
      </c>
      <c r="R38" s="239">
        <v>1.2278434917550098</v>
      </c>
      <c r="S38" s="239">
        <v>1.2336562852214705</v>
      </c>
      <c r="T38" s="239">
        <v>1.2373546668026421</v>
      </c>
    </row>
    <row r="39" spans="1:48" outlineLevel="1">
      <c r="G39" s="32"/>
      <c r="H39" s="32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T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 t="shared" si="8"/>
        <v>Ok</v>
      </c>
      <c r="T40" s="132" t="str">
        <f t="shared" si="8"/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/>
    <row r="54" spans="7:8"/>
    <row r="55" spans="7:8" hidden="1"/>
    <row r="56" spans="7:8" hidden="1"/>
    <row r="57" spans="7:8" hidden="1"/>
    <row r="58" spans="7:8" hidden="1"/>
    <row r="59" spans="7:8" hidden="1"/>
    <row r="60" spans="7:8" hidden="1"/>
    <row r="61" spans="7:8" hidden="1"/>
    <row r="62" spans="7:8" hidden="1"/>
    <row r="63" spans="7:8" hidden="1"/>
    <row r="64" spans="7:8" hidden="1"/>
    <row r="65" hidden="1"/>
    <row r="66" hidden="1"/>
  </sheetData>
  <mergeCells count="1">
    <mergeCell ref="N3:S3"/>
  </mergeCells>
  <conditionalFormatting sqref="S1:T1">
    <cfRule type="cellIs" dxfId="138" priority="35" operator="equal">
      <formula>"Check"</formula>
    </cfRule>
    <cfRule type="cellIs" dxfId="137" priority="36" operator="equal">
      <formula>"Ok"</formula>
    </cfRule>
  </conditionalFormatting>
  <conditionalFormatting sqref="W1">
    <cfRule type="cellIs" dxfId="136" priority="37" operator="equal">
      <formula>"Check"</formula>
    </cfRule>
    <cfRule type="cellIs" dxfId="135" priority="38" operator="equal">
      <formula>"Ok"</formula>
    </cfRule>
  </conditionalFormatting>
  <conditionalFormatting sqref="J10:T10">
    <cfRule type="expression" dxfId="134" priority="33">
      <formula>J$10=J$4</formula>
    </cfRule>
  </conditionalFormatting>
  <conditionalFormatting sqref="J12:O20">
    <cfRule type="expression" dxfId="133" priority="32">
      <formula>J$10=J$4</formula>
    </cfRule>
  </conditionalFormatting>
  <conditionalFormatting sqref="X22">
    <cfRule type="cellIs" dxfId="132" priority="28" operator="equal">
      <formula>"Check"</formula>
    </cfRule>
    <cfRule type="cellIs" dxfId="131" priority="29" operator="equal">
      <formula>"Ok"</formula>
    </cfRule>
  </conditionalFormatting>
  <conditionalFormatting sqref="J22:U22">
    <cfRule type="cellIs" dxfId="130" priority="26" operator="equal">
      <formula>"Check"</formula>
    </cfRule>
    <cfRule type="cellIs" dxfId="129" priority="27" operator="equal">
      <formula>"Ok"</formula>
    </cfRule>
  </conditionalFormatting>
  <conditionalFormatting sqref="X32">
    <cfRule type="cellIs" dxfId="128" priority="24" operator="equal">
      <formula>"Check"</formula>
    </cfRule>
    <cfRule type="cellIs" dxfId="127" priority="25" operator="equal">
      <formula>"Ok"</formula>
    </cfRule>
  </conditionalFormatting>
  <conditionalFormatting sqref="J32:U32">
    <cfRule type="cellIs" dxfId="126" priority="22" operator="equal">
      <formula>"Check"</formula>
    </cfRule>
    <cfRule type="cellIs" dxfId="125" priority="23" operator="equal">
      <formula>"Ok"</formula>
    </cfRule>
  </conditionalFormatting>
  <conditionalFormatting sqref="X40">
    <cfRule type="cellIs" dxfId="124" priority="19" operator="equal">
      <formula>"Check"</formula>
    </cfRule>
    <cfRule type="cellIs" dxfId="123" priority="20" operator="equal">
      <formula>"Ok"</formula>
    </cfRule>
  </conditionalFormatting>
  <conditionalFormatting sqref="J40:U40">
    <cfRule type="cellIs" dxfId="122" priority="17" operator="equal">
      <formula>"Check"</formula>
    </cfRule>
    <cfRule type="cellIs" dxfId="121" priority="18" operator="equal">
      <formula>"Ok"</formula>
    </cfRule>
  </conditionalFormatting>
  <conditionalFormatting sqref="O28">
    <cfRule type="expression" dxfId="120" priority="16">
      <formula>O$10=O$4</formula>
    </cfRule>
  </conditionalFormatting>
  <conditionalFormatting sqref="N28:N30">
    <cfRule type="expression" dxfId="119" priority="15">
      <formula>N$10=N$4</formula>
    </cfRule>
  </conditionalFormatting>
  <conditionalFormatting sqref="J26:N26">
    <cfRule type="expression" dxfId="118" priority="11">
      <formula>J$10=J$4</formula>
    </cfRule>
  </conditionalFormatting>
  <conditionalFormatting sqref="J36:N36">
    <cfRule type="expression" dxfId="117" priority="10">
      <formula>J$10=J$4</formula>
    </cfRule>
  </conditionalFormatting>
  <conditionalFormatting sqref="O26">
    <cfRule type="expression" dxfId="116" priority="9">
      <formula>O$10=O$4</formula>
    </cfRule>
  </conditionalFormatting>
  <conditionalFormatting sqref="O36">
    <cfRule type="expression" dxfId="115" priority="8">
      <formula>O$10=O$4</formula>
    </cfRule>
  </conditionalFormatting>
  <conditionalFormatting sqref="P26:T26">
    <cfRule type="expression" dxfId="114" priority="7">
      <formula>P$10=P$4</formula>
    </cfRule>
  </conditionalFormatting>
  <conditionalFormatting sqref="P36:T36">
    <cfRule type="expression" dxfId="113" priority="6">
      <formula>P$10=P$4</formula>
    </cfRule>
  </conditionalFormatting>
  <conditionalFormatting sqref="J28:M30 O29:T30">
    <cfRule type="expression" dxfId="112" priority="148">
      <formula>J$26=J$4</formula>
    </cfRule>
  </conditionalFormatting>
  <conditionalFormatting sqref="J38:O38">
    <cfRule type="expression" dxfId="111" priority="150">
      <formula>J$36=J$4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28:I31 V33 I33 V41 I41 V12:V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6"/>
  <sheetViews>
    <sheetView showGridLines="0" workbookViewId="0">
      <selection activeCell="A11" sqref="A1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157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117.028634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157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119.75936890606802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158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147.27756687031641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158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160.09234556700298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197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81.71514635035328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197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81.839817468858101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198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163.6796349377162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159</v>
      </c>
      <c r="D20" s="108" t="s">
        <v>91</v>
      </c>
      <c r="E20" s="30" t="str">
        <f>'Input|Reported opex'!E88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8.0000000000000002E-3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159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8.1866712316623642E-3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160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1.7872523285237447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160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1.9427630661864381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201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0.93499645887185756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201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0.93642296374313094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202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1.8728459274862619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134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119.75936890606802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155</v>
      </c>
      <c r="D30" s="108" t="s">
        <v>91</v>
      </c>
      <c r="E30" s="110" t="str">
        <f>'Input|Reported opex'!E93</f>
        <v>$millions</v>
      </c>
      <c r="F30" s="158">
        <f>'Input|Reported opex'!F93</f>
        <v>44348</v>
      </c>
      <c r="J30" s="115">
        <f>IF('Input|Reported opex'!J$83=J$10,'Input|Reported opex'!J93,0)</f>
        <v>0</v>
      </c>
      <c r="K30" s="115">
        <f>IF('Input|Reported opex'!K$83=K$10,'Input|Reported opex'!K93,0)</f>
        <v>0</v>
      </c>
      <c r="L30" s="115">
        <f>IF('Input|Reported opex'!L$83=L$10,'Input|Reported opex'!L93,0)</f>
        <v>0</v>
      </c>
      <c r="M30" s="115">
        <f>IF('Input|Reported opex'!M$83=M$10,'Input|Reported opex'!M93,0)</f>
        <v>0</v>
      </c>
      <c r="N30" s="115">
        <f>IF('Input|Reported opex'!N$83=N$10,'Input|Reported opex'!N93,0)</f>
        <v>0</v>
      </c>
      <c r="O30" s="115">
        <f>IF('Input|Reported opex'!O$83=O$10,'Input|Reported opex'!O93,0)</f>
        <v>0</v>
      </c>
      <c r="P30" s="115">
        <f>IF('Input|Reported opex'!P$83=P$10,'Input|Reported opex'!P93,0)</f>
        <v>0</v>
      </c>
      <c r="Q30" s="115">
        <f>IF('Input|Reported opex'!Q$83=Q$10,'Input|Reported opex'!Q93,0)</f>
        <v>0</v>
      </c>
      <c r="R30" s="115">
        <f>IF('Input|Reported opex'!R$83=R$10,'Input|Reported opex'!R93,0)</f>
        <v>0</v>
      </c>
      <c r="S30" s="115">
        <f>IF('Input|Reported opex'!S$83=S$10,'Input|Reported opex'!S93,0)</f>
        <v>0</v>
      </c>
      <c r="T30" s="115">
        <f>IF('Input|Reported opex'!T$83=T$10,'Input|Reported opex'!T93,0)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153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3.5872893707132221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123.34665827678124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161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>IF(YEAR(O$4)=InterveningPeriod,-(SUM($J21:$S21)-SUM($J23:$S23)+SUM($J26:$S26)),0)</f>
        <v>6.1730467468513961E-2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opex'!$C$87</f>
        <v>Communications network</v>
      </c>
      <c r="D39" s="108" t="s">
        <v>91</v>
      </c>
      <c r="E39" s="110" t="str">
        <f>'Input|Reported opex'!E87</f>
        <v>$millions</v>
      </c>
      <c r="F39" s="158">
        <f>'Input|Reported opex'!F87</f>
        <v>44348</v>
      </c>
      <c r="J39" s="109">
        <f>IF(YEAR(J$4)=InterveningPeriod,'Input|Reported opex'!J87,0)</f>
        <v>0</v>
      </c>
      <c r="K39" s="109">
        <f>IF(YEAR(K$4)=InterveningPeriod,'Input|Reported opex'!K87,0)</f>
        <v>0</v>
      </c>
      <c r="L39" s="109">
        <f>IF(YEAR(L$4)=InterveningPeriod,'Input|Reported opex'!L87,0)</f>
        <v>0</v>
      </c>
      <c r="M39" s="109">
        <f>IF(YEAR(M$4)=InterveningPeriod,'Input|Reported opex'!M87,0)</f>
        <v>0</v>
      </c>
      <c r="N39" s="109">
        <f>IF(YEAR(N$4)=InterveningPeriod,'Input|Reported opex'!N87,0)</f>
        <v>0</v>
      </c>
      <c r="O39" s="109">
        <f>IF(YEAR(O$4)=InterveningPeriod,'Input|Reported opex'!O87,0)</f>
        <v>0.92968214799145399</v>
      </c>
      <c r="P39" s="109">
        <f>IF(YEAR(P$4)=InterveningPeriod,'Input|Reported opex'!P87,0)</f>
        <v>0</v>
      </c>
      <c r="Q39" s="109">
        <f>IF(YEAR(Q$4)=InterveningPeriod,'Input|Reported opex'!Q87,0)</f>
        <v>0</v>
      </c>
      <c r="R39" s="109">
        <f>IF(YEAR(R$4)=InterveningPeriod,'Input|Reported opex'!R87,0)</f>
        <v>0</v>
      </c>
      <c r="S39" s="109">
        <f>IF(YEAR(S$4)=InterveningPeriod,'Input|Reported opex'!S87,0)</f>
        <v>0</v>
      </c>
      <c r="T39" s="109">
        <f>IF(YEAR(T$4)=InterveningPeriod,'Input|Reported opex'!T87,0)</f>
        <v>0</v>
      </c>
    </row>
    <row r="40" spans="3:20" outlineLevel="1">
      <c r="C40" s="123" t="str">
        <f>C39</f>
        <v>Communications network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0.92968214799145399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opex'!$C$88</f>
        <v>Wasted truck visits</v>
      </c>
      <c r="D42" s="108" t="s">
        <v>91</v>
      </c>
      <c r="E42" s="30" t="str">
        <f>'Input|Reported opex'!$E$88</f>
        <v>$millions</v>
      </c>
      <c r="F42" s="158">
        <f>'Input|Reported opex'!$F$88</f>
        <v>44348</v>
      </c>
      <c r="J42" s="109">
        <f>IF(YEAR(J$4)=InterveningPeriod,'Input|Reported opex'!J88,0)</f>
        <v>0</v>
      </c>
      <c r="K42" s="109">
        <f>IF(YEAR(K$4)=InterveningPeriod,'Input|Reported opex'!K88,0)</f>
        <v>0</v>
      </c>
      <c r="L42" s="109">
        <f>IF(YEAR(L$4)=InterveningPeriod,'Input|Reported opex'!L88,0)</f>
        <v>0</v>
      </c>
      <c r="M42" s="109">
        <f>IF(YEAR(M$4)=InterveningPeriod,'Input|Reported opex'!M88,0)</f>
        <v>0</v>
      </c>
      <c r="N42" s="109">
        <f>IF(YEAR(N$4)=InterveningPeriod,'Input|Reported opex'!N88,0)</f>
        <v>0</v>
      </c>
      <c r="O42" s="109">
        <f>IF(YEAR(O$4)=InterveningPeriod,'Input|Reported opex'!O88,0)</f>
        <v>0.21792843031231496</v>
      </c>
      <c r="P42" s="109">
        <f>IF(YEAR(P$4)=InterveningPeriod,'Input|Reported opex'!P88,0)</f>
        <v>0</v>
      </c>
      <c r="Q42" s="109">
        <f>IF(YEAR(Q$4)=InterveningPeriod,'Input|Reported opex'!Q88,0)</f>
        <v>0</v>
      </c>
      <c r="R42" s="109">
        <f>IF(YEAR(R$4)=InterveningPeriod,'Input|Reported opex'!R88,0)</f>
        <v>0</v>
      </c>
      <c r="S42" s="109">
        <f>IF(YEAR(S$4)=InterveningPeriod,'Input|Reported opex'!S88,0)</f>
        <v>0</v>
      </c>
      <c r="T42" s="109">
        <f>IF(YEAR(T$4)=InterveningPeriod,'Input|Reported opex'!T88,0)</f>
        <v>0</v>
      </c>
    </row>
    <row r="43" spans="3:20" outlineLevel="1">
      <c r="C43" s="123" t="str">
        <f>C42</f>
        <v>Wasted truck visits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0.21792843031231493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opex'!$C$89</f>
        <v>Replacement expenditure on faults and minor repairs</v>
      </c>
      <c r="D45" s="108" t="s">
        <v>91</v>
      </c>
      <c r="E45" s="30" t="str">
        <f>'Input|Reported opex'!$E$89</f>
        <v>$millions</v>
      </c>
      <c r="F45" s="158">
        <f>'Input|Reported opex'!$F$89</f>
        <v>44348</v>
      </c>
      <c r="J45" s="109">
        <f>IF(YEAR(J$4)=InterveningPeriod,'Input|Reported opex'!J89,0)</f>
        <v>0</v>
      </c>
      <c r="K45" s="109">
        <f>IF(YEAR(K$4)=InterveningPeriod,'Input|Reported opex'!K89,0)</f>
        <v>0</v>
      </c>
      <c r="L45" s="109">
        <f>IF(YEAR(L$4)=InterveningPeriod,'Input|Reported opex'!L89,0)</f>
        <v>0</v>
      </c>
      <c r="M45" s="109">
        <f>IF(YEAR(M$4)=InterveningPeriod,'Input|Reported opex'!M89,0)</f>
        <v>0</v>
      </c>
      <c r="N45" s="109">
        <f>IF(YEAR(N$4)=InterveningPeriod,'Input|Reported opex'!N89,0)</f>
        <v>0</v>
      </c>
      <c r="O45" s="109">
        <f>IF(YEAR(O$4)=InterveningPeriod,'Input|Reported opex'!O89,0)</f>
        <v>3.5</v>
      </c>
      <c r="P45" s="109">
        <f>IF(YEAR(P$4)=InterveningPeriod,'Input|Reported opex'!P89,0)</f>
        <v>0</v>
      </c>
      <c r="Q45" s="109">
        <f>IF(YEAR(Q$4)=InterveningPeriod,'Input|Reported opex'!Q89,0)</f>
        <v>0</v>
      </c>
      <c r="R45" s="109">
        <f>IF(YEAR(R$4)=InterveningPeriod,'Input|Reported opex'!R89,0)</f>
        <v>0</v>
      </c>
      <c r="S45" s="109">
        <f>IF(YEAR(S$4)=InterveningPeriod,'Input|Reported opex'!S89,0)</f>
        <v>0</v>
      </c>
      <c r="T45" s="109">
        <f>IF(YEAR(T$4)=InterveningPeriod,'Input|Reported opex'!T89,0)</f>
        <v>0</v>
      </c>
    </row>
    <row r="46" spans="3:20" outlineLevel="1">
      <c r="C46" s="123" t="str">
        <f>C45</f>
        <v>Replacement expenditure on faults and minor repairs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3.5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opex'!$C$90</f>
        <v>ESV levy</v>
      </c>
      <c r="D48" s="108" t="s">
        <v>91</v>
      </c>
      <c r="E48" s="30" t="str">
        <f>'Input|Reported opex'!$E$90</f>
        <v>$millions</v>
      </c>
      <c r="F48" s="158">
        <f>'Input|Reported opex'!$F$90</f>
        <v>44348</v>
      </c>
      <c r="J48" s="109">
        <f>IF(YEAR(J$4)=InterveningPeriod,'Input|Reported opex'!J90,0)</f>
        <v>0</v>
      </c>
      <c r="K48" s="109">
        <f>IF(YEAR(K$4)=InterveningPeriod,'Input|Reported opex'!K90,0)</f>
        <v>0</v>
      </c>
      <c r="L48" s="109">
        <f>IF(YEAR(L$4)=InterveningPeriod,'Input|Reported opex'!L90,0)</f>
        <v>0</v>
      </c>
      <c r="M48" s="109">
        <f>IF(YEAR(M$4)=InterveningPeriod,'Input|Reported opex'!M90,0)</f>
        <v>0</v>
      </c>
      <c r="N48" s="109">
        <f>IF(YEAR(N$4)=InterveningPeriod,'Input|Reported opex'!N90,0)</f>
        <v>0</v>
      </c>
      <c r="O48" s="109">
        <f>IF(YEAR(O$4)=InterveningPeriod,'Input|Reported opex'!O90,0)</f>
        <v>-2.389369540677257</v>
      </c>
      <c r="P48" s="109">
        <f>IF(YEAR(P$4)=InterveningPeriod,'Input|Reported opex'!P90,0)</f>
        <v>0</v>
      </c>
      <c r="Q48" s="109">
        <f>IF(YEAR(Q$4)=InterveningPeriod,'Input|Reported opex'!Q90,0)</f>
        <v>0</v>
      </c>
      <c r="R48" s="109">
        <f>IF(YEAR(R$4)=InterveningPeriod,'Input|Reported opex'!R90,0)</f>
        <v>0</v>
      </c>
      <c r="S48" s="109">
        <f>IF(YEAR(S$4)=InterveningPeriod,'Input|Reported opex'!S90,0)</f>
        <v>0</v>
      </c>
      <c r="T48" s="109">
        <f>IF(YEAR(T$4)=InterveningPeriod,'Input|Reported opex'!T90,0)</f>
        <v>0</v>
      </c>
    </row>
    <row r="49" spans="1:48" outlineLevel="1">
      <c r="C49" s="123" t="str">
        <f>C48</f>
        <v>ESV levy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-2.389369540677257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>
        <f>'Input|Reported opex'!$C$91</f>
        <v>0</v>
      </c>
      <c r="D51" s="108" t="s">
        <v>91</v>
      </c>
      <c r="E51" s="30" t="str">
        <f>'Input|Reported opex'!$E$91</f>
        <v>$millions</v>
      </c>
      <c r="F51" s="158">
        <f>'Input|Reported opex'!$F$91</f>
        <v>44348</v>
      </c>
      <c r="J51" s="109">
        <f>IF(YEAR(J$4)=InterveningPeriod,'Input|Reported opex'!J91,0)</f>
        <v>0</v>
      </c>
      <c r="K51" s="109">
        <f>IF(YEAR(K$4)=InterveningPeriod,'Input|Reported opex'!K91,0)</f>
        <v>0</v>
      </c>
      <c r="L51" s="109">
        <f>IF(YEAR(L$4)=InterveningPeriod,'Input|Reported opex'!L91,0)</f>
        <v>0</v>
      </c>
      <c r="M51" s="109">
        <f>IF(YEAR(M$4)=InterveningPeriod,'Input|Reported opex'!M91,0)</f>
        <v>0</v>
      </c>
      <c r="N51" s="109">
        <f>IF(YEAR(N$4)=InterveningPeriod,'Input|Reported opex'!N91,0)</f>
        <v>0</v>
      </c>
      <c r="O51" s="109">
        <f>IF(YEAR(O$4)=InterveningPeriod,'Input|Reported opex'!O91,0)</f>
        <v>0</v>
      </c>
      <c r="P51" s="109">
        <f>IF(YEAR(P$4)=InterveningPeriod,'Input|Reported opex'!P91,0)</f>
        <v>0</v>
      </c>
      <c r="Q51" s="109">
        <f>IF(YEAR(Q$4)=InterveningPeriod,'Input|Reported opex'!Q91,0)</f>
        <v>0</v>
      </c>
      <c r="R51" s="109">
        <f>IF(YEAR(R$4)=InterveningPeriod,'Input|Reported opex'!R91,0)</f>
        <v>0</v>
      </c>
      <c r="S51" s="109">
        <f>IF(YEAR(S$4)=InterveningPeriod,'Input|Reported opex'!S91,0)</f>
        <v>0</v>
      </c>
      <c r="T51" s="109">
        <f>IF(YEAR(T$4)=InterveningPeriod,'Input|Reported opex'!T91,0)</f>
        <v>0</v>
      </c>
    </row>
    <row r="52" spans="1:48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opex'!J95</f>
        <v>0</v>
      </c>
      <c r="K54" s="115">
        <f>SUM(K35,K40,K43,K46,K49,K52)*'Input|Reported opex'!K95</f>
        <v>0</v>
      </c>
      <c r="L54" s="115">
        <f>SUM(L35,L40,L43,L46,L49,L52)*'Input|Reported opex'!L95</f>
        <v>0</v>
      </c>
      <c r="M54" s="115">
        <f>SUM(M35,M40,M43,M46,M49,M52)*'Input|Reported opex'!M95</f>
        <v>0</v>
      </c>
      <c r="N54" s="115">
        <f>SUM(N35,N40,N43,N46,N49,N52)*'Input|Reported opex'!N95</f>
        <v>0</v>
      </c>
      <c r="O54" s="115">
        <f>SUM(O35,O40,O43,O46,O49,O52)*'Input|Reported opex'!O95</f>
        <v>0</v>
      </c>
      <c r="P54" s="115">
        <f>SUM(P35,P40,P43,P46,P49,P52)*'Input|Reported opex'!P95</f>
        <v>0</v>
      </c>
      <c r="Q54" s="115">
        <f>SUM(Q35,Q40,Q43,Q46,Q49,Q52)*'Input|Reported opex'!Q95</f>
        <v>0</v>
      </c>
      <c r="R54" s="115">
        <f>SUM(R35,R40,R43,R46,R49,R52)*'Input|Reported opex'!R95</f>
        <v>0</v>
      </c>
      <c r="S54" s="115">
        <f>SUM(S35,S40,S43,S46,S49,S52)*'Input|Reported opex'!S95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162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125.66662978187628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5.3952468084736815E-3</v>
      </c>
      <c r="Q63" s="117">
        <f ca="1">IF(Q60=Q4,AVERAGE(OFFSET('Input|Rate of change'!R97,0,0,COUNTA('Input|Rate of change'!$J$84:$N$84),1)),0)</f>
        <v>8.5475656977428444E-3</v>
      </c>
      <c r="R63" s="117">
        <f ca="1">IF(R60=R4,AVERAGE(OFFSET('Input|Rate of change'!S97,0,0,COUNTA('Input|Rate of change'!$J$84:$N$84),1)),0)</f>
        <v>1.0010539912033779E-2</v>
      </c>
      <c r="S63" s="117">
        <f ca="1">IF(S60=S4,AVERAGE(OFFSET('Input|Rate of change'!T97,0,0,COUNTA('Input|Rate of change'!$J$84:$N$84),1)),0)</f>
        <v>9.8344894263000908E-3</v>
      </c>
      <c r="T63" s="117">
        <f ca="1">IF(T60=T4,AVERAGE(OFFSET('Input|Rate of change'!U97,0,0,COUNTA('Input|Rate of change'!$J$84:$N$84),1)),0)</f>
        <v>9.6397726640324328E-3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4.5951852180371152E-3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135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6.2300293994916878E-3</v>
      </c>
      <c r="Q69" s="143">
        <f t="shared" ca="1" si="9"/>
        <v>6.4519699351319737E-3</v>
      </c>
      <c r="R69" s="143">
        <f t="shared" ca="1" si="9"/>
        <v>8.8350581011251705E-3</v>
      </c>
      <c r="S69" s="143">
        <f t="shared" ca="1" si="9"/>
        <v>1.0694768063719051E-2</v>
      </c>
      <c r="T69" s="143">
        <f t="shared" ref="T69" ca="1" si="10">(1+T63)*(1+T65)*(1-T67)-1</f>
        <v>1.2367766449555617E-2</v>
      </c>
    </row>
    <row r="70" spans="1:48" outlineLevel="1">
      <c r="C70" s="124" t="s">
        <v>136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6.2300293994916878E-3</v>
      </c>
      <c r="Q70" s="117">
        <f t="array" aca="1" ref="Q70" ca="1">IF(Q$60=Q$4,PRODUCT(1+$J69:Q69)-1,"")</f>
        <v>1.2722195297004246E-2</v>
      </c>
      <c r="R70" s="117">
        <f t="array" aca="1" ref="R70" ca="1">IF(R$60=R$4,PRODUCT(1+$J69:R69)-1,"")</f>
        <v>2.1669654732752397E-2</v>
      </c>
      <c r="S70" s="117">
        <f t="array" aca="1" ref="S70" ca="1">IF(S$60=S$4,PRODUCT(1+$J69:S69)-1,"")</f>
        <v>3.259617472785914E-2</v>
      </c>
      <c r="T70" s="117">
        <f t="array" aca="1" ref="T70" ca="1">IF(T$60=T$4,PRODUCT(1+$J69:T69)-1,"")</f>
        <v>4.5367083053597934E-2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Security of critical infrastructure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8.5358479086709433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5.7599025732741582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5.6974592032624081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5.5599701886417128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5.6030079767700061</v>
      </c>
    </row>
    <row r="77" spans="1:48" outlineLevel="1">
      <c r="C77" s="121" t="str">
        <f>'Input|Step changes'!C13</f>
        <v>Increasing insurance premiums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3.2789344821161626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5.1638487721161619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6.2924810371161621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6.7875615371161624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7.332150037116163</v>
      </c>
    </row>
    <row r="78" spans="1:48" outlineLevel="1">
      <c r="C78" s="121" t="str">
        <f>'Input|Step changes'!C14</f>
        <v>IT cloud solutions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0.68839207822608384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0.68054311261007849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0.96804684174960498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1.106332549889335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1.099860653508375</v>
      </c>
    </row>
    <row r="79" spans="1:48" outlineLevel="1">
      <c r="C79" s="121" t="str">
        <f>'Input|Step changes'!C15</f>
        <v>Solar enablement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0.89187328341948835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0.75478456023919027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0.78376835138728562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0.74152762325637167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0.77559530717493641</v>
      </c>
    </row>
    <row r="80" spans="1:48" outlineLevel="1">
      <c r="C80" s="121" t="str">
        <f>'Input|Step changes'!C16</f>
        <v>5 minute settlement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0.54714678092973335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0.58543135839940141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0.72910218099269442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0.8516708076577959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0.98407458393237646</v>
      </c>
    </row>
    <row r="81" spans="1:48" outlineLevel="1">
      <c r="C81" s="121" t="str">
        <f>'Input|Step changes'!C17</f>
        <v>Demand management programs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0.83137273334415818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0.5572225771905206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0.56444859142777248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0.57398723419791409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0.57843026898688132</v>
      </c>
    </row>
    <row r="82" spans="1:48" outlineLevel="1">
      <c r="C82" s="121" t="str">
        <f>'Input|Step changes'!C18</f>
        <v/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/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/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 t="shared" ref="J86:T86" si="14">SUM(J75:J85)</f>
        <v>0</v>
      </c>
      <c r="K86" s="174">
        <f t="shared" si="14"/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14.77356726670657</v>
      </c>
      <c r="Q86" s="174">
        <f t="shared" si="14"/>
        <v>13.50173295382951</v>
      </c>
      <c r="R86" s="174">
        <f t="shared" si="14"/>
        <v>15.035306205935926</v>
      </c>
      <c r="S86" s="174">
        <f t="shared" si="14"/>
        <v>15.62104994075929</v>
      </c>
      <c r="T86" s="174">
        <f t="shared" si="14"/>
        <v>16.373118827488739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114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5">Q$4</f>
        <v>45078</v>
      </c>
      <c r="R90" s="160">
        <f t="shared" si="15"/>
        <v>45444</v>
      </c>
      <c r="S90" s="160">
        <f t="shared" si="15"/>
        <v>45809</v>
      </c>
      <c r="T90" s="160">
        <f t="shared" si="15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</v>
      </c>
      <c r="D92" s="110" t="s">
        <v>30</v>
      </c>
      <c r="E92" s="30" t="str">
        <f t="shared" si="12"/>
        <v>$millions</v>
      </c>
      <c r="F92" s="158">
        <f t="shared" ref="F92:F94" si="16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6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6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115</v>
      </c>
      <c r="D96" s="122" t="s">
        <v>30</v>
      </c>
      <c r="E96" s="122" t="str">
        <f>$E$8</f>
        <v>$millions</v>
      </c>
      <c r="F96" s="172">
        <f t="shared" ref="F96" si="17">$F$8</f>
        <v>44348</v>
      </c>
      <c r="G96" s="32"/>
      <c r="H96" s="32"/>
      <c r="I96" s="32"/>
      <c r="J96" s="128">
        <f>SUM(J91:J95)</f>
        <v>0</v>
      </c>
      <c r="K96" s="128">
        <f t="shared" ref="K96:S96" si="18">SUM(K91:K95)</f>
        <v>0</v>
      </c>
      <c r="L96" s="128">
        <f t="shared" si="18"/>
        <v>0</v>
      </c>
      <c r="M96" s="128">
        <f t="shared" si="18"/>
        <v>0</v>
      </c>
      <c r="N96" s="128">
        <f t="shared" si="18"/>
        <v>0</v>
      </c>
      <c r="O96" s="128">
        <f t="shared" si="18"/>
        <v>0</v>
      </c>
      <c r="P96" s="128">
        <f t="shared" si="18"/>
        <v>0.81501189500464466</v>
      </c>
      <c r="Q96" s="128">
        <f t="shared" si="18"/>
        <v>0.81501189500464466</v>
      </c>
      <c r="R96" s="128">
        <f t="shared" si="18"/>
        <v>0.81501189500464466</v>
      </c>
      <c r="S96" s="128">
        <f t="shared" si="18"/>
        <v>0.81501189500464466</v>
      </c>
      <c r="T96" s="128">
        <f t="shared" ref="T96" si="19">SUM(T91:T95)</f>
        <v>0.81501189500464466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0">Q$4</f>
        <v>45078</v>
      </c>
      <c r="R100" s="160">
        <f t="shared" si="20"/>
        <v>45444</v>
      </c>
      <c r="S100" s="160">
        <f t="shared" si="20"/>
        <v>45809</v>
      </c>
      <c r="T100" s="160">
        <f t="shared" si="20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132</v>
      </c>
      <c r="D102" s="126" t="s">
        <v>30</v>
      </c>
      <c r="E102" s="126" t="str">
        <f>$E$8</f>
        <v>$millions</v>
      </c>
      <c r="F102" s="172">
        <f t="shared" ref="F102:F104" si="21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141.22310384665897</v>
      </c>
      <c r="Q102" s="149">
        <f ca="1">(1+Q70)*SUM($J56:$S56)+Q86</f>
        <v>140.76711814210717</v>
      </c>
      <c r="R102" s="149">
        <f ca="1">(1+R70)*SUM($J56:$S56)+R86</f>
        <v>143.42508846661408</v>
      </c>
      <c r="S102" s="149">
        <f ca="1">(1+S70)*SUM($J56:$S56)+S86</f>
        <v>145.3839311444668</v>
      </c>
      <c r="T102" s="149">
        <f ca="1">(1+T70)*SUM($J56:$S56)+T86</f>
        <v>147.74087703974516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1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142.0381157416636</v>
      </c>
      <c r="Q103" s="149">
        <f ca="1">(1+Q70)*SUM($J56:$S56)+Q86+Q96</f>
        <v>141.5821300371118</v>
      </c>
      <c r="R103" s="149">
        <f ca="1">(1+R70)*SUM($J56:$S56)+R86+R96</f>
        <v>144.24010036161872</v>
      </c>
      <c r="S103" s="149">
        <f ca="1">(1+S70)*SUM($J56:$S56)+S86+S96</f>
        <v>146.19894303947143</v>
      </c>
      <c r="T103" s="149">
        <f ca="1">(1+T70)*SUM($J56:$S56)+T86+T96</f>
        <v>148.55588893474979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1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143.20227092350197</v>
      </c>
      <c r="Q104" s="149">
        <f ca="1">Q103+'Input|Step changes'!Q38</f>
        <v>142.79224346653396</v>
      </c>
      <c r="R104" s="149">
        <f ca="1">R103+'Input|Step changes'!R38</f>
        <v>145.46794385337373</v>
      </c>
      <c r="S104" s="149">
        <f ca="1">S103+'Input|Step changes'!S38</f>
        <v>147.43259932469289</v>
      </c>
      <c r="T104" s="149">
        <f ca="1">T103+'Input|Step changes'!T38</f>
        <v>149.79324360155243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  <row r="195"/>
    <row r="196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86:T86">
    <cfRule type="expression" dxfId="31" priority="142">
      <formula>J$74=J$4</formula>
    </cfRule>
    <cfRule type="cellIs" dxfId="30" priority="143" operator="equal">
      <formula>0</formula>
    </cfRule>
  </conditionalFormatting>
  <conditionalFormatting sqref="J60:T60 J74:T74 J90:T90 P100:T100">
    <cfRule type="expression" dxfId="29" priority="144">
      <formula>J$60=J$4</formula>
    </cfRule>
  </conditionalFormatting>
  <conditionalFormatting sqref="J25:T25">
    <cfRule type="cellIs" dxfId="28" priority="2" operator="equal">
      <formula>0</formula>
    </cfRule>
  </conditionalFormatting>
  <conditionalFormatting sqref="J25:T25">
    <cfRule type="cellIs" dxfId="27" priority="1" operator="equal">
      <formula>0</formula>
    </cfRule>
  </conditionalFormatting>
  <conditionalFormatting sqref="J96:T96">
    <cfRule type="expression" dxfId="26" priority="151">
      <formula>J$90=J$4</formula>
    </cfRule>
    <cfRule type="cellIs" dxfId="25" priority="152" operator="equal">
      <formula>0</formula>
    </cfRule>
  </conditionalFormatting>
  <conditionalFormatting sqref="J100:O100">
    <cfRule type="expression" dxfId="24" priority="153">
      <formula>J$100=J$4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4" t="s">
        <v>229</v>
      </c>
      <c r="S1" s="72" t="s">
        <v>81</v>
      </c>
      <c r="T1" s="76" t="s">
        <v>36</v>
      </c>
      <c r="V1" s="185" t="s">
        <v>24</v>
      </c>
      <c r="W1" s="76" t="str">
        <f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7"/>
      <c r="O3" s="247"/>
      <c r="P3" s="247"/>
      <c r="Q3" s="247"/>
      <c r="R3" s="247"/>
      <c r="S3" s="247"/>
      <c r="T3" s="247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141.22310384665897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140.76711814210717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143.42508846661408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145.3839311444668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147.74087703974516</v>
      </c>
      <c r="U13" s="111"/>
      <c r="V13" s="150"/>
    </row>
    <row r="14" spans="1:27">
      <c r="C14" s="111" t="str">
        <f>'Input|Step changes'!C28</f>
        <v>GSL payment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34" t="s">
        <v>229</v>
      </c>
      <c r="R1" s="39"/>
      <c r="S1" s="40"/>
      <c r="U1" s="179" t="s">
        <v>24</v>
      </c>
      <c r="V1" s="40" t="str">
        <f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152</v>
      </c>
      <c r="H40" s="14" t="s">
        <v>150</v>
      </c>
      <c r="I40" s="14" t="s">
        <v>151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149</v>
      </c>
      <c r="H64" s="14" t="s">
        <v>117</v>
      </c>
    </row>
    <row r="65" spans="1:47">
      <c r="C65" s="15" t="s">
        <v>183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137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138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139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140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141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187</v>
      </c>
      <c r="D71" s="16" t="s">
        <v>97</v>
      </c>
      <c r="E71" s="16"/>
      <c r="F71" s="16"/>
      <c r="G71" s="181" t="s">
        <v>188</v>
      </c>
      <c r="H71" s="183">
        <f>DATE(YEAR(H70)+1,6,1)</f>
        <v>44348</v>
      </c>
    </row>
    <row r="72" spans="1:47">
      <c r="C72" s="15" t="s">
        <v>142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143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144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145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146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149</v>
      </c>
      <c r="H80" s="212"/>
    </row>
    <row r="81" spans="1:47">
      <c r="C81" s="15" t="s">
        <v>177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178</v>
      </c>
      <c r="D82" s="16" t="s">
        <v>68</v>
      </c>
      <c r="E82" s="16"/>
      <c r="F82" s="16"/>
      <c r="G82" s="182" t="s">
        <v>179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34" t="s">
        <v>229</v>
      </c>
      <c r="R1" s="179" t="s">
        <v>24</v>
      </c>
      <c r="S1" s="40" t="str">
        <f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Index</vt:lpstr>
      <vt:lpstr>Amendments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Amendments!BaseYear</vt:lpstr>
      <vt:lpstr>BaseYear</vt:lpstr>
      <vt:lpstr>dollars</vt:lpstr>
      <vt:lpstr>factor</vt:lpstr>
      <vt:lpstr>Amendments!FPFirstYear</vt:lpstr>
      <vt:lpstr>FPFirstYear</vt:lpstr>
      <vt:lpstr>Amendments!FPLastYear</vt:lpstr>
      <vt:lpstr>FPLastYear</vt:lpstr>
      <vt:lpstr>Amendments!InterveningPeriod</vt:lpstr>
      <vt:lpstr>InterveningPeriod</vt:lpstr>
      <vt:lpstr>millions</vt:lpstr>
      <vt:lpstr>Amendments!Nominal_to_Real</vt:lpstr>
      <vt:lpstr>Nominal_to_Real</vt:lpstr>
      <vt:lpstr>NSP</vt:lpstr>
      <vt:lpstr>number</vt:lpstr>
      <vt:lpstr>Amendments!percent</vt:lpstr>
      <vt:lpstr>percent</vt:lpstr>
      <vt:lpstr>Amendments!PPFirstYear</vt:lpstr>
      <vt:lpstr>PPFirstYear</vt:lpstr>
      <vt:lpstr>Amendments!PPLastYear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2020-09-28T06:36:03Z</dcterms:created>
  <dcterms:modified xsi:type="dcterms:W3CDTF">2021-03-24T05:39:48Z</dcterms:modified>
</cp:coreProperties>
</file>