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F30" i="3" l="1"/>
  <c r="L30" i="3" l="1"/>
  <c r="R30" i="3" s="1"/>
  <c r="X30" i="3" s="1"/>
  <c r="F31" i="3"/>
  <c r="L31" i="3" s="1"/>
  <c r="R31" i="3" s="1"/>
  <c r="X31" i="3" s="1"/>
  <c r="D8" i="12" l="1"/>
  <c r="E8" i="12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G92" i="24"/>
  <c r="I89" i="24"/>
  <c r="I90" i="24"/>
  <c r="I91" i="24"/>
  <c r="I88" i="24"/>
  <c r="G103" i="24"/>
  <c r="F103" i="24"/>
  <c r="G102" i="24"/>
  <c r="F102" i="24"/>
  <c r="G101" i="24"/>
  <c r="F101" i="24"/>
  <c r="G100" i="24"/>
  <c r="F100" i="24"/>
  <c r="G99" i="24"/>
  <c r="F99" i="24"/>
  <c r="G98" i="24"/>
  <c r="F98" i="24"/>
  <c r="G97" i="24"/>
  <c r="F97" i="24"/>
  <c r="G96" i="24"/>
  <c r="F96" i="24"/>
  <c r="G95" i="24"/>
  <c r="F95" i="24"/>
  <c r="G94" i="24"/>
  <c r="F94" i="24"/>
  <c r="G93" i="24"/>
  <c r="F93" i="24"/>
  <c r="F92" i="24"/>
  <c r="J91" i="24"/>
  <c r="J90" i="24"/>
  <c r="J89" i="24"/>
  <c r="J88" i="24"/>
  <c r="G86" i="24"/>
  <c r="F86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H65" i="24"/>
  <c r="H66" i="24"/>
  <c r="H67" i="24"/>
  <c r="H64" i="24"/>
  <c r="F62" i="24"/>
  <c r="E151" i="24" l="1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31" i="24" l="1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H151" i="24" s="1"/>
  <c r="G31" i="24"/>
  <c r="F31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H150" i="24" s="1"/>
  <c r="G30" i="24"/>
  <c r="F30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H149" i="24" s="1"/>
  <c r="G29" i="24"/>
  <c r="F29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H148" i="24" s="1"/>
  <c r="G28" i="24"/>
  <c r="F28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H147" i="24" s="1"/>
  <c r="G27" i="24"/>
  <c r="F27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H146" i="24" s="1"/>
  <c r="G26" i="24"/>
  <c r="F26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H145" i="24" s="1"/>
  <c r="G25" i="24"/>
  <c r="F25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H144" i="24" s="1"/>
  <c r="G24" i="24"/>
  <c r="F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H143" i="24" s="1"/>
  <c r="G23" i="24"/>
  <c r="F23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H142" i="24" s="1"/>
  <c r="G22" i="24"/>
  <c r="F22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H140" i="24" s="1"/>
  <c r="G20" i="24"/>
  <c r="F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I134" i="24" s="1"/>
  <c r="H14" i="24"/>
  <c r="G14" i="24"/>
  <c r="F14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34" i="24" l="1"/>
  <c r="G110" i="24"/>
  <c r="G141" i="24"/>
  <c r="G117" i="24"/>
  <c r="G144" i="24"/>
  <c r="G120" i="24"/>
  <c r="G122" i="24"/>
  <c r="G146" i="24"/>
  <c r="G148" i="24"/>
  <c r="G124" i="24"/>
  <c r="G127" i="24"/>
  <c r="G151" i="24"/>
  <c r="F134" i="24"/>
  <c r="F110" i="24"/>
  <c r="F141" i="24"/>
  <c r="F117" i="24"/>
  <c r="F118" i="24"/>
  <c r="F142" i="24"/>
  <c r="F119" i="24"/>
  <c r="F143" i="24"/>
  <c r="F144" i="24"/>
  <c r="F120" i="24"/>
  <c r="F121" i="24"/>
  <c r="F145" i="24"/>
  <c r="F122" i="24"/>
  <c r="F146" i="24"/>
  <c r="F123" i="24"/>
  <c r="F147" i="24"/>
  <c r="F124" i="24"/>
  <c r="F148" i="24"/>
  <c r="F149" i="24"/>
  <c r="F125" i="24"/>
  <c r="F126" i="24"/>
  <c r="F150" i="24"/>
  <c r="F151" i="24"/>
  <c r="F127" i="24"/>
  <c r="G119" i="24"/>
  <c r="G143" i="24"/>
  <c r="G145" i="24"/>
  <c r="G121" i="24"/>
  <c r="G123" i="24"/>
  <c r="G147" i="24"/>
  <c r="G149" i="24"/>
  <c r="G125" i="24"/>
  <c r="G126" i="24"/>
  <c r="G150" i="24"/>
  <c r="H110" i="24"/>
  <c r="H134" i="24"/>
  <c r="G140" i="24"/>
  <c r="G116" i="24"/>
  <c r="F116" i="24"/>
  <c r="F140" i="24"/>
  <c r="G118" i="24"/>
  <c r="G142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Y17" i="24" s="1"/>
  <c r="V31" i="3"/>
  <c r="X17" i="24" s="1"/>
  <c r="U31" i="3"/>
  <c r="W17" i="24" s="1"/>
  <c r="T31" i="3"/>
  <c r="V17" i="24" s="1"/>
  <c r="S31" i="3"/>
  <c r="U17" i="24" s="1"/>
  <c r="Q31" i="3"/>
  <c r="S17" i="24" s="1"/>
  <c r="P31" i="3"/>
  <c r="R17" i="24" s="1"/>
  <c r="O31" i="3"/>
  <c r="Q17" i="24" s="1"/>
  <c r="N31" i="3"/>
  <c r="P17" i="24" s="1"/>
  <c r="M31" i="3"/>
  <c r="O17" i="24" s="1"/>
  <c r="K31" i="3"/>
  <c r="M17" i="24" s="1"/>
  <c r="J31" i="3"/>
  <c r="L17" i="24" s="1"/>
  <c r="I31" i="3"/>
  <c r="K17" i="24" s="1"/>
  <c r="H31" i="3"/>
  <c r="J17" i="24" s="1"/>
  <c r="J137" i="24" s="1"/>
  <c r="G31" i="3"/>
  <c r="I17" i="24" s="1"/>
  <c r="Z30" i="3"/>
  <c r="W30" i="3"/>
  <c r="Y16" i="24" s="1"/>
  <c r="V30" i="3"/>
  <c r="X16" i="24" s="1"/>
  <c r="U30" i="3"/>
  <c r="W16" i="24" s="1"/>
  <c r="T30" i="3"/>
  <c r="V16" i="24" s="1"/>
  <c r="S30" i="3"/>
  <c r="U16" i="24" s="1"/>
  <c r="Q30" i="3"/>
  <c r="S16" i="24" s="1"/>
  <c r="P30" i="3"/>
  <c r="R16" i="24" s="1"/>
  <c r="O30" i="3"/>
  <c r="Q16" i="24" s="1"/>
  <c r="N30" i="3"/>
  <c r="P16" i="24" s="1"/>
  <c r="M30" i="3"/>
  <c r="O16" i="24" s="1"/>
  <c r="K30" i="3"/>
  <c r="M16" i="24" s="1"/>
  <c r="J30" i="3"/>
  <c r="L16" i="24" s="1"/>
  <c r="I30" i="3"/>
  <c r="K16" i="24" s="1"/>
  <c r="H30" i="3"/>
  <c r="J16" i="24" s="1"/>
  <c r="J136" i="24" s="1"/>
  <c r="G30" i="3"/>
  <c r="I16" i="24" s="1"/>
  <c r="I112" i="24" l="1"/>
  <c r="I136" i="24"/>
  <c r="I137" i="24"/>
  <c r="I113" i="24"/>
  <c r="Z177" i="3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I8" i="24" l="1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H9" i="24" l="1"/>
  <c r="F227" i="24"/>
  <c r="G5" i="24"/>
  <c r="I9" i="24" l="1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H227" i="24" l="1"/>
  <c r="I5" i="24"/>
  <c r="J9" i="24"/>
  <c r="K9" i="24" l="1"/>
  <c r="I227" i="24"/>
  <c r="J5" i="24"/>
  <c r="J227" i="24" l="1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M9" i="24" l="1"/>
  <c r="K227" i="24"/>
  <c r="L5" i="24"/>
  <c r="L227" i="24" l="1"/>
  <c r="M5" i="24"/>
  <c r="N9" i="24"/>
  <c r="D432" i="17"/>
  <c r="D388" i="17"/>
  <c r="F212" i="17"/>
  <c r="O9" i="24" l="1"/>
  <c r="M227" i="24"/>
  <c r="N5" i="24"/>
  <c r="J39" i="10"/>
  <c r="I39" i="10"/>
  <c r="H39" i="10"/>
  <c r="G39" i="10"/>
  <c r="F39" i="10"/>
  <c r="N227" i="24" l="1"/>
  <c r="O5" i="24"/>
  <c r="P9" i="24"/>
  <c r="C357" i="3"/>
  <c r="E3" i="15"/>
  <c r="F357" i="3" l="1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D293" i="17" l="1"/>
  <c r="D358" i="17"/>
  <c r="D351" i="17"/>
  <c r="D344" i="17"/>
  <c r="R9" i="24"/>
  <c r="Q13" i="24"/>
  <c r="P182" i="24"/>
  <c r="P183" i="24"/>
  <c r="P178" i="24"/>
  <c r="D256" i="17"/>
  <c r="D300" i="17" l="1"/>
  <c r="D307" i="17"/>
  <c r="D321" i="17"/>
  <c r="D314" i="17"/>
  <c r="R13" i="24"/>
  <c r="S9" i="24"/>
  <c r="Q183" i="24"/>
  <c r="Q178" i="24"/>
  <c r="Q182" i="24"/>
  <c r="D270" i="17"/>
  <c r="D226" i="17"/>
  <c r="D219" i="17" l="1"/>
  <c r="E13" i="24"/>
  <c r="D411" i="17"/>
  <c r="F13" i="24"/>
  <c r="R183" i="24"/>
  <c r="R182" i="24"/>
  <c r="S13" i="24"/>
  <c r="T9" i="24"/>
  <c r="R178" i="24"/>
  <c r="D277" i="17"/>
  <c r="D263" i="17"/>
  <c r="F85" i="24" l="1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F181" i="24" l="1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F152" i="24" l="1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K178" i="24" l="1"/>
  <c r="E165" i="24"/>
  <c r="E164" i="24"/>
  <c r="G165" i="24"/>
  <c r="G164" i="24"/>
  <c r="V178" i="24"/>
  <c r="V182" i="24"/>
  <c r="W13" i="24"/>
  <c r="X9" i="24"/>
  <c r="V183" i="24"/>
  <c r="L13" i="24"/>
  <c r="L178" i="24" l="1"/>
  <c r="L233" i="24"/>
  <c r="L234" i="24" s="1"/>
  <c r="X13" i="24"/>
  <c r="Y9" i="24"/>
  <c r="W183" i="24"/>
  <c r="W178" i="24"/>
  <c r="W182" i="24"/>
  <c r="N13" i="24"/>
  <c r="M13" i="24"/>
  <c r="T233" i="24" l="1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5" i="24"/>
  <c r="D213" i="24" s="1"/>
  <c r="D30" i="24"/>
  <c r="D24" i="24"/>
  <c r="D212" i="24" s="1"/>
  <c r="D20" i="24"/>
  <c r="D208" i="24" s="1"/>
  <c r="D29" i="24"/>
  <c r="D27" i="24"/>
  <c r="D31" i="24"/>
  <c r="D26" i="24"/>
  <c r="D214" i="24" s="1"/>
  <c r="D22" i="24"/>
  <c r="D210" i="24" s="1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E9" i="12" s="1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Y32" i="24" l="1"/>
  <c r="S32" i="24"/>
  <c r="S235" i="24" s="1"/>
  <c r="S236" i="24" s="1"/>
  <c r="S228" i="24" s="1"/>
  <c r="F149" i="21"/>
  <c r="F145" i="21"/>
  <c r="F141" i="21"/>
  <c r="F137" i="21"/>
  <c r="F125" i="21"/>
  <c r="F121" i="21"/>
  <c r="F117" i="21"/>
  <c r="F115" i="21"/>
  <c r="F101" i="21"/>
  <c r="F97" i="21"/>
  <c r="F93" i="21"/>
  <c r="F89" i="21"/>
  <c r="F77" i="21"/>
  <c r="F73" i="21"/>
  <c r="F69" i="21"/>
  <c r="F63" i="21"/>
  <c r="F60" i="21"/>
  <c r="F49" i="21"/>
  <c r="F45" i="21"/>
  <c r="F41" i="21"/>
  <c r="F37" i="21"/>
  <c r="F152" i="21"/>
  <c r="F148" i="21"/>
  <c r="F144" i="21"/>
  <c r="F138" i="21"/>
  <c r="F135" i="21"/>
  <c r="F124" i="21"/>
  <c r="F120" i="21"/>
  <c r="F116" i="21"/>
  <c r="F112" i="21"/>
  <c r="F100" i="21"/>
  <c r="F96" i="21"/>
  <c r="F150" i="21"/>
  <c r="F140" i="21"/>
  <c r="F122" i="21"/>
  <c r="F114" i="21"/>
  <c r="F102" i="21"/>
  <c r="F94" i="21"/>
  <c r="F92" i="21"/>
  <c r="F88" i="21"/>
  <c r="F76" i="21"/>
  <c r="F71" i="21"/>
  <c r="F62" i="21"/>
  <c r="F48" i="21"/>
  <c r="F43" i="21"/>
  <c r="F42" i="21"/>
  <c r="F147" i="21"/>
  <c r="F139" i="21"/>
  <c r="F127" i="21"/>
  <c r="F119" i="21"/>
  <c r="F113" i="21"/>
  <c r="F99" i="21"/>
  <c r="F91" i="21"/>
  <c r="F75" i="21"/>
  <c r="F70" i="21"/>
  <c r="F65" i="21"/>
  <c r="F52" i="21"/>
  <c r="F47" i="21"/>
  <c r="F39" i="21"/>
  <c r="F146" i="21"/>
  <c r="F142" i="21"/>
  <c r="F126" i="21"/>
  <c r="F118" i="21"/>
  <c r="F98" i="21"/>
  <c r="F110" i="21"/>
  <c r="F72" i="21"/>
  <c r="F64" i="21"/>
  <c r="F50" i="21"/>
  <c r="F40" i="21"/>
  <c r="F151" i="21"/>
  <c r="F95" i="21"/>
  <c r="F87" i="21"/>
  <c r="F68" i="21"/>
  <c r="F67" i="21"/>
  <c r="F46" i="21"/>
  <c r="F143" i="21"/>
  <c r="F90" i="21"/>
  <c r="F85" i="21"/>
  <c r="F66" i="21"/>
  <c r="F44" i="21"/>
  <c r="F38" i="21"/>
  <c r="F123" i="21"/>
  <c r="F74" i="21"/>
  <c r="F51" i="21"/>
  <c r="F35" i="21"/>
  <c r="F9" i="20"/>
  <c r="G9" i="20" s="1"/>
  <c r="E13" i="20"/>
  <c r="F26" i="21"/>
  <c r="F22" i="21"/>
  <c r="F18" i="21"/>
  <c r="F14" i="21"/>
  <c r="F21" i="21"/>
  <c r="F20" i="21"/>
  <c r="F19" i="21"/>
  <c r="F25" i="21"/>
  <c r="F24" i="21"/>
  <c r="F23" i="21"/>
  <c r="F27" i="21"/>
  <c r="F10" i="21"/>
  <c r="F13" i="21"/>
  <c r="F12" i="21"/>
  <c r="F17" i="21"/>
  <c r="F16" i="21"/>
  <c r="F15" i="21"/>
  <c r="E105" i="24"/>
  <c r="F105" i="24"/>
  <c r="Y235" i="24"/>
  <c r="Y236" i="24" s="1"/>
  <c r="Y228" i="24" s="1"/>
  <c r="Y160" i="24"/>
  <c r="Y187" i="24" s="1"/>
  <c r="I139" i="24"/>
  <c r="I115" i="24"/>
  <c r="S160" i="24"/>
  <c r="S187" i="24" s="1"/>
  <c r="M32" i="24"/>
  <c r="M33" i="24" s="1"/>
  <c r="M169" i="24" s="1"/>
  <c r="M191" i="24" s="1"/>
  <c r="I114" i="24"/>
  <c r="I138" i="24"/>
  <c r="E10" i="12"/>
  <c r="F5" i="12"/>
  <c r="E24" i="17" s="1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U235" i="24" l="1"/>
  <c r="U236" i="24" s="1"/>
  <c r="U228" i="24" s="1"/>
  <c r="S33" i="24"/>
  <c r="S169" i="24" s="1"/>
  <c r="S191" i="24" s="1"/>
  <c r="G215" i="20"/>
  <c r="G13" i="20"/>
  <c r="F10" i="12"/>
  <c r="F14" i="20" s="1"/>
  <c r="E14" i="20"/>
  <c r="F215" i="20"/>
  <c r="F13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52" i="12"/>
  <c r="F148" i="12"/>
  <c r="G148" i="21" s="1"/>
  <c r="F144" i="12"/>
  <c r="F135" i="12"/>
  <c r="F128" i="12"/>
  <c r="F124" i="12"/>
  <c r="G123" i="21" s="1"/>
  <c r="F120" i="12"/>
  <c r="F111" i="12"/>
  <c r="F104" i="12"/>
  <c r="F100" i="12"/>
  <c r="G98" i="21" s="1"/>
  <c r="F96" i="12"/>
  <c r="F87" i="12"/>
  <c r="F80" i="12"/>
  <c r="F76" i="12"/>
  <c r="G73" i="21" s="1"/>
  <c r="F72" i="12"/>
  <c r="F63" i="12"/>
  <c r="F56" i="12"/>
  <c r="F52" i="12"/>
  <c r="G48" i="21" s="1"/>
  <c r="F48" i="12"/>
  <c r="F39" i="12"/>
  <c r="F32" i="12"/>
  <c r="F28" i="12"/>
  <c r="G23" i="21" s="1"/>
  <c r="F24" i="12"/>
  <c r="F15" i="12"/>
  <c r="F151" i="12"/>
  <c r="F147" i="12"/>
  <c r="G147" i="21" s="1"/>
  <c r="F143" i="12"/>
  <c r="F127" i="12"/>
  <c r="F123" i="12"/>
  <c r="F119" i="12"/>
  <c r="F103" i="12"/>
  <c r="F99" i="12"/>
  <c r="F95" i="12"/>
  <c r="F79" i="12"/>
  <c r="G76" i="21" s="1"/>
  <c r="F75" i="12"/>
  <c r="F71" i="12"/>
  <c r="F55" i="12"/>
  <c r="F51" i="12"/>
  <c r="G47" i="21" s="1"/>
  <c r="F31" i="12"/>
  <c r="F23" i="12"/>
  <c r="F150" i="12"/>
  <c r="F146" i="12"/>
  <c r="G146" i="21" s="1"/>
  <c r="F126" i="12"/>
  <c r="F122" i="12"/>
  <c r="F102" i="12"/>
  <c r="F98" i="12"/>
  <c r="G96" i="21" s="1"/>
  <c r="F78" i="12"/>
  <c r="F74" i="12"/>
  <c r="F54" i="12"/>
  <c r="F50" i="12"/>
  <c r="G46" i="21" s="1"/>
  <c r="F30" i="12"/>
  <c r="F26" i="12"/>
  <c r="F149" i="12"/>
  <c r="F145" i="12"/>
  <c r="G145" i="21" s="1"/>
  <c r="F141" i="12"/>
  <c r="F125" i="12"/>
  <c r="F121" i="12"/>
  <c r="F117" i="12"/>
  <c r="G116" i="21" s="1"/>
  <c r="F101" i="12"/>
  <c r="F97" i="12"/>
  <c r="F93" i="12"/>
  <c r="F77" i="12"/>
  <c r="G74" i="21" s="1"/>
  <c r="F73" i="12"/>
  <c r="F69" i="12"/>
  <c r="F53" i="12"/>
  <c r="F49" i="12"/>
  <c r="G45" i="21" s="1"/>
  <c r="F45" i="12"/>
  <c r="F29" i="12"/>
  <c r="F25" i="12"/>
  <c r="F21" i="12"/>
  <c r="G16" i="21" s="1"/>
  <c r="F47" i="12"/>
  <c r="F2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F134" i="12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110" i="12"/>
  <c r="F14" i="12"/>
  <c r="F38" i="12"/>
  <c r="G34" i="21" s="1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G9" i="21" l="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152" i="21"/>
  <c r="G109" i="21"/>
  <c r="G22" i="21"/>
  <c r="G24" i="21"/>
  <c r="G66" i="21"/>
  <c r="G95" i="21"/>
  <c r="G124" i="21"/>
  <c r="G21" i="21"/>
  <c r="G71" i="21"/>
  <c r="G121" i="21"/>
  <c r="G18" i="21"/>
  <c r="G68" i="21"/>
  <c r="G97" i="21"/>
  <c r="G126" i="21"/>
  <c r="G10" i="21"/>
  <c r="G35" i="21"/>
  <c r="G60" i="21"/>
  <c r="G85" i="21"/>
  <c r="G110" i="21"/>
  <c r="G135" i="21"/>
  <c r="G138" i="21"/>
  <c r="G112" i="21"/>
  <c r="G92" i="21"/>
  <c r="G90" i="21"/>
  <c r="G64" i="21"/>
  <c r="G38" i="21"/>
  <c r="G139" i="21"/>
  <c r="G113" i="21"/>
  <c r="G137" i="21"/>
  <c r="G136" i="21" s="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F132" i="20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G150" i="12"/>
  <c r="H150" i="21" s="1"/>
  <c r="G144" i="12"/>
  <c r="H144" i="21" s="1"/>
  <c r="G148" i="12"/>
  <c r="G152" i="12"/>
  <c r="G120" i="12"/>
  <c r="H119" i="21" s="1"/>
  <c r="G143" i="12"/>
  <c r="H143" i="21" s="1"/>
  <c r="G147" i="12"/>
  <c r="G151" i="12"/>
  <c r="G119" i="12"/>
  <c r="H118" i="21" s="1"/>
  <c r="G122" i="12"/>
  <c r="H121" i="21" s="1"/>
  <c r="G126" i="12"/>
  <c r="G145" i="12"/>
  <c r="G124" i="12"/>
  <c r="H123" i="21" s="1"/>
  <c r="G128" i="12"/>
  <c r="H127" i="21" s="1"/>
  <c r="G96" i="12"/>
  <c r="G100" i="12"/>
  <c r="G104" i="12"/>
  <c r="H102" i="21" s="1"/>
  <c r="G117" i="12"/>
  <c r="H116" i="21" s="1"/>
  <c r="G123" i="12"/>
  <c r="G127" i="12"/>
  <c r="G121" i="12"/>
  <c r="H120" i="21" s="1"/>
  <c r="G93" i="12"/>
  <c r="H91" i="21" s="1"/>
  <c r="G98" i="12"/>
  <c r="G87" i="12"/>
  <c r="G135" i="12"/>
  <c r="H135" i="21" s="1"/>
  <c r="G111" i="12"/>
  <c r="H110" i="21" s="1"/>
  <c r="G97" i="12"/>
  <c r="G99" i="12"/>
  <c r="G71" i="12"/>
  <c r="H68" i="21" s="1"/>
  <c r="G75" i="12"/>
  <c r="H72" i="21" s="1"/>
  <c r="G79" i="12"/>
  <c r="G125" i="12"/>
  <c r="G101" i="12"/>
  <c r="H99" i="21" s="1"/>
  <c r="G103" i="12"/>
  <c r="H101" i="21" s="1"/>
  <c r="G73" i="12"/>
  <c r="G80" i="12"/>
  <c r="G47" i="12"/>
  <c r="H43" i="21" s="1"/>
  <c r="G149" i="12"/>
  <c r="H149" i="21" s="1"/>
  <c r="G95" i="12"/>
  <c r="G72" i="12"/>
  <c r="G74" i="12"/>
  <c r="H71" i="21" s="1"/>
  <c r="G63" i="12"/>
  <c r="H60" i="21" s="1"/>
  <c r="G45" i="12"/>
  <c r="G49" i="12"/>
  <c r="G53" i="12"/>
  <c r="H49" i="21" s="1"/>
  <c r="G39" i="12"/>
  <c r="H35" i="21" s="1"/>
  <c r="G21" i="12"/>
  <c r="G25" i="12"/>
  <c r="G102" i="12"/>
  <c r="H100" i="21" s="1"/>
  <c r="G69" i="12"/>
  <c r="H66" i="21" s="1"/>
  <c r="G76" i="12"/>
  <c r="G78" i="12"/>
  <c r="G48" i="12"/>
  <c r="H44" i="21" s="1"/>
  <c r="G77" i="12"/>
  <c r="H74" i="21" s="1"/>
  <c r="G55" i="12"/>
  <c r="G28" i="12"/>
  <c r="G32" i="12"/>
  <c r="H27" i="21" s="1"/>
  <c r="G50" i="12"/>
  <c r="H46" i="21" s="1"/>
  <c r="G52" i="12"/>
  <c r="G27" i="12"/>
  <c r="G54" i="12"/>
  <c r="H50" i="21" s="1"/>
  <c r="G56" i="12"/>
  <c r="H52" i="21" s="1"/>
  <c r="G26" i="12"/>
  <c r="G30" i="12"/>
  <c r="G29" i="12"/>
  <c r="H24" i="21" s="1"/>
  <c r="G15" i="12"/>
  <c r="H10" i="21" s="1"/>
  <c r="G24" i="12"/>
  <c r="G31" i="12"/>
  <c r="G51" i="12"/>
  <c r="H47" i="21" s="1"/>
  <c r="G23" i="12"/>
  <c r="H18" i="21" s="1"/>
  <c r="G141" i="12"/>
  <c r="F36" i="21"/>
  <c r="F53" i="21" s="1"/>
  <c r="F61" i="21"/>
  <c r="F78" i="21" s="1"/>
  <c r="G61" i="21"/>
  <c r="F86" i="21"/>
  <c r="F103" i="21" s="1"/>
  <c r="F11" i="21"/>
  <c r="F111" i="21"/>
  <c r="F128" i="21" s="1"/>
  <c r="F131" i="17"/>
  <c r="D33" i="24"/>
  <c r="D218" i="24" s="1"/>
  <c r="F295" i="20"/>
  <c r="F164" i="20"/>
  <c r="F45" i="20"/>
  <c r="F69" i="20"/>
  <c r="F271" i="20"/>
  <c r="F86" i="20"/>
  <c r="F377" i="17"/>
  <c r="F379" i="17" s="1"/>
  <c r="G376" i="17" s="1"/>
  <c r="G134" i="12"/>
  <c r="H134" i="21" s="1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90" i="20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87" i="20"/>
  <c r="F269" i="20"/>
  <c r="F289" i="20"/>
  <c r="F76" i="20"/>
  <c r="F157" i="20"/>
  <c r="F311" i="20"/>
  <c r="F291" i="20"/>
  <c r="F339" i="20"/>
  <c r="F148" i="20"/>
  <c r="F160" i="20"/>
  <c r="F286" i="20"/>
  <c r="F254" i="20"/>
  <c r="F165" i="20"/>
  <c r="F315" i="20"/>
  <c r="F359" i="20"/>
  <c r="F318" i="20"/>
  <c r="F342" i="20"/>
  <c r="E259" i="17"/>
  <c r="E261" i="17" s="1"/>
  <c r="F258" i="17" s="1"/>
  <c r="F358" i="20"/>
  <c r="F66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89" i="20"/>
  <c r="F292" i="20"/>
  <c r="F415" i="17"/>
  <c r="F198" i="17" s="1"/>
  <c r="F158" i="20"/>
  <c r="H429" i="17"/>
  <c r="H200" i="17" s="1"/>
  <c r="G274" i="17"/>
  <c r="G79" i="17" s="1"/>
  <c r="F383" i="20"/>
  <c r="F386" i="20"/>
  <c r="F387" i="20"/>
  <c r="F43" i="20"/>
  <c r="F60" i="20"/>
  <c r="F313" i="20"/>
  <c r="F260" i="20"/>
  <c r="F290" i="20"/>
  <c r="F374" i="20"/>
  <c r="E345" i="20"/>
  <c r="E412" i="20" s="1"/>
  <c r="F391" i="20"/>
  <c r="F302" i="20"/>
  <c r="F92" i="20"/>
  <c r="F116" i="20"/>
  <c r="F136" i="20"/>
  <c r="F28" i="20"/>
  <c r="F63" i="20"/>
  <c r="F234" i="12"/>
  <c r="F235" i="12" s="1"/>
  <c r="F153" i="12"/>
  <c r="F154" i="12" s="1"/>
  <c r="F385" i="20"/>
  <c r="F159" i="20"/>
  <c r="F316" i="20"/>
  <c r="F81" i="12"/>
  <c r="F82" i="12" s="1"/>
  <c r="F356" i="20"/>
  <c r="F130" i="20"/>
  <c r="G14" i="12"/>
  <c r="H9" i="21" s="1"/>
  <c r="H10" i="12"/>
  <c r="H14" i="20" s="1"/>
  <c r="G62" i="12"/>
  <c r="G38" i="12"/>
  <c r="G110" i="12"/>
  <c r="H109" i="21" s="1"/>
  <c r="G86" i="12"/>
  <c r="H84" i="21" s="1"/>
  <c r="F360" i="20"/>
  <c r="F134" i="20"/>
  <c r="F99" i="20"/>
  <c r="F182" i="12"/>
  <c r="F325" i="20"/>
  <c r="F105" i="12"/>
  <c r="F106" i="12" s="1"/>
  <c r="F180" i="12"/>
  <c r="F277" i="20"/>
  <c r="F51" i="20"/>
  <c r="F57" i="12"/>
  <c r="F58" i="12" s="1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 s="1"/>
  <c r="F367" i="20"/>
  <c r="F141" i="20"/>
  <c r="F93" i="20"/>
  <c r="F319" i="20"/>
  <c r="F90" i="20"/>
  <c r="F364" i="20"/>
  <c r="F138" i="20"/>
  <c r="F40" i="20"/>
  <c r="F266" i="20"/>
  <c r="F265" i="20"/>
  <c r="F39" i="20"/>
  <c r="F334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293" i="20"/>
  <c r="F67" i="20"/>
  <c r="F139" i="20"/>
  <c r="F365" i="20"/>
  <c r="F36" i="20"/>
  <c r="F262" i="20"/>
  <c r="F268" i="20"/>
  <c r="F42" i="20"/>
  <c r="F115" i="20"/>
  <c r="F341" i="20"/>
  <c r="F308" i="20"/>
  <c r="F82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287" i="20"/>
  <c r="F61" i="20"/>
  <c r="F124" i="20"/>
  <c r="F350" i="20"/>
  <c r="F179" i="12"/>
  <c r="F253" i="20"/>
  <c r="F27" i="20"/>
  <c r="F33" i="12"/>
  <c r="F34" i="12" s="1"/>
  <c r="F38" i="20"/>
  <c r="F264" i="20"/>
  <c r="F336" i="20"/>
  <c r="F110" i="20"/>
  <c r="F373" i="20"/>
  <c r="F184" i="12"/>
  <c r="F147" i="20"/>
  <c r="F62" i="20"/>
  <c r="F288" i="20"/>
  <c r="F112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I353" i="17"/>
  <c r="G303" i="17"/>
  <c r="G305" i="17" s="1"/>
  <c r="H236" i="20"/>
  <c r="G441" i="20"/>
  <c r="I288" i="17"/>
  <c r="I81" i="17" s="1"/>
  <c r="H273" i="17"/>
  <c r="H275" i="17" s="1"/>
  <c r="G265" i="17"/>
  <c r="E401" i="20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I215" i="20" l="1"/>
  <c r="H34" i="21"/>
  <c r="H26" i="21"/>
  <c r="H25" i="21"/>
  <c r="H22" i="21"/>
  <c r="H23" i="21"/>
  <c r="H75" i="21"/>
  <c r="H20" i="21"/>
  <c r="H45" i="21"/>
  <c r="H69" i="21"/>
  <c r="H77" i="21"/>
  <c r="H124" i="21"/>
  <c r="H97" i="21"/>
  <c r="H85" i="21"/>
  <c r="H126" i="21"/>
  <c r="H98" i="21"/>
  <c r="H145" i="21"/>
  <c r="H151" i="21"/>
  <c r="H152" i="21"/>
  <c r="H146" i="21"/>
  <c r="J9" i="20"/>
  <c r="J13" i="20" s="1"/>
  <c r="H59" i="21"/>
  <c r="H141" i="21"/>
  <c r="H19" i="21"/>
  <c r="H21" i="21"/>
  <c r="H48" i="21"/>
  <c r="H51" i="21"/>
  <c r="H73" i="21"/>
  <c r="H16" i="21"/>
  <c r="H41" i="21"/>
  <c r="H93" i="21"/>
  <c r="H70" i="21"/>
  <c r="H76" i="21"/>
  <c r="H95" i="21"/>
  <c r="H96" i="21"/>
  <c r="H122" i="21"/>
  <c r="H94" i="21"/>
  <c r="H125" i="21"/>
  <c r="H147" i="21"/>
  <c r="H148" i="21"/>
  <c r="G11" i="21"/>
  <c r="G28" i="21" s="1"/>
  <c r="G86" i="21"/>
  <c r="G103" i="21" s="1"/>
  <c r="G36" i="21"/>
  <c r="G111" i="2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I143" i="21" s="1"/>
  <c r="H147" i="12"/>
  <c r="I147" i="21" s="1"/>
  <c r="H151" i="12"/>
  <c r="H141" i="12"/>
  <c r="I141" i="21" s="1"/>
  <c r="H145" i="12"/>
  <c r="I145" i="21" s="1"/>
  <c r="H149" i="12"/>
  <c r="I149" i="21" s="1"/>
  <c r="H135" i="12"/>
  <c r="H138" i="12"/>
  <c r="I138" i="21" s="1"/>
  <c r="H117" i="12"/>
  <c r="I116" i="21" s="1"/>
  <c r="H144" i="12"/>
  <c r="I144" i="21" s="1"/>
  <c r="H148" i="12"/>
  <c r="H152" i="12"/>
  <c r="I152" i="21" s="1"/>
  <c r="H139" i="12"/>
  <c r="I139" i="21" s="1"/>
  <c r="H123" i="12"/>
  <c r="I122" i="21" s="1"/>
  <c r="H127" i="12"/>
  <c r="H150" i="12"/>
  <c r="I150" i="21" s="1"/>
  <c r="H121" i="12"/>
  <c r="I120" i="21" s="1"/>
  <c r="H125" i="12"/>
  <c r="I124" i="21" s="1"/>
  <c r="H111" i="12"/>
  <c r="H114" i="12"/>
  <c r="I113" i="21" s="1"/>
  <c r="H93" i="12"/>
  <c r="I91" i="21" s="1"/>
  <c r="H97" i="12"/>
  <c r="I95" i="21" s="1"/>
  <c r="H101" i="12"/>
  <c r="H146" i="12"/>
  <c r="I146" i="21" s="1"/>
  <c r="H140" i="12"/>
  <c r="I140" i="21" s="1"/>
  <c r="H120" i="12"/>
  <c r="I119" i="21" s="1"/>
  <c r="H124" i="12"/>
  <c r="H128" i="12"/>
  <c r="I127" i="21" s="1"/>
  <c r="H137" i="12"/>
  <c r="I137" i="21" s="1"/>
  <c r="H119" i="12"/>
  <c r="I118" i="21" s="1"/>
  <c r="H126" i="12"/>
  <c r="H116" i="12"/>
  <c r="I115" i="21" s="1"/>
  <c r="H96" i="12"/>
  <c r="I94" i="21" s="1"/>
  <c r="H103" i="12"/>
  <c r="I101" i="21" s="1"/>
  <c r="H113" i="12"/>
  <c r="H95" i="12"/>
  <c r="I93" i="21" s="1"/>
  <c r="H102" i="12"/>
  <c r="I100" i="21" s="1"/>
  <c r="H104" i="12"/>
  <c r="I102" i="21" s="1"/>
  <c r="H89" i="12"/>
  <c r="H72" i="12"/>
  <c r="I69" i="21" s="1"/>
  <c r="H76" i="12"/>
  <c r="I73" i="21" s="1"/>
  <c r="H80" i="12"/>
  <c r="I77" i="21" s="1"/>
  <c r="H99" i="12"/>
  <c r="H122" i="12"/>
  <c r="I121" i="21" s="1"/>
  <c r="H100" i="12"/>
  <c r="I98" i="21" s="1"/>
  <c r="H91" i="12"/>
  <c r="I89" i="21" s="1"/>
  <c r="H69" i="12"/>
  <c r="H71" i="12"/>
  <c r="I68" i="21" s="1"/>
  <c r="H78" i="12"/>
  <c r="I75" i="21" s="1"/>
  <c r="H65" i="12"/>
  <c r="I62" i="21" s="1"/>
  <c r="H48" i="12"/>
  <c r="H87" i="12"/>
  <c r="I85" i="21" s="1"/>
  <c r="H77" i="12"/>
  <c r="I74" i="21" s="1"/>
  <c r="H79" i="12"/>
  <c r="I76" i="21" s="1"/>
  <c r="H67" i="12"/>
  <c r="H50" i="12"/>
  <c r="I46" i="21" s="1"/>
  <c r="H54" i="12"/>
  <c r="I50" i="21" s="1"/>
  <c r="H43" i="12"/>
  <c r="I39" i="21" s="1"/>
  <c r="H92" i="12"/>
  <c r="H74" i="12"/>
  <c r="I71" i="21" s="1"/>
  <c r="H63" i="12"/>
  <c r="I60" i="21" s="1"/>
  <c r="H66" i="12"/>
  <c r="I63" i="21" s="1"/>
  <c r="H45" i="12"/>
  <c r="H49" i="12"/>
  <c r="I45" i="21" s="1"/>
  <c r="H51" i="12"/>
  <c r="I47" i="21" s="1"/>
  <c r="H53" i="12"/>
  <c r="I49" i="21" s="1"/>
  <c r="H39" i="12"/>
  <c r="H41" i="12"/>
  <c r="I37" i="21" s="1"/>
  <c r="H23" i="12"/>
  <c r="I18" i="21" s="1"/>
  <c r="H25" i="12"/>
  <c r="I20" i="21" s="1"/>
  <c r="H29" i="12"/>
  <c r="H55" i="12"/>
  <c r="I51" i="21" s="1"/>
  <c r="H28" i="12"/>
  <c r="I23" i="21" s="1"/>
  <c r="H73" i="12"/>
  <c r="I70" i="21" s="1"/>
  <c r="H47" i="12"/>
  <c r="H52" i="12"/>
  <c r="I48" i="21" s="1"/>
  <c r="H44" i="12"/>
  <c r="I40" i="21" s="1"/>
  <c r="H21" i="12"/>
  <c r="I16" i="21" s="1"/>
  <c r="H24" i="12"/>
  <c r="H27" i="12"/>
  <c r="I22" i="21" s="1"/>
  <c r="H31" i="12"/>
  <c r="I26" i="21" s="1"/>
  <c r="H17" i="12"/>
  <c r="I12" i="21" s="1"/>
  <c r="H30" i="12"/>
  <c r="H19" i="12"/>
  <c r="I14" i="21" s="1"/>
  <c r="H75" i="12"/>
  <c r="I72" i="21" s="1"/>
  <c r="H68" i="12"/>
  <c r="I65" i="21" s="1"/>
  <c r="H32" i="12"/>
  <c r="H18" i="12"/>
  <c r="I13" i="21" s="1"/>
  <c r="H115" i="12"/>
  <c r="I114" i="21" s="1"/>
  <c r="H98" i="12"/>
  <c r="I96" i="21" s="1"/>
  <c r="H90" i="12"/>
  <c r="H56" i="12"/>
  <c r="I52" i="21" s="1"/>
  <c r="H42" i="12"/>
  <c r="I38" i="21" s="1"/>
  <c r="H26" i="12"/>
  <c r="I21" i="21" s="1"/>
  <c r="H20" i="12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28" i="21"/>
  <c r="G153" i="21"/>
  <c r="G53" i="21"/>
  <c r="G7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392" i="20"/>
  <c r="F405" i="20" s="1"/>
  <c r="F142" i="20"/>
  <c r="F178" i="20" s="1"/>
  <c r="F173" i="12"/>
  <c r="F166" i="20"/>
  <c r="F167" i="20" s="1"/>
  <c r="F344" i="20"/>
  <c r="F345" i="20" s="1"/>
  <c r="F412" i="20" s="1"/>
  <c r="F70" i="20"/>
  <c r="F175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F368" i="20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I109" i="21" s="1"/>
  <c r="H38" i="12"/>
  <c r="I34" i="21" s="1"/>
  <c r="H62" i="12"/>
  <c r="H134" i="12"/>
  <c r="I134" i="21" s="1"/>
  <c r="I10" i="12"/>
  <c r="I14" i="20" s="1"/>
  <c r="H86" i="12"/>
  <c r="I84" i="21" s="1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K9" i="20"/>
  <c r="K13" i="20" s="1"/>
  <c r="J215" i="20"/>
  <c r="J250" i="17"/>
  <c r="J252" i="17" s="1"/>
  <c r="I59" i="21" l="1"/>
  <c r="I15" i="21"/>
  <c r="I88" i="21"/>
  <c r="I27" i="21"/>
  <c r="I25" i="21"/>
  <c r="I19" i="21"/>
  <c r="I43" i="21"/>
  <c r="I24" i="21"/>
  <c r="I35" i="21"/>
  <c r="I41" i="21"/>
  <c r="I90" i="21"/>
  <c r="I64" i="21"/>
  <c r="I44" i="21"/>
  <c r="I66" i="21"/>
  <c r="I97" i="21"/>
  <c r="I87" i="21"/>
  <c r="I112" i="21"/>
  <c r="I125" i="21"/>
  <c r="I123" i="21"/>
  <c r="I99" i="21"/>
  <c r="I110" i="21"/>
  <c r="I126" i="21"/>
  <c r="I148" i="21"/>
  <c r="I135" i="21"/>
  <c r="I151" i="21"/>
  <c r="J17" i="2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I24" i="17" l="1"/>
  <c r="K5" i="12"/>
  <c r="K9" i="12" s="1"/>
  <c r="L92" i="21" s="1"/>
  <c r="J228" i="12"/>
  <c r="L1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J24" i="17" l="1"/>
  <c r="L42" i="21"/>
  <c r="L67" i="21"/>
  <c r="L5" i="12"/>
  <c r="L9" i="12" s="1"/>
  <c r="M17" i="21" s="1"/>
  <c r="L117" i="21"/>
  <c r="L17" i="21"/>
  <c r="M142" i="21"/>
  <c r="M42" i="21"/>
  <c r="M11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L228" i="12" l="1"/>
  <c r="M67" i="21"/>
  <c r="N17" i="2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E11" i="22" s="1"/>
  <c r="Z117" i="21"/>
  <c r="E117" i="21" s="1"/>
  <c r="Z92" i="21"/>
  <c r="E92" i="21" s="1"/>
  <c r="Z142" i="21"/>
  <c r="E142" i="21" s="1"/>
  <c r="Z42" i="21"/>
  <c r="E42" i="21" s="1"/>
  <c r="Z67" i="21"/>
  <c r="E67" i="21" s="1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G26" i="22" l="1"/>
  <c r="G91" i="22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37" i="12"/>
  <c r="Z113" i="12"/>
  <c r="Z114" i="12"/>
  <c r="Z119" i="12"/>
  <c r="Z93" i="12"/>
  <c r="Z128" i="12"/>
  <c r="Z100" i="12"/>
  <c r="Z79" i="12"/>
  <c r="Z62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E144" i="21" s="1"/>
  <c r="Y148" i="12"/>
  <c r="Y152" i="12"/>
  <c r="Z152" i="21" s="1"/>
  <c r="Y140" i="12"/>
  <c r="Y146" i="12"/>
  <c r="Y150" i="12"/>
  <c r="Y138" i="12"/>
  <c r="Z138" i="21" s="1"/>
  <c r="Y141" i="12"/>
  <c r="Y145" i="12"/>
  <c r="Z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E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E45" i="21" s="1"/>
  <c r="Y56" i="12"/>
  <c r="Y26" i="12"/>
  <c r="Y30" i="12"/>
  <c r="Y53" i="12"/>
  <c r="Z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E48" i="21" s="1"/>
  <c r="Y54" i="12"/>
  <c r="Y44" i="12"/>
  <c r="Z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Y14" i="12"/>
  <c r="Z9" i="21" s="1"/>
  <c r="Y134" i="12"/>
  <c r="Y38" i="12"/>
  <c r="Z34" i="21" s="1"/>
  <c r="E119" i="21"/>
  <c r="Y110" i="12"/>
  <c r="E145" i="21"/>
  <c r="Y62" i="12"/>
  <c r="E152" i="21"/>
  <c r="E49" i="21"/>
  <c r="Y86" i="12"/>
  <c r="Z84" i="21" s="1"/>
  <c r="E40" i="2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50" i="12" l="1"/>
  <c r="Z140" i="12"/>
  <c r="Z153" i="12" s="1"/>
  <c r="Z154" i="12" s="1"/>
  <c r="Z31" i="12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E149" i="21"/>
  <c r="Z149" i="21"/>
  <c r="Z150" i="21"/>
  <c r="E150" i="21" s="1"/>
  <c r="Z148" i="21"/>
  <c r="E148" i="21" s="1"/>
  <c r="Z109" i="21"/>
  <c r="E109" i="21" s="1"/>
  <c r="Z134" i="21"/>
  <c r="E134" i="21" s="1"/>
  <c r="Z77" i="21"/>
  <c r="E77" i="21" s="1"/>
  <c r="Z69" i="21"/>
  <c r="E69" i="21" s="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Z44" i="21"/>
  <c r="E44" i="21" s="1"/>
  <c r="Z68" i="21"/>
  <c r="E68" i="21" s="1"/>
  <c r="E65" i="21"/>
  <c r="Z65" i="21"/>
  <c r="Z126" i="21"/>
  <c r="E126" i="21" s="1"/>
  <c r="Z47" i="21"/>
  <c r="E47" i="21" s="1"/>
  <c r="Z101" i="21"/>
  <c r="E101" i="21" s="1"/>
  <c r="Z102" i="21"/>
  <c r="E102" i="21" s="1"/>
  <c r="Z143" i="21"/>
  <c r="E143" i="21" s="1"/>
  <c r="Z100" i="21"/>
  <c r="E100" i="21" s="1"/>
  <c r="Z121" i="21"/>
  <c r="E121" i="21" s="1"/>
  <c r="E123" i="21"/>
  <c r="Z123" i="21"/>
  <c r="Z147" i="21"/>
  <c r="E147" i="21" s="1"/>
  <c r="Z141" i="21"/>
  <c r="E141" i="21" s="1"/>
  <c r="G90" i="22" s="1"/>
  <c r="Z140" i="21"/>
  <c r="E140" i="21" s="1"/>
  <c r="Z75" i="21"/>
  <c r="E75" i="21" s="1"/>
  <c r="E94" i="21"/>
  <c r="Z94" i="21"/>
  <c r="Z43" i="21"/>
  <c r="E43" i="21" s="1"/>
  <c r="E73" i="21"/>
  <c r="Z73" i="21"/>
  <c r="Z95" i="21"/>
  <c r="E95" i="21" s="1"/>
  <c r="D77" i="12"/>
  <c r="Z74" i="21"/>
  <c r="Z124" i="21"/>
  <c r="E124" i="21" s="1"/>
  <c r="E96" i="21"/>
  <c r="Z96" i="2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33" i="12"/>
  <c r="Z34" i="12" s="1"/>
  <c r="Z234" i="12"/>
  <c r="Z235" i="12" s="1"/>
  <c r="Z105" i="12"/>
  <c r="Z106" i="12" s="1"/>
  <c r="Z182" i="12"/>
  <c r="Z184" i="12"/>
  <c r="Z129" i="12"/>
  <c r="Z130" i="12" s="1"/>
  <c r="Z183" i="12"/>
  <c r="Z181" i="12"/>
  <c r="Z81" i="12"/>
  <c r="Z82" i="12" s="1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28" i="21" s="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G92" i="22" l="1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D46" i="20" l="1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E15" i="22"/>
  <c r="F15" i="22"/>
  <c r="G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I123" i="10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D197" i="17" l="1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Glasson, Shaun</author>
    <author>owner</author>
  </authors>
  <commentList>
    <comment ref="F30" authorId="0" shapeId="0">
      <text>
        <r>
          <rPr>
            <b/>
            <sz val="9"/>
            <color indexed="81"/>
            <rFont val="Tahoma"/>
            <family val="2"/>
          </rPr>
          <t>Glasson, Shaun:</t>
        </r>
        <r>
          <rPr>
            <sz val="9"/>
            <color indexed="81"/>
            <rFont val="Tahoma"/>
            <family val="2"/>
          </rPr>
          <t xml:space="preserve">
Investment to reduce trend and return to 5 year average 0.013+0.0138</t>
        </r>
      </text>
    </comment>
    <comment ref="D214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<sst xmlns="http://schemas.openxmlformats.org/spreadsheetml/2006/main" count="1011" uniqueCount="329">
  <si>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</si>
  <si>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</si>
  <si>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</si>
  <si>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</si>
  <si>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</si>
  <si>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</si>
  <si>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</si>
  <si>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</si>
  <si>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</si>
  <si>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</si>
  <si>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</si>
  <si>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</si>
  <si>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</si>
  <si>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</si>
  <si>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</si>
  <si>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</si>
  <si>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</si>
  <si>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</si>
  <si>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</si>
  <si>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</si>
  <si>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</si>
  <si>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</si>
  <si>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</si>
  <si>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</si>
  <si>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</si>
  <si>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</si>
  <si>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</si>
  <si>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</si>
  <si>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</si>
  <si>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</si>
  <si>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</si>
  <si>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</si>
  <si>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</si>
  <si>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</si>
  <si>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</si>
  <si>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</si>
  <si>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</si>
  <si>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</si>
  <si>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</si>
  <si>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</si>
  <si>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</si>
  <si>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</si>
  <si>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</si>
  <si>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</si>
  <si>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</si>
  <si>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</si>
  <si>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</si>
  <si>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</si>
  <si>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</si>
  <si>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</si>
  <si>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</si>
  <si>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</si>
  <si>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</si>
  <si>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</si>
  <si>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</si>
  <si>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</si>
  <si>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</si>
  <si>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</si>
  <si>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</si>
  <si>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</si>
  <si>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</si>
  <si>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</si>
  <si>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</si>
  <si>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</si>
  <si>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</si>
  <si>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</si>
  <si>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</si>
  <si>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</si>
  <si>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</si>
  <si>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</si>
  <si>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</si>
  <si>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</si>
  <si>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</si>
  <si>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</si>
  <si>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</si>
  <si>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</si>
  <si>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</si>
  <si>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</si>
  <si>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</si>
  <si>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</si>
  <si>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</si>
  <si>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</si>
  <si>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</si>
  <si>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</si>
  <si>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</si>
  <si>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</si>
  <si>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</si>
  <si>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</si>
  <si>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</si>
  <si>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</si>
  <si>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</si>
  <si>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</si>
  <si>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</si>
  <si>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</si>
  <si>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</si>
  <si>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</si>
  <si>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</si>
  <si>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</si>
  <si>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</si>
  <si>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</si>
  <si>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</si>
  <si>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</si>
  <si>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</si>
  <si>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</si>
  <si>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</si>
  <si>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</si>
  <si>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</si>
  <si>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</si>
  <si>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</si>
  <si>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</si>
  <si>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</si>
  <si>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</si>
  <si>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</si>
  <si>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</si>
  <si>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</si>
  <si>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</si>
  <si>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</si>
  <si>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</si>
  <si>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</si>
  <si>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</si>
  <si>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</si>
  <si>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</si>
  <si>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</si>
  <si>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</si>
  <si>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</si>
  <si>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</si>
  <si>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</si>
  <si>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</si>
  <si>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</si>
  <si>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</si>
  <si>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</si>
  <si>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</si>
  <si>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</si>
  <si>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</si>
  <si>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</si>
  <si>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</si>
  <si>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</si>
  <si>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</si>
  <si>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</si>
  <si>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</si>
  <si>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</si>
  <si>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</si>
  <si>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</si>
  <si>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</si>
  <si>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</si>
  <si>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</si>
  <si>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</si>
  <si>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</si>
  <si>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</si>
  <si>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</si>
  <si>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</si>
  <si>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</si>
  <si>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</si>
  <si>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</si>
  <si>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</si>
  <si>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</si>
  <si>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</si>
  <si>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</si>
  <si>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</si>
  <si>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</si>
  <si>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</si>
  <si>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</si>
  <si>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</si>
  <si>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</si>
  <si>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</si>
  <si>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</si>
  <si>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</si>
  <si>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</si>
  <si>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</si>
  <si>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</si>
  <si>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</si>
  <si>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</si>
  <si>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</si>
  <si>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</si>
  <si>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</si>
  <si>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</si>
  <si>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</si>
  <si>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</si>
  <si>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</si>
  <si>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</si>
  <si>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</si>
  <si>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</si>
  <si>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</si>
  <si>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</si>
  <si>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</si>
  <si>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</si>
  <si>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</si>
  <si>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</si>
  <si>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</si>
  <si>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</si>
  <si>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</si>
  <si>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</si>
  <si>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</si>
  <si>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</si>
  <si>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</si>
  <si>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</si>
  <si>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</si>
  <si>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</si>
  <si>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</si>
  <si>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</si>
  <si>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</si>
  <si>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</si>
  <si>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</si>
  <si>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</si>
  <si>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</si>
  <si>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</si>
  <si>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</si>
  <si>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</si>
  <si>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</si>
  <si>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</si>
  <si>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</si>
  <si>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</si>
  <si>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</si>
  <si>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</si>
  <si>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</si>
  <si>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</si>
  <si>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</si>
  <si>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</si>
  <si>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</si>
  <si>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</si>
  <si>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</si>
  <si>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</si>
  <si>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</si>
  <si>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</si>
  <si>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</si>
  <si>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</si>
  <si>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</si>
  <si>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</si>
  <si>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</si>
  <si>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</si>
  <si>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</si>
  <si>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</si>
  <si>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</si>
  <si>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</si>
  <si>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</si>
  <si>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</si>
  <si>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</si>
  <si>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</si>
  <si>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</si>
  <si>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</si>
  <si>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</si>
  <si>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</si>
  <si>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</si>
  <si>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</si>
  <si>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</si>
  <si>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</si>
  <si>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</si>
  <si>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</si>
  <si>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</si>
  <si>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</si>
  <si>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</si>
  <si>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</si>
  <si>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</si>
  <si>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</si>
  <si>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</si>
  <si>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</si>
  <si>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</si>
  <si>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</si>
  <si>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</si>
  <si>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</si>
  <si>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</si>
  <si>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</si>
  <si>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</si>
  <si>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</si>
  <si>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</si>
  <si>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</si>
  <si>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</si>
  <si>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</si>
  <si>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</si>
  <si>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</si>
  <si>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</si>
  <si>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</si>
  <si>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</si>
  <si>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</si>
  <si>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</si>
  <si>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</si>
  <si>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</si>
  <si>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</si>
  <si>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</si>
  <si>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</si>
  <si>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</si>
  <si>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</si>
  <si>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</si>
  <si>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</si>
  <si>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</si>
  <si>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</si>
  <si>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</si>
  <si>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</si>
  <si>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</si>
  <si>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</si>
  <si>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</si>
  <si>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</si>
  <si>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</si>
  <si>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</si>
  <si>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</si>
  <si>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</si>
  <si>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</si>
  <si>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</si>
  <si>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</si>
  <si>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</si>
  <si>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</si>
  <si>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</si>
  <si>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</si>
  <si>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</si>
  <si>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</si>
  <si>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</si>
  <si>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</si>
  <si>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</si>
  <si>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</si>
  <si>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</si>
  <si>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</si>
  <si>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</si>
  <si>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</si>
  <si>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</si>
  <si>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</si>
  <si>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</si>
  <si>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</si>
  <si>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</si>
  <si>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</si>
  <si>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</si>
  <si>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</si>
  <si>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</si>
  <si>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</si>
  <si>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</si>
  <si>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</si>
  <si>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</si>
  <si>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</si>
  <si>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Animal Proofing 2016-20</t>
  </si>
  <si>
    <t>Animal Proofing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</si>
</sst>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2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1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176" fontId="2" fillId="9" borderId="65" xfId="0" applyNumberFormat="1" applyFont="1" applyFill="1" applyBorder="1" applyAlignment="1">
      <alignment horizontal="center"/>
    </xf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180" fontId="13" fillId="8" borderId="18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63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10444</c:v>
                </c:pt>
                <c:pt idx="1">
                  <c:v>9797.196650409498</c:v>
                </c:pt>
                <c:pt idx="2">
                  <c:v>9190.4502304476318</c:v>
                </c:pt>
                <c:pt idx="3">
                  <c:v>10486.947869376119</c:v>
                </c:pt>
                <c:pt idx="4">
                  <c:v>11703.152611369027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584309936"/>
        <c:axId val="584310496"/>
      </c:lineChart>
      <c:catAx>
        <c:axId val="58430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310496"/>
        <c:crosses val="autoZero"/>
        <c:auto val="1"/>
        <c:lblAlgn val="ctr"/>
        <c:lblOffset val="100"/>
        <c:noMultiLvlLbl val="0"/>
      </c:catAx>
      <c:valAx>
        <c:axId val="5843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3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289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2601.7945688057835</c:v>
                </c:pt>
                <c:pt idx="4">
                  <c:v>2652.2693834406155</c:v>
                </c:pt>
                <c:pt idx="5">
                  <c:v>2703.7234094793635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Animal Proofing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923.06139912000003</c:v>
                </c:pt>
                <c:pt idx="1">
                  <c:v>923.06139912000003</c:v>
                </c:pt>
                <c:pt idx="2">
                  <c:v>923.06139912000003</c:v>
                </c:pt>
                <c:pt idx="3">
                  <c:v>923.06139912000003</c:v>
                </c:pt>
                <c:pt idx="4">
                  <c:v>923.06139912000003</c:v>
                </c:pt>
                <c:pt idx="5">
                  <c:v>923.06139912000003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041968"/>
        <c:axId val="738042528"/>
      </c:lineChart>
      <c:catAx>
        <c:axId val="73804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3804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04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75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38041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18"/>
          <c:y val="0.89759036144578308"/>
          <c:w val="0.74028703776744409"/>
          <c:h val="7.83132530120482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18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10444</c:v>
                </c:pt>
                <c:pt idx="1">
                  <c:v>9797.196650409498</c:v>
                </c:pt>
                <c:pt idx="2">
                  <c:v>9190.4502304476318</c:v>
                </c:pt>
                <c:pt idx="3">
                  <c:v>10486.947869376119</c:v>
                </c:pt>
                <c:pt idx="4">
                  <c:v>11703.152611369027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699023344"/>
        <c:axId val="699023904"/>
      </c:lineChart>
      <c:catAx>
        <c:axId val="69902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023904"/>
        <c:crosses val="autoZero"/>
        <c:auto val="1"/>
        <c:lblAlgn val="ctr"/>
        <c:lblOffset val="100"/>
        <c:noMultiLvlLbl val="0"/>
      </c:catAx>
      <c:valAx>
        <c:axId val="6990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02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4973"/>
          <c:y val="4.4479004370551689E-2"/>
          <c:w val="0.20412994804220899"/>
          <c:h val="6.4054307290798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5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4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>
      <selection activeCell="F31" sqref="F31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8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9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2" t="s">
        <v>0</v>
      </c>
      <c r="E4" s="492" t="s">
        <v>327</v>
      </c>
      <c r="F4" s="446"/>
      <c r="G4" s="494"/>
      <c r="H4" s="495" t="s">
        <v>33</v>
      </c>
      <c r="I4" s="480"/>
      <c r="J4" s="494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326</v>
      </c>
      <c r="E6" s="491">
        <v>2016</v>
      </c>
      <c r="F6" s="446"/>
      <c r="G6" s="494"/>
      <c r="H6" s="495" t="s">
        <v>34</v>
      </c>
      <c r="I6" s="494" t="s">
        <v>318</v>
      </c>
      <c r="J6" s="494"/>
      <c r="K6" s="494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2" t="s">
        <v>30</v>
      </c>
      <c r="E8" s="493">
        <v>3</v>
      </c>
      <c r="F8" s="446"/>
      <c r="G8" s="494"/>
      <c r="H8" s="492" t="s">
        <v>27</v>
      </c>
      <c r="I8" s="493">
        <v>1</v>
      </c>
      <c r="J8" s="494"/>
      <c r="K8" s="446"/>
      <c r="L8" s="494"/>
      <c r="M8" s="495" t="s">
        <v>32</v>
      </c>
      <c r="N8" s="496"/>
      <c r="O8" s="497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9" t="str">
        <f>"All costs to be entered in real ($"&amp;E9&amp;")"</f>
        <v>All costs to be entered in real ($2015)</v>
      </c>
      <c r="E9" s="698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500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446"/>
      <c r="AA11" s="446"/>
      <c r="AB11" s="447"/>
    </row>
    <row r="12" spans="2:28" x14ac:dyDescent="0.2">
      <c r="B12" s="445"/>
      <c r="C12" s="446"/>
      <c r="D12" s="501" t="str">
        <f>"Capital Costs ($"&amp;E9&amp;")"</f>
        <v>Capital Costs ($2015)</v>
      </c>
      <c r="E12" s="505"/>
      <c r="F12" s="506">
        <f>E6</f>
        <v>2016</v>
      </c>
      <c r="G12" s="506">
        <f>F12+1</f>
        <v>2017</v>
      </c>
      <c r="H12" s="506">
        <f>G12+1</f>
        <v>2018</v>
      </c>
      <c r="I12" s="506">
        <f>H12+1</f>
        <v>2019</v>
      </c>
      <c r="J12" s="506">
        <f t="shared" ref="J12:S12" si="0">I12+1</f>
        <v>2020</v>
      </c>
      <c r="K12" s="506">
        <f t="shared" si="0"/>
        <v>2021</v>
      </c>
      <c r="L12" s="506">
        <f t="shared" si="0"/>
        <v>2022</v>
      </c>
      <c r="M12" s="506">
        <f t="shared" si="0"/>
        <v>2023</v>
      </c>
      <c r="N12" s="506">
        <f t="shared" si="0"/>
        <v>2024</v>
      </c>
      <c r="O12" s="506">
        <f t="shared" si="0"/>
        <v>2025</v>
      </c>
      <c r="P12" s="506">
        <f t="shared" si="0"/>
        <v>2026</v>
      </c>
      <c r="Q12" s="506">
        <f t="shared" si="0"/>
        <v>2027</v>
      </c>
      <c r="R12" s="506">
        <f t="shared" si="0"/>
        <v>2028</v>
      </c>
      <c r="S12" s="506">
        <f t="shared" si="0"/>
        <v>2029</v>
      </c>
      <c r="T12" s="506">
        <f>S12+1</f>
        <v>2030</v>
      </c>
      <c r="U12" s="506">
        <f t="shared" ref="U12:Z12" si="1">T12+1</f>
        <v>2031</v>
      </c>
      <c r="V12" s="506">
        <f t="shared" si="1"/>
        <v>2032</v>
      </c>
      <c r="W12" s="506">
        <f t="shared" si="1"/>
        <v>2033</v>
      </c>
      <c r="X12" s="506">
        <f t="shared" si="1"/>
        <v>2034</v>
      </c>
      <c r="Y12" s="506">
        <f t="shared" si="1"/>
        <v>2035</v>
      </c>
      <c r="Z12" s="506">
        <f t="shared" si="1"/>
        <v>2036</v>
      </c>
      <c r="AA12" s="446"/>
      <c r="AB12" s="447"/>
    </row>
    <row r="13" spans="2:28" x14ac:dyDescent="0.2">
      <c r="B13" s="445"/>
      <c r="C13" s="446"/>
      <c r="D13" s="502"/>
      <c r="E13" s="505"/>
      <c r="F13" s="507" t="s">
        <v>78</v>
      </c>
      <c r="G13" s="507" t="s">
        <v>78</v>
      </c>
      <c r="H13" s="507" t="s">
        <v>78</v>
      </c>
      <c r="I13" s="507" t="s">
        <v>78</v>
      </c>
      <c r="J13" s="507" t="s">
        <v>78</v>
      </c>
      <c r="K13" s="507" t="s">
        <v>78</v>
      </c>
      <c r="L13" s="507" t="s">
        <v>78</v>
      </c>
      <c r="M13" s="507" t="s">
        <v>78</v>
      </c>
      <c r="N13" s="507" t="s">
        <v>78</v>
      </c>
      <c r="O13" s="507" t="s">
        <v>78</v>
      </c>
      <c r="P13" s="507" t="s">
        <v>78</v>
      </c>
      <c r="Q13" s="507" t="s">
        <v>78</v>
      </c>
      <c r="R13" s="507" t="s">
        <v>78</v>
      </c>
      <c r="S13" s="507" t="s">
        <v>78</v>
      </c>
      <c r="T13" s="507" t="s">
        <v>78</v>
      </c>
      <c r="U13" s="507" t="s">
        <v>78</v>
      </c>
      <c r="V13" s="507" t="s">
        <v>78</v>
      </c>
      <c r="W13" s="507" t="s">
        <v>78</v>
      </c>
      <c r="X13" s="507" t="s">
        <v>78</v>
      </c>
      <c r="Y13" s="507" t="s">
        <v>78</v>
      </c>
      <c r="Z13" s="507" t="s">
        <v>78</v>
      </c>
      <c r="AA13" s="446"/>
      <c r="AB13" s="447"/>
    </row>
    <row r="14" spans="2:28" x14ac:dyDescent="0.2">
      <c r="B14" s="445"/>
      <c r="C14" s="446"/>
      <c r="D14" s="503"/>
      <c r="E14" s="518" t="s">
        <v>56</v>
      </c>
      <c r="F14" s="508"/>
      <c r="G14" s="508"/>
      <c r="H14" s="508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446"/>
      <c r="AB14" s="447"/>
    </row>
    <row r="15" spans="2:28" x14ac:dyDescent="0.2">
      <c r="B15" s="445"/>
      <c r="C15" s="446"/>
      <c r="D15" s="504" t="s">
        <v>77</v>
      </c>
      <c r="E15" s="547" t="s">
        <v>121</v>
      </c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446"/>
      <c r="AB15" s="447"/>
    </row>
    <row r="16" spans="2:28" x14ac:dyDescent="0.2">
      <c r="B16" s="445"/>
      <c r="C16" s="689" t="str">
        <f>CONCATENATE(D16,": ",E16)</f>
        <v>Option 1: Animal Proofing</v>
      </c>
      <c r="D16" s="504" t="s">
        <v>51</v>
      </c>
      <c r="E16" s="518" t="s">
        <v>328</v>
      </c>
      <c r="F16" s="510">
        <v>10444</v>
      </c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446"/>
      <c r="AB16" s="447"/>
    </row>
    <row r="17" spans="2:28" x14ac:dyDescent="0.2">
      <c r="B17" s="445"/>
      <c r="C17" s="689" t="str">
        <f>CONCATENATE(D17,": ",E17)</f>
        <v xml:space="preserve">Option 2: </v>
      </c>
      <c r="D17" s="504" t="s">
        <v>52</v>
      </c>
      <c r="E17" s="694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446"/>
      <c r="AB17" s="447"/>
    </row>
    <row r="18" spans="2:28" x14ac:dyDescent="0.2">
      <c r="B18" s="445"/>
      <c r="C18" s="689" t="str">
        <f>CONCATENATE(D18,": ",E18)</f>
        <v xml:space="preserve">Option 3: </v>
      </c>
      <c r="D18" s="504" t="s">
        <v>53</v>
      </c>
      <c r="E18" s="518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446"/>
      <c r="AB18" s="447"/>
    </row>
    <row r="19" spans="2:28" x14ac:dyDescent="0.2">
      <c r="B19" s="445"/>
      <c r="C19" s="689" t="str">
        <f>CONCATENATE(D19,": ",E19)</f>
        <v xml:space="preserve">Option 4: </v>
      </c>
      <c r="D19" s="504" t="s">
        <v>54</v>
      </c>
      <c r="E19" s="518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446"/>
      <c r="AB19" s="447"/>
    </row>
    <row r="20" spans="2:28" x14ac:dyDescent="0.2">
      <c r="B20" s="445"/>
      <c r="C20" s="689" t="str">
        <f>CONCATENATE(D20,": ",E20)</f>
        <v xml:space="preserve">Option 5: </v>
      </c>
      <c r="D20" s="504" t="s">
        <v>55</v>
      </c>
      <c r="E20" s="518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2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500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6"/>
      <c r="D23" s="487"/>
      <c r="E23" s="517"/>
      <c r="F23" s="446"/>
      <c r="G23" s="446"/>
      <c r="H23" s="446"/>
      <c r="I23" s="446"/>
      <c r="J23" s="446"/>
      <c r="K23" s="512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2" t="s">
        <v>122</v>
      </c>
      <c r="E24" s="487"/>
      <c r="F24" s="446"/>
      <c r="G24" s="446"/>
      <c r="H24" s="446"/>
      <c r="I24" s="446"/>
      <c r="J24" s="446"/>
      <c r="K24" s="512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2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20"/>
      <c r="E26" s="521" t="s">
        <v>151</v>
      </c>
      <c r="F26" s="523">
        <f>G12</f>
        <v>2017</v>
      </c>
      <c r="G26" s="523">
        <f t="shared" ref="G26:M26" si="2">F26+1</f>
        <v>2018</v>
      </c>
      <c r="H26" s="523">
        <f t="shared" si="2"/>
        <v>2019</v>
      </c>
      <c r="I26" s="523">
        <f t="shared" si="2"/>
        <v>2020</v>
      </c>
      <c r="J26" s="523">
        <f t="shared" si="2"/>
        <v>2021</v>
      </c>
      <c r="K26" s="523">
        <f t="shared" si="2"/>
        <v>2022</v>
      </c>
      <c r="L26" s="523">
        <f t="shared" si="2"/>
        <v>2023</v>
      </c>
      <c r="M26" s="523">
        <f t="shared" si="2"/>
        <v>2024</v>
      </c>
      <c r="N26" s="523">
        <f t="shared" ref="N26:Y26" si="3">M26+1</f>
        <v>2025</v>
      </c>
      <c r="O26" s="523">
        <f t="shared" si="3"/>
        <v>2026</v>
      </c>
      <c r="P26" s="523">
        <f t="shared" si="3"/>
        <v>2027</v>
      </c>
      <c r="Q26" s="523">
        <f t="shared" si="3"/>
        <v>2028</v>
      </c>
      <c r="R26" s="523">
        <f t="shared" si="3"/>
        <v>2029</v>
      </c>
      <c r="S26" s="523">
        <f t="shared" si="3"/>
        <v>2030</v>
      </c>
      <c r="T26" s="523">
        <f>S26+1</f>
        <v>2031</v>
      </c>
      <c r="U26" s="523">
        <f t="shared" si="3"/>
        <v>2032</v>
      </c>
      <c r="V26" s="523">
        <f t="shared" si="3"/>
        <v>2033</v>
      </c>
      <c r="W26" s="523">
        <f t="shared" si="3"/>
        <v>2034</v>
      </c>
      <c r="X26" s="523">
        <f t="shared" si="3"/>
        <v>2035</v>
      </c>
      <c r="Y26" s="523">
        <f t="shared" si="3"/>
        <v>2036</v>
      </c>
      <c r="Z26" s="523">
        <f>Y26+1</f>
        <v>2037</v>
      </c>
      <c r="AA26" s="446"/>
      <c r="AB26" s="447"/>
    </row>
    <row r="27" spans="2:28" x14ac:dyDescent="0.2">
      <c r="B27" s="445"/>
      <c r="C27" s="446"/>
      <c r="D27" s="695" t="s">
        <v>319</v>
      </c>
      <c r="E27" s="519" t="s">
        <v>104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446"/>
      <c r="AB27" s="447"/>
    </row>
    <row r="28" spans="2:28" x14ac:dyDescent="0.2">
      <c r="B28" s="445"/>
      <c r="C28" s="446"/>
      <c r="D28" s="543"/>
      <c r="E28" s="533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2" t="str">
        <f>IF($I$8=1,"Negative Impact on Revenue (STPIS)",0)</f>
        <v>Negative Impact on Revenue (STPIS)</v>
      </c>
      <c r="E29" s="528">
        <v>5</v>
      </c>
      <c r="F29" s="522">
        <f>F26</f>
        <v>2017</v>
      </c>
      <c r="G29" s="522">
        <f t="shared" ref="G29:Z29" si="4">G26</f>
        <v>2018</v>
      </c>
      <c r="H29" s="522">
        <f t="shared" si="4"/>
        <v>2019</v>
      </c>
      <c r="I29" s="522">
        <f t="shared" si="4"/>
        <v>2020</v>
      </c>
      <c r="J29" s="522">
        <f t="shared" si="4"/>
        <v>2021</v>
      </c>
      <c r="K29" s="522">
        <f t="shared" si="4"/>
        <v>2022</v>
      </c>
      <c r="L29" s="522">
        <f t="shared" si="4"/>
        <v>2023</v>
      </c>
      <c r="M29" s="522">
        <f t="shared" si="4"/>
        <v>2024</v>
      </c>
      <c r="N29" s="522">
        <f t="shared" si="4"/>
        <v>2025</v>
      </c>
      <c r="O29" s="522">
        <f t="shared" si="4"/>
        <v>2026</v>
      </c>
      <c r="P29" s="522">
        <f t="shared" si="4"/>
        <v>2027</v>
      </c>
      <c r="Q29" s="522">
        <f t="shared" si="4"/>
        <v>2028</v>
      </c>
      <c r="R29" s="522">
        <f t="shared" si="4"/>
        <v>2029</v>
      </c>
      <c r="S29" s="522">
        <f t="shared" si="4"/>
        <v>2030</v>
      </c>
      <c r="T29" s="522">
        <f t="shared" si="4"/>
        <v>2031</v>
      </c>
      <c r="U29" s="522">
        <f t="shared" si="4"/>
        <v>2032</v>
      </c>
      <c r="V29" s="522">
        <f t="shared" si="4"/>
        <v>2033</v>
      </c>
      <c r="W29" s="522">
        <f t="shared" si="4"/>
        <v>2034</v>
      </c>
      <c r="X29" s="522">
        <f t="shared" si="4"/>
        <v>2035</v>
      </c>
      <c r="Y29" s="522">
        <f t="shared" si="4"/>
        <v>2036</v>
      </c>
      <c r="Z29" s="522">
        <f t="shared" si="4"/>
        <v>2037</v>
      </c>
      <c r="AA29" s="446"/>
      <c r="AB29" s="447"/>
    </row>
    <row r="30" spans="2:28" x14ac:dyDescent="0.2">
      <c r="B30" s="445"/>
      <c r="C30" s="446"/>
      <c r="D30" s="544" t="str">
        <f>IF($I$8=1,"SAIFI sustained",0)</f>
        <v>SAIFI sustained</v>
      </c>
      <c r="E30" s="529" t="s">
        <v>148</v>
      </c>
      <c r="F30" s="675">
        <f>0.013+0.0138</f>
        <v>2.6799999999999997E-2</v>
      </c>
      <c r="G30" s="530">
        <f>IF($E$29=1,0,IF(OR($E$29=2,$E$29=3,$E$29=4,$E$29=5),$F$30))</f>
        <v>2.6799999999999997E-2</v>
      </c>
      <c r="H30" s="530">
        <f>IF($E$29=1,0,IF(OR($E$29=2,$E$29=3,$E$29=4,$E$29=5),$F$30))</f>
        <v>2.6799999999999997E-2</v>
      </c>
      <c r="I30" s="530">
        <f>IF($E$29=1,0,IF(OR($E$29=2,$E$29=3,$E$29=4,$E$29=5),$F$30))</f>
        <v>2.6799999999999997E-2</v>
      </c>
      <c r="J30" s="530">
        <f>IF($E$29=1,0,IF(OR($E$29=2,$E$29=3,$E$29=4,$E$29=5),$F$30))</f>
        <v>2.6799999999999997E-2</v>
      </c>
      <c r="K30" s="530">
        <f>IF($E$29=1,0,IF(OR($E$29=2,$E$29=3,$E$29=4,$E$29=5),$F$30))</f>
        <v>2.6799999999999997E-2</v>
      </c>
      <c r="L30" s="525">
        <f>F30</f>
        <v>2.6799999999999997E-2</v>
      </c>
      <c r="M30" s="530">
        <f>IF(OR($E$29=1,$E$29=2),0,$L$30)</f>
        <v>2.6799999999999997E-2</v>
      </c>
      <c r="N30" s="530">
        <f>IF(OR($E$29=1,$E$29=2),0,$L$30)</f>
        <v>2.6799999999999997E-2</v>
      </c>
      <c r="O30" s="530">
        <f>IF(OR($E$29=1,$E$29=2),0,$L$30)</f>
        <v>2.6799999999999997E-2</v>
      </c>
      <c r="P30" s="530">
        <f>IF(OR($E$29=1,$E$29=2),0,$L$30)</f>
        <v>2.6799999999999997E-2</v>
      </c>
      <c r="Q30" s="530">
        <f>IF(OR($E$29=1,$E$29=2),0,$L$30)</f>
        <v>2.6799999999999997E-2</v>
      </c>
      <c r="R30" s="525">
        <f>L30</f>
        <v>2.6799999999999997E-2</v>
      </c>
      <c r="S30" s="530">
        <f>IF(OR($E$29=1,$E$29=2,$E$29=3),0,$R$30)</f>
        <v>2.6799999999999997E-2</v>
      </c>
      <c r="T30" s="530">
        <f>IF(OR($E$29=1,$E$29=2,$E$29=3),0,$R$30)</f>
        <v>2.6799999999999997E-2</v>
      </c>
      <c r="U30" s="530">
        <f>IF(OR($E$29=1,$E$29=2,$E$29=3),0,$R$30)</f>
        <v>2.6799999999999997E-2</v>
      </c>
      <c r="V30" s="530">
        <f>IF(OR($E$29=1,$E$29=2,$E$29=3),0,$R$30)</f>
        <v>2.6799999999999997E-2</v>
      </c>
      <c r="W30" s="530">
        <f>IF(OR($E$29=1,$E$29=2,$E$29=3),0,$R$30)</f>
        <v>2.6799999999999997E-2</v>
      </c>
      <c r="X30" s="525">
        <f>R30</f>
        <v>2.6799999999999997E-2</v>
      </c>
      <c r="Y30" s="530">
        <f>IF($E$29=5,$X$30,0)</f>
        <v>2.6799999999999997E-2</v>
      </c>
      <c r="Z30" s="530">
        <f>IF($E$29=5,$X$30,0)</f>
        <v>2.6799999999999997E-2</v>
      </c>
      <c r="AA30" s="446"/>
      <c r="AB30" s="447"/>
    </row>
    <row r="31" spans="2:28" x14ac:dyDescent="0.2">
      <c r="B31" s="445"/>
      <c r="C31" s="446"/>
      <c r="D31" s="544" t="str">
        <f>IF($I$8=1,"SAIDI accidental",0)</f>
        <v>SAIDI accidental</v>
      </c>
      <c r="E31" s="529" t="s">
        <v>149</v>
      </c>
      <c r="F31" s="525">
        <f>F30*230</f>
        <v>6.1639999999999997</v>
      </c>
      <c r="G31" s="530">
        <f>IF($E$29=1,0,IF(OR($E$29=2,$E$29=3,$E$29=4,$E$29=5),$F$31))</f>
        <v>6.1639999999999997</v>
      </c>
      <c r="H31" s="530">
        <f>IF($E$29=1,0,IF(OR($E$29=2,$E$29=3,$E$29=4,$E$29=5),$F$31))</f>
        <v>6.1639999999999997</v>
      </c>
      <c r="I31" s="530">
        <f>IF($E$29=1,0,IF(OR($E$29=2,$E$29=3,$E$29=4,$E$29=5),$F$31))</f>
        <v>6.1639999999999997</v>
      </c>
      <c r="J31" s="530">
        <f>IF($E$29=1,0,IF(OR($E$29=2,$E$29=3,$E$29=4,$E$29=5),$F$31))</f>
        <v>6.1639999999999997</v>
      </c>
      <c r="K31" s="530">
        <f>IF($E$29=1,0,IF(OR($E$29=2,$E$29=3,$E$29=4,$E$29=5),$F$31))</f>
        <v>6.1639999999999997</v>
      </c>
      <c r="L31" s="525">
        <f>F31</f>
        <v>6.1639999999999997</v>
      </c>
      <c r="M31" s="530">
        <f>IF(OR($E$29=1,$E$29=2),0,$L$31)</f>
        <v>6.1639999999999997</v>
      </c>
      <c r="N31" s="530">
        <f>IF(OR($E$29=1,$E$29=2),0,$L$31)</f>
        <v>6.1639999999999997</v>
      </c>
      <c r="O31" s="530">
        <f>IF(OR($E$29=1,$E$29=2),0,$L$31)</f>
        <v>6.1639999999999997</v>
      </c>
      <c r="P31" s="530">
        <f>IF(OR($E$29=1,$E$29=2),0,$L$31)</f>
        <v>6.1639999999999997</v>
      </c>
      <c r="Q31" s="530">
        <f>IF(OR($E$29=1,$E$29=2),0,$L$31)</f>
        <v>6.1639999999999997</v>
      </c>
      <c r="R31" s="525">
        <f>L31</f>
        <v>6.1639999999999997</v>
      </c>
      <c r="S31" s="530">
        <f>IF(OR($E$29=1,$E$29=2,$E$29=3),0,$R$31)</f>
        <v>6.1639999999999997</v>
      </c>
      <c r="T31" s="530">
        <f>IF(OR($E$29=1,$E$29=2,$E$29=3),0,$R$31)</f>
        <v>6.1639999999999997</v>
      </c>
      <c r="U31" s="530">
        <f>IF(OR($E$29=1,$E$29=2,$E$29=3),0,$R$31)</f>
        <v>6.1639999999999997</v>
      </c>
      <c r="V31" s="530">
        <f>IF(OR($E$29=1,$E$29=2,$E$29=3),0,$R$31)</f>
        <v>6.1639999999999997</v>
      </c>
      <c r="W31" s="530">
        <f>IF(OR($E$29=1,$E$29=2,$E$29=3),0,$R$31)</f>
        <v>6.1639999999999997</v>
      </c>
      <c r="X31" s="525">
        <f>R31</f>
        <v>6.1639999999999997</v>
      </c>
      <c r="Y31" s="530">
        <f>IF($E$29=5,$X$31,0)</f>
        <v>6.1639999999999997</v>
      </c>
      <c r="Z31" s="530">
        <f>IF($E$29=5,$X$31,0)</f>
        <v>6.1639999999999997</v>
      </c>
      <c r="AA31" s="446"/>
      <c r="AB31" s="447"/>
    </row>
    <row r="32" spans="2:28" x14ac:dyDescent="0.2">
      <c r="B32" s="445"/>
      <c r="C32" s="446"/>
      <c r="D32" s="544" t="str">
        <f>IF($I$8=1,"MAIFI momentary",0)</f>
        <v>MAIFI momentary</v>
      </c>
      <c r="E32" s="529" t="s">
        <v>148</v>
      </c>
      <c r="F32" s="525"/>
      <c r="G32" s="530">
        <f>IF($E$29=1,0,IF(OR($E$29=2,$E$29=3,$E$29=4,$E$29=5),$F$32))</f>
        <v>0</v>
      </c>
      <c r="H32" s="530">
        <f>IF($E$29=1,0,IF(OR($E$29=2,$E$29=3,$E$29=4,$E$29=5),$F$32))</f>
        <v>0</v>
      </c>
      <c r="I32" s="530">
        <f>IF($E$29=1,0,IF(OR($E$29=2,$E$29=3,$E$29=4,$E$29=5),$F$32))</f>
        <v>0</v>
      </c>
      <c r="J32" s="530">
        <f>IF($E$29=1,0,IF(OR($E$29=2,$E$29=3,$E$29=4,$E$29=5),$F$32))</f>
        <v>0</v>
      </c>
      <c r="K32" s="530">
        <f>IF($E$29=1,0,IF(OR($E$29=2,$E$29=3,$E$29=4,$E$29=5),$F$32))</f>
        <v>0</v>
      </c>
      <c r="L32" s="525"/>
      <c r="M32" s="530">
        <f>IF(OR($E$29=1,$E$29=2),0,$L$32)</f>
        <v>0</v>
      </c>
      <c r="N32" s="530">
        <f>IF(OR($E$29=1,$E$29=2),0,$L$32)</f>
        <v>0</v>
      </c>
      <c r="O32" s="530">
        <f>IF(OR($E$29=1,$E$29=2),0,$L$32)</f>
        <v>0</v>
      </c>
      <c r="P32" s="530">
        <f>IF(OR($E$29=1,$E$29=2),0,$L$32)</f>
        <v>0</v>
      </c>
      <c r="Q32" s="530">
        <f>IF(OR($E$29=1,$E$29=2),0,$L$32)</f>
        <v>0</v>
      </c>
      <c r="R32" s="525"/>
      <c r="S32" s="530">
        <f>IF(OR($E$29=1,$E$29=2,$E$29=3),0,$R$32)</f>
        <v>0</v>
      </c>
      <c r="T32" s="530">
        <f>IF(OR($E$29=1,$E$29=2,$E$29=3),0,$R$32)</f>
        <v>0</v>
      </c>
      <c r="U32" s="530">
        <f>IF(OR($E$29=1,$E$29=2,$E$29=3),0,$R$32)</f>
        <v>0</v>
      </c>
      <c r="V32" s="530">
        <f>IF(OR($E$29=1,$E$29=2,$E$29=3),0,$R$32)</f>
        <v>0</v>
      </c>
      <c r="W32" s="530">
        <f>IF(OR($E$29=1,$E$29=2,$E$29=3),0,$R$32)</f>
        <v>0</v>
      </c>
      <c r="X32" s="525"/>
      <c r="Y32" s="530">
        <f>IF($E$29=5,$X$32,0)</f>
        <v>0</v>
      </c>
      <c r="Z32" s="530">
        <f>IF($E$29=5,$X$32,0)</f>
        <v>0</v>
      </c>
      <c r="AA32" s="446"/>
      <c r="AB32" s="447"/>
    </row>
    <row r="33" spans="2:28" x14ac:dyDescent="0.2">
      <c r="B33" s="445"/>
      <c r="C33" s="446"/>
      <c r="D33" s="544" t="str">
        <f>IF($I$8=1,"Call centre response",0)</f>
        <v>Call centre response</v>
      </c>
      <c r="E33" s="529" t="s">
        <v>150</v>
      </c>
      <c r="F33" s="526"/>
      <c r="G33" s="531">
        <f>IF($E$29=1,0,IF(OR($E$29=2,$E$29=3,$E$29=4,$E$29=5),$F$33))</f>
        <v>0</v>
      </c>
      <c r="H33" s="531">
        <f>IF($E$29=1,0,IF(OR($E$29=2,$E$29=3,$E$29=4,$E$29=5),$F$33))</f>
        <v>0</v>
      </c>
      <c r="I33" s="531">
        <f>IF($E$29=1,0,IF(OR($E$29=2,$E$29=3,$E$29=4,$E$29=5),$F$33))</f>
        <v>0</v>
      </c>
      <c r="J33" s="531">
        <f>IF($E$29=1,0,IF(OR($E$29=2,$E$29=3,$E$29=4,$E$29=5),$F$33))</f>
        <v>0</v>
      </c>
      <c r="K33" s="531">
        <f>IF($E$29=1,0,IF(OR($E$29=2,$E$29=3,$E$29=4,$E$29=5),$F$33))</f>
        <v>0</v>
      </c>
      <c r="L33" s="526"/>
      <c r="M33" s="531">
        <f>IF(OR($E$29=1,$E$29=2),0,$L$33)</f>
        <v>0</v>
      </c>
      <c r="N33" s="531">
        <f>IF(OR($E$29=1,$E$29=2),0,$L$33)</f>
        <v>0</v>
      </c>
      <c r="O33" s="531">
        <f>IF(OR($E$29=1,$E$29=2),0,$L$33)</f>
        <v>0</v>
      </c>
      <c r="P33" s="531">
        <f>IF(OR($E$29=1,$E$29=2),0,$L$33)</f>
        <v>0</v>
      </c>
      <c r="Q33" s="531">
        <f>IF(OR($E$29=1,$E$29=2),0,$L$33)</f>
        <v>0</v>
      </c>
      <c r="R33" s="526"/>
      <c r="S33" s="531">
        <f>IF(OR($E$29=1,$E$29=2,$E$29=3),0,$R$33)</f>
        <v>0</v>
      </c>
      <c r="T33" s="531">
        <f>IF(OR($E$29=1,$E$29=2,$E$29=3),0,$R$33)</f>
        <v>0</v>
      </c>
      <c r="U33" s="531">
        <f>IF(OR($E$29=1,$E$29=2,$E$29=3),0,$R$33)</f>
        <v>0</v>
      </c>
      <c r="V33" s="531">
        <f>IF(OR($E$29=1,$E$29=2,$E$29=3),0,$R$33)</f>
        <v>0</v>
      </c>
      <c r="W33" s="531">
        <f>IF(OR($E$29=1,$E$29=2,$E$29=3),0,$R$33)</f>
        <v>0</v>
      </c>
      <c r="X33" s="526"/>
      <c r="Y33" s="531">
        <f>IF($E$29=5,$X$33,0)</f>
        <v>0</v>
      </c>
      <c r="Z33" s="531">
        <f>IF($E$29=5,$X$33,0)</f>
        <v>0</v>
      </c>
      <c r="AA33" s="446"/>
      <c r="AB33" s="447"/>
    </row>
    <row r="34" spans="2:28" x14ac:dyDescent="0.2">
      <c r="B34" s="445"/>
      <c r="C34" s="446"/>
      <c r="D34" s="545"/>
      <c r="E34" s="534"/>
      <c r="F34" s="535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446"/>
      <c r="AB34" s="447"/>
    </row>
    <row r="35" spans="2:28" x14ac:dyDescent="0.2">
      <c r="B35" s="445"/>
      <c r="C35" s="446"/>
      <c r="D35" s="542" t="str">
        <f>IF(I8=1,"Network Outage Costs",0)</f>
        <v>Network Outage Costs</v>
      </c>
      <c r="E35" s="528"/>
      <c r="F35" s="522">
        <f>F29</f>
        <v>2017</v>
      </c>
      <c r="G35" s="522">
        <f t="shared" ref="G35:Z35" si="5">G29</f>
        <v>2018</v>
      </c>
      <c r="H35" s="522">
        <f t="shared" si="5"/>
        <v>2019</v>
      </c>
      <c r="I35" s="522">
        <f t="shared" si="5"/>
        <v>2020</v>
      </c>
      <c r="J35" s="522">
        <f t="shared" si="5"/>
        <v>2021</v>
      </c>
      <c r="K35" s="522">
        <f t="shared" si="5"/>
        <v>2022</v>
      </c>
      <c r="L35" s="522">
        <f t="shared" si="5"/>
        <v>2023</v>
      </c>
      <c r="M35" s="522">
        <f t="shared" si="5"/>
        <v>2024</v>
      </c>
      <c r="N35" s="522">
        <f t="shared" si="5"/>
        <v>2025</v>
      </c>
      <c r="O35" s="522">
        <f t="shared" si="5"/>
        <v>2026</v>
      </c>
      <c r="P35" s="522">
        <f t="shared" si="5"/>
        <v>2027</v>
      </c>
      <c r="Q35" s="522">
        <f t="shared" si="5"/>
        <v>2028</v>
      </c>
      <c r="R35" s="522">
        <f t="shared" si="5"/>
        <v>2029</v>
      </c>
      <c r="S35" s="522">
        <f t="shared" si="5"/>
        <v>2030</v>
      </c>
      <c r="T35" s="522">
        <f t="shared" si="5"/>
        <v>2031</v>
      </c>
      <c r="U35" s="522">
        <f t="shared" si="5"/>
        <v>2032</v>
      </c>
      <c r="V35" s="522">
        <f t="shared" si="5"/>
        <v>2033</v>
      </c>
      <c r="W35" s="522">
        <f t="shared" si="5"/>
        <v>2034</v>
      </c>
      <c r="X35" s="522">
        <f t="shared" si="5"/>
        <v>2035</v>
      </c>
      <c r="Y35" s="522">
        <f t="shared" si="5"/>
        <v>2036</v>
      </c>
      <c r="Z35" s="522">
        <f t="shared" si="5"/>
        <v>2037</v>
      </c>
      <c r="AA35" s="446"/>
      <c r="AB35" s="447"/>
    </row>
    <row r="36" spans="2:28" x14ac:dyDescent="0.2">
      <c r="B36" s="445"/>
      <c r="C36" s="446"/>
      <c r="D36" s="544" t="str">
        <f>IF(I8=1,"Customer off supply",0)</f>
        <v>Customer off supply</v>
      </c>
      <c r="E36" s="529" t="s">
        <v>149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37"/>
      <c r="V36" s="537"/>
      <c r="W36" s="537"/>
      <c r="X36" s="537"/>
      <c r="Y36" s="537"/>
      <c r="Z36" s="537"/>
      <c r="AA36" s="446"/>
      <c r="AB36" s="447"/>
    </row>
    <row r="37" spans="2:28" x14ac:dyDescent="0.2">
      <c r="B37" s="445"/>
      <c r="C37" s="446"/>
      <c r="D37" s="543"/>
      <c r="E37" s="534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446"/>
      <c r="AB37" s="447"/>
    </row>
    <row r="38" spans="2:28" x14ac:dyDescent="0.2">
      <c r="B38" s="445"/>
      <c r="C38" s="446"/>
      <c r="D38" s="542" t="str">
        <f>IF(I8=1,"Loss of F Factor Benefit",0)</f>
        <v>Loss of F Factor Benefit</v>
      </c>
      <c r="E38" s="527"/>
      <c r="F38" s="522">
        <f>F35</f>
        <v>2017</v>
      </c>
      <c r="G38" s="522">
        <f t="shared" ref="G38:Z38" si="6">G35</f>
        <v>2018</v>
      </c>
      <c r="H38" s="522">
        <f t="shared" si="6"/>
        <v>2019</v>
      </c>
      <c r="I38" s="522">
        <f t="shared" si="6"/>
        <v>2020</v>
      </c>
      <c r="J38" s="522">
        <f t="shared" si="6"/>
        <v>2021</v>
      </c>
      <c r="K38" s="522">
        <f t="shared" si="6"/>
        <v>2022</v>
      </c>
      <c r="L38" s="522">
        <f t="shared" si="6"/>
        <v>2023</v>
      </c>
      <c r="M38" s="522">
        <f t="shared" si="6"/>
        <v>2024</v>
      </c>
      <c r="N38" s="522">
        <f t="shared" si="6"/>
        <v>2025</v>
      </c>
      <c r="O38" s="522">
        <f t="shared" si="6"/>
        <v>2026</v>
      </c>
      <c r="P38" s="522">
        <f t="shared" si="6"/>
        <v>2027</v>
      </c>
      <c r="Q38" s="522">
        <f t="shared" si="6"/>
        <v>2028</v>
      </c>
      <c r="R38" s="522">
        <f t="shared" si="6"/>
        <v>2029</v>
      </c>
      <c r="S38" s="522">
        <f t="shared" si="6"/>
        <v>2030</v>
      </c>
      <c r="T38" s="522">
        <f t="shared" si="6"/>
        <v>2031</v>
      </c>
      <c r="U38" s="522">
        <f t="shared" si="6"/>
        <v>2032</v>
      </c>
      <c r="V38" s="522">
        <f t="shared" si="6"/>
        <v>2033</v>
      </c>
      <c r="W38" s="522">
        <f t="shared" si="6"/>
        <v>2034</v>
      </c>
      <c r="X38" s="522">
        <f t="shared" si="6"/>
        <v>2035</v>
      </c>
      <c r="Y38" s="522">
        <f t="shared" si="6"/>
        <v>2036</v>
      </c>
      <c r="Z38" s="522">
        <f t="shared" si="6"/>
        <v>2037</v>
      </c>
      <c r="AA38" s="446"/>
      <c r="AB38" s="447"/>
    </row>
    <row r="39" spans="2:28" x14ac:dyDescent="0.2">
      <c r="B39" s="445"/>
      <c r="C39" s="534"/>
      <c r="D39" s="546" t="str">
        <f>IF(I8=1,"Loss of F Factor Benefit",0)</f>
        <v>Loss of F Factor Benefit</v>
      </c>
      <c r="E39" s="541" t="s">
        <v>240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446"/>
      <c r="AB39" s="447"/>
    </row>
    <row r="40" spans="2:28" x14ac:dyDescent="0.2">
      <c r="B40" s="445"/>
      <c r="C40" s="446"/>
      <c r="D40" s="538"/>
      <c r="E40" s="534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446"/>
      <c r="AB40" s="447"/>
    </row>
    <row r="41" spans="2:28" x14ac:dyDescent="0.2">
      <c r="B41" s="445"/>
      <c r="C41" s="446"/>
      <c r="D41" s="542" t="s">
        <v>116</v>
      </c>
      <c r="E41" s="527"/>
      <c r="F41" s="522">
        <f>F38</f>
        <v>2017</v>
      </c>
      <c r="G41" s="522">
        <f t="shared" ref="G41:Z41" si="7">G38</f>
        <v>2018</v>
      </c>
      <c r="H41" s="522">
        <f t="shared" si="7"/>
        <v>2019</v>
      </c>
      <c r="I41" s="522">
        <f t="shared" si="7"/>
        <v>2020</v>
      </c>
      <c r="J41" s="522">
        <f t="shared" si="7"/>
        <v>2021</v>
      </c>
      <c r="K41" s="522">
        <f t="shared" si="7"/>
        <v>2022</v>
      </c>
      <c r="L41" s="522">
        <f t="shared" si="7"/>
        <v>2023</v>
      </c>
      <c r="M41" s="522">
        <f t="shared" si="7"/>
        <v>2024</v>
      </c>
      <c r="N41" s="522">
        <f t="shared" si="7"/>
        <v>2025</v>
      </c>
      <c r="O41" s="522">
        <f t="shared" si="7"/>
        <v>2026</v>
      </c>
      <c r="P41" s="522">
        <f t="shared" si="7"/>
        <v>2027</v>
      </c>
      <c r="Q41" s="522">
        <f t="shared" si="7"/>
        <v>2028</v>
      </c>
      <c r="R41" s="522">
        <f t="shared" si="7"/>
        <v>2029</v>
      </c>
      <c r="S41" s="522">
        <f t="shared" si="7"/>
        <v>2030</v>
      </c>
      <c r="T41" s="522">
        <f t="shared" si="7"/>
        <v>2031</v>
      </c>
      <c r="U41" s="522">
        <f t="shared" si="7"/>
        <v>2032</v>
      </c>
      <c r="V41" s="522">
        <f t="shared" si="7"/>
        <v>2033</v>
      </c>
      <c r="W41" s="522">
        <f t="shared" si="7"/>
        <v>2034</v>
      </c>
      <c r="X41" s="522">
        <f t="shared" si="7"/>
        <v>2035</v>
      </c>
      <c r="Y41" s="522">
        <f t="shared" si="7"/>
        <v>2036</v>
      </c>
      <c r="Z41" s="522">
        <f t="shared" si="7"/>
        <v>2037</v>
      </c>
      <c r="AA41" s="446"/>
      <c r="AB41" s="447"/>
    </row>
    <row r="42" spans="2:28" x14ac:dyDescent="0.2">
      <c r="B42" s="445"/>
      <c r="C42" s="446"/>
      <c r="D42" s="695" t="s">
        <v>320</v>
      </c>
      <c r="E42" s="519" t="s">
        <v>104</v>
      </c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446"/>
      <c r="AB42" s="447"/>
    </row>
    <row r="43" spans="2:28" x14ac:dyDescent="0.2">
      <c r="B43" s="445"/>
      <c r="C43" s="446"/>
      <c r="D43" s="542" t="s">
        <v>315</v>
      </c>
      <c r="E43" s="519" t="s">
        <v>104</v>
      </c>
      <c r="F43" s="510"/>
      <c r="G43" s="510"/>
      <c r="H43" s="510"/>
      <c r="I43" s="510"/>
      <c r="J43" s="510"/>
      <c r="K43" s="510"/>
      <c r="L43" s="510"/>
      <c r="M43" s="510"/>
      <c r="N43" s="510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446"/>
      <c r="AB43" s="447"/>
    </row>
    <row r="44" spans="2:28" x14ac:dyDescent="0.2">
      <c r="B44" s="445"/>
      <c r="C44" s="446"/>
      <c r="D44" s="542" t="s">
        <v>316</v>
      </c>
      <c r="E44" s="519" t="s">
        <v>104</v>
      </c>
      <c r="F44" s="510"/>
      <c r="G44" s="510"/>
      <c r="H44" s="510"/>
      <c r="I44" s="510"/>
      <c r="J44" s="510"/>
      <c r="K44" s="510"/>
      <c r="L44" s="510"/>
      <c r="M44" s="510"/>
      <c r="N44" s="510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446"/>
      <c r="AB44" s="447"/>
    </row>
    <row r="45" spans="2:28" x14ac:dyDescent="0.2">
      <c r="B45" s="445"/>
      <c r="C45" s="446"/>
      <c r="D45" s="542" t="s">
        <v>48</v>
      </c>
      <c r="E45" s="519" t="s">
        <v>104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446"/>
      <c r="AB45" s="447"/>
    </row>
    <row r="46" spans="2:28" x14ac:dyDescent="0.2">
      <c r="B46" s="445"/>
      <c r="C46" s="446"/>
      <c r="D46" s="542" t="s">
        <v>49</v>
      </c>
      <c r="E46" s="519" t="s">
        <v>104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446"/>
      <c r="AB46" s="447"/>
    </row>
    <row r="47" spans="2:28" x14ac:dyDescent="0.2">
      <c r="B47" s="445"/>
      <c r="C47" s="446"/>
      <c r="D47" s="542" t="s">
        <v>278</v>
      </c>
      <c r="E47" s="519" t="s">
        <v>104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446"/>
      <c r="AB47" s="447"/>
    </row>
    <row r="48" spans="2:28" x14ac:dyDescent="0.2">
      <c r="B48" s="445"/>
      <c r="C48" s="446"/>
      <c r="D48" s="542" t="s">
        <v>279</v>
      </c>
      <c r="E48" s="519" t="s">
        <v>104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446"/>
      <c r="AB48" s="447"/>
    </row>
    <row r="49" spans="2:28" x14ac:dyDescent="0.2">
      <c r="B49" s="445"/>
      <c r="C49" s="446"/>
      <c r="D49" s="542" t="s">
        <v>280</v>
      </c>
      <c r="E49" s="519" t="s">
        <v>104</v>
      </c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446"/>
      <c r="AB49" s="447"/>
    </row>
    <row r="50" spans="2:28" x14ac:dyDescent="0.2">
      <c r="B50" s="445"/>
      <c r="C50" s="446"/>
      <c r="D50" s="542" t="s">
        <v>281</v>
      </c>
      <c r="E50" s="519" t="s">
        <v>104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446"/>
      <c r="AB50" s="447"/>
    </row>
    <row r="51" spans="2:28" x14ac:dyDescent="0.2">
      <c r="B51" s="445"/>
      <c r="C51" s="446"/>
      <c r="D51" s="542" t="s">
        <v>282</v>
      </c>
      <c r="E51" s="519" t="s">
        <v>104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446"/>
      <c r="AB51" s="447"/>
    </row>
    <row r="52" spans="2:28" x14ac:dyDescent="0.2">
      <c r="B52" s="445"/>
      <c r="C52" s="446"/>
      <c r="D52" s="487"/>
      <c r="E52" s="551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446"/>
      <c r="AA52" s="446"/>
      <c r="AB52" s="447"/>
    </row>
    <row r="53" spans="2:28" ht="13.5" thickBot="1" x14ac:dyDescent="0.25">
      <c r="B53" s="445"/>
      <c r="C53" s="446"/>
      <c r="D53" s="492" t="str">
        <f>"Option 1: "&amp;+E16</f>
        <v>Option 1: Animal Proofing</v>
      </c>
      <c r="E53" s="487"/>
      <c r="F53" s="446"/>
      <c r="G53" s="446"/>
      <c r="H53" s="446"/>
      <c r="I53" s="446"/>
      <c r="J53" s="446"/>
      <c r="K53" s="512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2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20"/>
      <c r="E55" s="521"/>
      <c r="F55" s="522">
        <f>G12</f>
        <v>2017</v>
      </c>
      <c r="G55" s="523">
        <f>F55+1</f>
        <v>2018</v>
      </c>
      <c r="H55" s="523">
        <f t="shared" ref="H55:Z55" si="8">G55+1</f>
        <v>2019</v>
      </c>
      <c r="I55" s="523">
        <f t="shared" si="8"/>
        <v>2020</v>
      </c>
      <c r="J55" s="523">
        <f t="shared" si="8"/>
        <v>2021</v>
      </c>
      <c r="K55" s="523">
        <f t="shared" si="8"/>
        <v>2022</v>
      </c>
      <c r="L55" s="523">
        <f t="shared" si="8"/>
        <v>2023</v>
      </c>
      <c r="M55" s="523">
        <f t="shared" si="8"/>
        <v>2024</v>
      </c>
      <c r="N55" s="523">
        <f t="shared" si="8"/>
        <v>2025</v>
      </c>
      <c r="O55" s="523">
        <f t="shared" si="8"/>
        <v>2026</v>
      </c>
      <c r="P55" s="523">
        <f t="shared" si="8"/>
        <v>2027</v>
      </c>
      <c r="Q55" s="523">
        <f t="shared" si="8"/>
        <v>2028</v>
      </c>
      <c r="R55" s="523">
        <f t="shared" si="8"/>
        <v>2029</v>
      </c>
      <c r="S55" s="523">
        <f t="shared" si="8"/>
        <v>2030</v>
      </c>
      <c r="T55" s="523">
        <f t="shared" si="8"/>
        <v>2031</v>
      </c>
      <c r="U55" s="523">
        <f t="shared" si="8"/>
        <v>2032</v>
      </c>
      <c r="V55" s="523">
        <f t="shared" si="8"/>
        <v>2033</v>
      </c>
      <c r="W55" s="523">
        <f t="shared" si="8"/>
        <v>2034</v>
      </c>
      <c r="X55" s="523">
        <f t="shared" si="8"/>
        <v>2035</v>
      </c>
      <c r="Y55" s="523">
        <f t="shared" si="8"/>
        <v>2036</v>
      </c>
      <c r="Z55" s="523">
        <f t="shared" si="8"/>
        <v>2037</v>
      </c>
      <c r="AA55" s="446"/>
      <c r="AB55" s="447"/>
    </row>
    <row r="56" spans="2:28" x14ac:dyDescent="0.2">
      <c r="B56" s="445"/>
      <c r="C56" s="689" t="str">
        <f>$C$16</f>
        <v>Option 1: Animal Proofing</v>
      </c>
      <c r="D56" s="542" t="str">
        <f>$D$27</f>
        <v>Maintenance Costs</v>
      </c>
      <c r="E56" s="519" t="s">
        <v>104</v>
      </c>
      <c r="F56" s="281"/>
      <c r="G56" s="537"/>
      <c r="H56" s="537"/>
      <c r="I56" s="537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3"/>
      <c r="E57" s="533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2" t="str">
        <f>IF($I$8=1,"Negative Impact on Revenue (STPIS)",0)</f>
        <v>Negative Impact on Revenue (STPIS)</v>
      </c>
      <c r="E58" s="528">
        <v>5</v>
      </c>
      <c r="F58" s="522">
        <f>F55</f>
        <v>2017</v>
      </c>
      <c r="G58" s="522">
        <f t="shared" ref="G58:Z58" si="9">G55</f>
        <v>2018</v>
      </c>
      <c r="H58" s="522">
        <f t="shared" si="9"/>
        <v>2019</v>
      </c>
      <c r="I58" s="522">
        <f t="shared" si="9"/>
        <v>2020</v>
      </c>
      <c r="J58" s="522">
        <f t="shared" si="9"/>
        <v>2021</v>
      </c>
      <c r="K58" s="522">
        <f t="shared" si="9"/>
        <v>2022</v>
      </c>
      <c r="L58" s="522">
        <f t="shared" si="9"/>
        <v>2023</v>
      </c>
      <c r="M58" s="522">
        <f t="shared" si="9"/>
        <v>2024</v>
      </c>
      <c r="N58" s="522">
        <f t="shared" si="9"/>
        <v>2025</v>
      </c>
      <c r="O58" s="522">
        <f t="shared" si="9"/>
        <v>2026</v>
      </c>
      <c r="P58" s="522">
        <f t="shared" si="9"/>
        <v>2027</v>
      </c>
      <c r="Q58" s="522">
        <f t="shared" si="9"/>
        <v>2028</v>
      </c>
      <c r="R58" s="522">
        <f t="shared" si="9"/>
        <v>2029</v>
      </c>
      <c r="S58" s="522">
        <f t="shared" si="9"/>
        <v>2030</v>
      </c>
      <c r="T58" s="522">
        <f t="shared" si="9"/>
        <v>2031</v>
      </c>
      <c r="U58" s="522">
        <f t="shared" si="9"/>
        <v>2032</v>
      </c>
      <c r="V58" s="522">
        <f t="shared" si="9"/>
        <v>2033</v>
      </c>
      <c r="W58" s="522">
        <f t="shared" si="9"/>
        <v>2034</v>
      </c>
      <c r="X58" s="522">
        <f t="shared" si="9"/>
        <v>2035</v>
      </c>
      <c r="Y58" s="522">
        <f t="shared" si="9"/>
        <v>2036</v>
      </c>
      <c r="Z58" s="522">
        <f t="shared" si="9"/>
        <v>2037</v>
      </c>
      <c r="AA58" s="446"/>
      <c r="AB58" s="447"/>
    </row>
    <row r="59" spans="2:28" x14ac:dyDescent="0.2">
      <c r="B59" s="445"/>
      <c r="C59" s="689" t="str">
        <f>$C$16</f>
        <v>Option 1: Animal Proofing</v>
      </c>
      <c r="D59" s="544" t="str">
        <f>IF($I$8=1,"SAIFI sustained",0)</f>
        <v>SAIFI sustained</v>
      </c>
      <c r="E59" s="529" t="s">
        <v>148</v>
      </c>
      <c r="F59" s="675">
        <v>0</v>
      </c>
      <c r="G59" s="530">
        <f>IF($E$58=1,0,IF(OR($E$58=2,$E$58=3,$E$58=4,$E$58=5),$F$59))</f>
        <v>0</v>
      </c>
      <c r="H59" s="530">
        <f>IF($E$58=1,0,IF(OR($E$58=2,$E$58=3,$E$58=4,$E$58=5),$F$59))</f>
        <v>0</v>
      </c>
      <c r="I59" s="530">
        <f>IF($E$58=1,0,IF(OR($E$58=2,$E$58=3,$E$58=4,$E$58=5),$F$59))</f>
        <v>0</v>
      </c>
      <c r="J59" s="530">
        <f>IF($E$58=1,0,IF(OR($E$58=2,$E$58=3,$E$58=4,$E$58=5),$F$59))</f>
        <v>0</v>
      </c>
      <c r="K59" s="530">
        <f>IF($E$58=1,0,IF(OR($E$58=2,$E$58=3,$E$58=4,$E$58=5),$F$59))</f>
        <v>0</v>
      </c>
      <c r="L59" s="525"/>
      <c r="M59" s="530">
        <f>IF(OR($E$58=1,$E$58=2),0,$L$59)</f>
        <v>0</v>
      </c>
      <c r="N59" s="530">
        <f>IF(OR($E$58=1,$E$58=2),0,$L$59)</f>
        <v>0</v>
      </c>
      <c r="O59" s="530">
        <f>IF(OR($E$58=1,$E$58=2),0,$L$59)</f>
        <v>0</v>
      </c>
      <c r="P59" s="530">
        <f>IF(OR($E$58=1,$E$58=2),0,$L$59)</f>
        <v>0</v>
      </c>
      <c r="Q59" s="530">
        <f>IF(OR($E$58=1,$E$58=2),0,$L$59)</f>
        <v>0</v>
      </c>
      <c r="R59" s="525"/>
      <c r="S59" s="530">
        <f>IF(OR($E$58=1,$E$58=2,$E$58=3),0,$R$59)</f>
        <v>0</v>
      </c>
      <c r="T59" s="530">
        <f>IF(OR($E$58=1,$E$58=2,$E$58=3),0,$R$59)</f>
        <v>0</v>
      </c>
      <c r="U59" s="530">
        <f>IF(OR($E$58=1,$E$58=2,$E$58=3),0,$R$59)</f>
        <v>0</v>
      </c>
      <c r="V59" s="530">
        <f>IF(OR($E$58=1,$E$58=2,$E$58=3),0,$R$59)</f>
        <v>0</v>
      </c>
      <c r="W59" s="530">
        <f>IF(OR($E$58=1,$E$58=2,$E$58=3),0,$R$59)</f>
        <v>0</v>
      </c>
      <c r="X59" s="525"/>
      <c r="Y59" s="530">
        <f>IF($E$58=5,$X$59,0)</f>
        <v>0</v>
      </c>
      <c r="Z59" s="530">
        <f>IF($E$58=5,$X$59,0)</f>
        <v>0</v>
      </c>
      <c r="AA59" s="446"/>
      <c r="AB59" s="447"/>
    </row>
    <row r="60" spans="2:28" x14ac:dyDescent="0.2">
      <c r="B60" s="445"/>
      <c r="C60" s="689" t="str">
        <f>$C$16</f>
        <v>Option 1: Animal Proofing</v>
      </c>
      <c r="D60" s="544" t="str">
        <f>IF($I$8=1,"SAIDI accidental",0)</f>
        <v>SAIDI accidental</v>
      </c>
      <c r="E60" s="529" t="s">
        <v>149</v>
      </c>
      <c r="F60" s="524">
        <v>0</v>
      </c>
      <c r="G60" s="530">
        <f>IF($E$58=1,0,IF(OR($E$58=2,$E$58=3,$E$58=4,$E$58=5),$F$60))</f>
        <v>0</v>
      </c>
      <c r="H60" s="530">
        <f>IF($E$58=1,0,IF(OR($E$58=2,$E$58=3,$E$58=4,$E$58=5),$F$60))</f>
        <v>0</v>
      </c>
      <c r="I60" s="530">
        <f>IF($E$58=1,0,IF(OR($E$58=2,$E$58=3,$E$58=4,$E$58=5),$F$60))</f>
        <v>0</v>
      </c>
      <c r="J60" s="530">
        <f>IF($E$58=1,0,IF(OR($E$58=2,$E$58=3,$E$58=4,$E$58=5),$F$60))</f>
        <v>0</v>
      </c>
      <c r="K60" s="530">
        <f>IF($E$58=1,0,IF(OR($E$58=2,$E$58=3,$E$58=4,$E$58=5),$F$60))</f>
        <v>0</v>
      </c>
      <c r="L60" s="525"/>
      <c r="M60" s="530">
        <f>IF(OR($E$58=1,$E$58=2),0,$L$60)</f>
        <v>0</v>
      </c>
      <c r="N60" s="530">
        <f>IF(OR($E$58=1,$E$58=2),0,$L$60)</f>
        <v>0</v>
      </c>
      <c r="O60" s="530">
        <f>IF(OR($E$58=1,$E$58=2),0,$L$60)</f>
        <v>0</v>
      </c>
      <c r="P60" s="530">
        <f>IF(OR($E$58=1,$E$58=2),0,$L$60)</f>
        <v>0</v>
      </c>
      <c r="Q60" s="530">
        <f>IF(OR($E$58=1,$E$58=2),0,$L$60)</f>
        <v>0</v>
      </c>
      <c r="R60" s="525"/>
      <c r="S60" s="530">
        <f>IF(OR($E$58=1,$E$58=2,$E$58=3),0,$R$60)</f>
        <v>0</v>
      </c>
      <c r="T60" s="530">
        <f>IF(OR($E$58=1,$E$58=2,$E$58=3),0,$R$60)</f>
        <v>0</v>
      </c>
      <c r="U60" s="530">
        <f>IF(OR($E$58=1,$E$58=2,$E$58=3),0,$R$60)</f>
        <v>0</v>
      </c>
      <c r="V60" s="530">
        <f>IF(OR($E$58=1,$E$58=2,$E$58=3),0,$R$60)</f>
        <v>0</v>
      </c>
      <c r="W60" s="530">
        <f>IF(OR($E$58=1,$E$58=2,$E$58=3),0,$R$60)</f>
        <v>0</v>
      </c>
      <c r="X60" s="525"/>
      <c r="Y60" s="530">
        <f>IF($E$58=5,$X$60,0)</f>
        <v>0</v>
      </c>
      <c r="Z60" s="530">
        <f>IF($E$58=5,$X$60,0)</f>
        <v>0</v>
      </c>
      <c r="AA60" s="446"/>
      <c r="AB60" s="447"/>
    </row>
    <row r="61" spans="2:28" x14ac:dyDescent="0.2">
      <c r="B61" s="445"/>
      <c r="C61" s="689" t="str">
        <f>$C$16</f>
        <v>Option 1: Animal Proofing</v>
      </c>
      <c r="D61" s="544" t="str">
        <f>IF($I$8=1,"MAIFI momentary",0)</f>
        <v>MAIFI momentary</v>
      </c>
      <c r="E61" s="529" t="s">
        <v>148</v>
      </c>
      <c r="F61" s="525"/>
      <c r="G61" s="530">
        <f>IF($E$58=1,0,IF(OR($E$58=2,$E$58=3,$E$58=4,$E$58=5),$F$61))</f>
        <v>0</v>
      </c>
      <c r="H61" s="530">
        <f>IF($E$58=1,0,IF(OR($E$58=2,$E$58=3,$E$58=4,$E$58=5),$F$61))</f>
        <v>0</v>
      </c>
      <c r="I61" s="530">
        <f>IF($E$58=1,0,IF(OR($E$58=2,$E$58=3,$E$58=4,$E$58=5),$F$61))</f>
        <v>0</v>
      </c>
      <c r="J61" s="530">
        <f>IF($E$58=1,0,IF(OR($E$58=2,$E$58=3,$E$58=4,$E$58=5),$F$61))</f>
        <v>0</v>
      </c>
      <c r="K61" s="530">
        <f>IF($E$58=1,0,IF(OR($E$58=2,$E$58=3,$E$58=4,$E$58=5),$F$61))</f>
        <v>0</v>
      </c>
      <c r="L61" s="525"/>
      <c r="M61" s="530">
        <f>IF(OR($E$58=1,$E$58=2),0,$L$61)</f>
        <v>0</v>
      </c>
      <c r="N61" s="530">
        <f>IF(OR($E$58=1,$E$58=2),0,$L$61)</f>
        <v>0</v>
      </c>
      <c r="O61" s="530">
        <f>IF(OR($E$58=1,$E$58=2),0,$L$61)</f>
        <v>0</v>
      </c>
      <c r="P61" s="530">
        <f>IF(OR($E$58=1,$E$58=2),0,$L$61)</f>
        <v>0</v>
      </c>
      <c r="Q61" s="530">
        <f>IF(OR($E$58=1,$E$58=2),0,$L$61)</f>
        <v>0</v>
      </c>
      <c r="R61" s="525"/>
      <c r="S61" s="530">
        <f>IF(OR($E$58=1,$E$58=2,$E$58=3),0,$R$61)</f>
        <v>0</v>
      </c>
      <c r="T61" s="530">
        <f>IF(OR($E$58=1,$E$58=2,$E$58=3),0,$R$61)</f>
        <v>0</v>
      </c>
      <c r="U61" s="530">
        <f>IF(OR($E$58=1,$E$58=2,$E$58=3),0,$R$61)</f>
        <v>0</v>
      </c>
      <c r="V61" s="530">
        <f>IF(OR($E$58=1,$E$58=2,$E$58=3),0,$R$61)</f>
        <v>0</v>
      </c>
      <c r="W61" s="530">
        <f>IF(OR($E$58=1,$E$58=2,$E$58=3),0,$R$61)</f>
        <v>0</v>
      </c>
      <c r="X61" s="525"/>
      <c r="Y61" s="530">
        <f>IF($E$58=5,$X$61,0)</f>
        <v>0</v>
      </c>
      <c r="Z61" s="530">
        <f>IF($E$58=5,$X$61,0)</f>
        <v>0</v>
      </c>
      <c r="AA61" s="446"/>
      <c r="AB61" s="447"/>
    </row>
    <row r="62" spans="2:28" x14ac:dyDescent="0.2">
      <c r="B62" s="445"/>
      <c r="C62" s="689" t="str">
        <f>$C$16</f>
        <v>Option 1: Animal Proofing</v>
      </c>
      <c r="D62" s="544" t="str">
        <f>IF($I$8=1,"Call centre response",0)</f>
        <v>Call centre response</v>
      </c>
      <c r="E62" s="529" t="s">
        <v>150</v>
      </c>
      <c r="F62" s="526"/>
      <c r="G62" s="531">
        <f>IF($E$58=1,0,IF(OR($E$58=2,$E$58=3,$E$58=4,$E$58=5),$F$62))</f>
        <v>0</v>
      </c>
      <c r="H62" s="531">
        <f>IF($E$58=1,0,IF(OR($E$58=2,$E$58=3,$E$58=4,$E$58=5),$F$62))</f>
        <v>0</v>
      </c>
      <c r="I62" s="531">
        <f>IF($E$58=1,0,IF(OR($E$58=2,$E$58=3,$E$58=4,$E$58=5),$F$62))</f>
        <v>0</v>
      </c>
      <c r="J62" s="531">
        <f>IF($E$58=1,0,IF(OR($E$58=2,$E$58=3,$E$58=4,$E$58=5),$F$62))</f>
        <v>0</v>
      </c>
      <c r="K62" s="531">
        <f>IF($E$58=1,0,IF(OR($E$58=2,$E$58=3,$E$58=4,$E$58=5),$F$62))</f>
        <v>0</v>
      </c>
      <c r="L62" s="526"/>
      <c r="M62" s="531">
        <f>IF(OR($E$58=1,$E$58=2),0,$L$62)</f>
        <v>0</v>
      </c>
      <c r="N62" s="531">
        <f>IF(OR($E$58=1,$E$58=2),0,$L$62)</f>
        <v>0</v>
      </c>
      <c r="O62" s="531">
        <f>IF(OR($E$58=1,$E$58=2),0,$L$62)</f>
        <v>0</v>
      </c>
      <c r="P62" s="531">
        <f>IF(OR($E$58=1,$E$58=2),0,$L$62)</f>
        <v>0</v>
      </c>
      <c r="Q62" s="531">
        <f>IF(OR($E$58=1,$E$58=2),0,$L$62)</f>
        <v>0</v>
      </c>
      <c r="R62" s="526"/>
      <c r="S62" s="531">
        <f>IF(OR($E$58=1,$E$58=2,$E$58=3),0,$R$62)</f>
        <v>0</v>
      </c>
      <c r="T62" s="531">
        <f>IF(OR($E$58=1,$E$58=2,$E$58=3),0,$R$62)</f>
        <v>0</v>
      </c>
      <c r="U62" s="531">
        <f>IF(OR($E$58=1,$E$58=2,$E$58=3),0,$R$62)</f>
        <v>0</v>
      </c>
      <c r="V62" s="531">
        <f>IF(OR($E$58=1,$E$58=2,$E$58=3),0,$R$62)</f>
        <v>0</v>
      </c>
      <c r="W62" s="531">
        <f>IF(OR($E$58=1,$E$58=2,$E$58=3),0,$R$62)</f>
        <v>0</v>
      </c>
      <c r="X62" s="526"/>
      <c r="Y62" s="531">
        <f>IF($E$58=5,$X$62,0)</f>
        <v>0</v>
      </c>
      <c r="Z62" s="531">
        <f>IF($E$58=5,$X$62,0)</f>
        <v>0</v>
      </c>
      <c r="AA62" s="446"/>
      <c r="AB62" s="447"/>
    </row>
    <row r="63" spans="2:28" x14ac:dyDescent="0.2">
      <c r="B63" s="445"/>
      <c r="C63" s="446"/>
      <c r="D63" s="545"/>
      <c r="E63" s="534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446"/>
      <c r="AB63" s="447"/>
    </row>
    <row r="64" spans="2:28" x14ac:dyDescent="0.2">
      <c r="B64" s="445"/>
      <c r="C64" s="446"/>
      <c r="D64" s="542" t="str">
        <f>$D$35</f>
        <v>Network Outage Costs</v>
      </c>
      <c r="E64" s="528"/>
      <c r="F64" s="522">
        <f>G12</f>
        <v>2017</v>
      </c>
      <c r="G64" s="523">
        <f t="shared" ref="G64:Z64" si="10">F64+1</f>
        <v>2018</v>
      </c>
      <c r="H64" s="523">
        <f t="shared" si="10"/>
        <v>2019</v>
      </c>
      <c r="I64" s="523">
        <f t="shared" si="10"/>
        <v>2020</v>
      </c>
      <c r="J64" s="523">
        <f t="shared" si="10"/>
        <v>2021</v>
      </c>
      <c r="K64" s="523">
        <f t="shared" si="10"/>
        <v>2022</v>
      </c>
      <c r="L64" s="523">
        <f t="shared" si="10"/>
        <v>2023</v>
      </c>
      <c r="M64" s="523">
        <f t="shared" si="10"/>
        <v>2024</v>
      </c>
      <c r="N64" s="523">
        <f t="shared" si="10"/>
        <v>2025</v>
      </c>
      <c r="O64" s="523">
        <f t="shared" si="10"/>
        <v>2026</v>
      </c>
      <c r="P64" s="523">
        <f t="shared" si="10"/>
        <v>2027</v>
      </c>
      <c r="Q64" s="523">
        <f t="shared" si="10"/>
        <v>2028</v>
      </c>
      <c r="R64" s="523">
        <f t="shared" si="10"/>
        <v>2029</v>
      </c>
      <c r="S64" s="523">
        <f t="shared" si="10"/>
        <v>2030</v>
      </c>
      <c r="T64" s="523">
        <f t="shared" si="10"/>
        <v>2031</v>
      </c>
      <c r="U64" s="523">
        <f t="shared" si="10"/>
        <v>2032</v>
      </c>
      <c r="V64" s="523">
        <f t="shared" si="10"/>
        <v>2033</v>
      </c>
      <c r="W64" s="523">
        <f t="shared" si="10"/>
        <v>2034</v>
      </c>
      <c r="X64" s="523">
        <f t="shared" si="10"/>
        <v>2035</v>
      </c>
      <c r="Y64" s="523">
        <f t="shared" si="10"/>
        <v>2036</v>
      </c>
      <c r="Z64" s="523">
        <f t="shared" si="10"/>
        <v>2037</v>
      </c>
      <c r="AA64" s="446"/>
      <c r="AB64" s="447"/>
    </row>
    <row r="65" spans="2:28" x14ac:dyDescent="0.2">
      <c r="B65" s="445"/>
      <c r="C65" s="689" t="str">
        <f>$C$16</f>
        <v>Option 1: Animal Proofing</v>
      </c>
      <c r="D65" s="544" t="str">
        <f>$D$36</f>
        <v>Customer off supply</v>
      </c>
      <c r="E65" s="529" t="s">
        <v>149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446"/>
      <c r="AB65" s="447"/>
    </row>
    <row r="66" spans="2:28" x14ac:dyDescent="0.2">
      <c r="B66" s="445"/>
      <c r="C66" s="446"/>
      <c r="D66" s="543"/>
      <c r="E66" s="534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446"/>
      <c r="AB66" s="447"/>
    </row>
    <row r="67" spans="2:28" x14ac:dyDescent="0.2">
      <c r="B67" s="445"/>
      <c r="C67" s="446"/>
      <c r="D67" s="542" t="str">
        <f>D38</f>
        <v>Loss of F Factor Benefit</v>
      </c>
      <c r="E67" s="527"/>
      <c r="F67" s="522">
        <f>G12</f>
        <v>2017</v>
      </c>
      <c r="G67" s="523">
        <f t="shared" ref="G67:Z67" si="11">F67+1</f>
        <v>2018</v>
      </c>
      <c r="H67" s="523">
        <f t="shared" si="11"/>
        <v>2019</v>
      </c>
      <c r="I67" s="523">
        <f t="shared" si="11"/>
        <v>2020</v>
      </c>
      <c r="J67" s="523">
        <f t="shared" si="11"/>
        <v>2021</v>
      </c>
      <c r="K67" s="523">
        <f t="shared" si="11"/>
        <v>2022</v>
      </c>
      <c r="L67" s="523">
        <f t="shared" si="11"/>
        <v>2023</v>
      </c>
      <c r="M67" s="523">
        <f t="shared" si="11"/>
        <v>2024</v>
      </c>
      <c r="N67" s="523">
        <f t="shared" si="11"/>
        <v>2025</v>
      </c>
      <c r="O67" s="523">
        <f t="shared" si="11"/>
        <v>2026</v>
      </c>
      <c r="P67" s="523">
        <f t="shared" si="11"/>
        <v>2027</v>
      </c>
      <c r="Q67" s="523">
        <f t="shared" si="11"/>
        <v>2028</v>
      </c>
      <c r="R67" s="523">
        <f t="shared" si="11"/>
        <v>2029</v>
      </c>
      <c r="S67" s="523">
        <f t="shared" si="11"/>
        <v>2030</v>
      </c>
      <c r="T67" s="523">
        <f t="shared" si="11"/>
        <v>2031</v>
      </c>
      <c r="U67" s="523">
        <f t="shared" si="11"/>
        <v>2032</v>
      </c>
      <c r="V67" s="523">
        <f t="shared" si="11"/>
        <v>2033</v>
      </c>
      <c r="W67" s="523">
        <f t="shared" si="11"/>
        <v>2034</v>
      </c>
      <c r="X67" s="523">
        <f t="shared" si="11"/>
        <v>2035</v>
      </c>
      <c r="Y67" s="523">
        <f t="shared" si="11"/>
        <v>2036</v>
      </c>
      <c r="Z67" s="523">
        <f t="shared" si="11"/>
        <v>2037</v>
      </c>
      <c r="AA67" s="446"/>
      <c r="AB67" s="447"/>
    </row>
    <row r="68" spans="2:28" x14ac:dyDescent="0.2">
      <c r="B68" s="445"/>
      <c r="C68" s="689" t="str">
        <f>$C$16</f>
        <v>Option 1: Animal Proofing</v>
      </c>
      <c r="D68" s="546" t="str">
        <f>$D$39</f>
        <v>Loss of F Factor Benefit</v>
      </c>
      <c r="E68" s="541" t="str">
        <f>$E$39</f>
        <v>(No. of fire start NOT avoided)</v>
      </c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446"/>
      <c r="AB68" s="447"/>
    </row>
    <row r="69" spans="2:28" x14ac:dyDescent="0.2">
      <c r="B69" s="445"/>
      <c r="C69" s="446"/>
      <c r="D69" s="538"/>
      <c r="E69" s="534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446"/>
      <c r="AB69" s="447"/>
    </row>
    <row r="70" spans="2:28" x14ac:dyDescent="0.2">
      <c r="B70" s="445"/>
      <c r="C70" s="446"/>
      <c r="D70" s="542" t="s">
        <v>116</v>
      </c>
      <c r="E70" s="527"/>
      <c r="F70" s="522">
        <f>G12</f>
        <v>2017</v>
      </c>
      <c r="G70" s="523">
        <f t="shared" ref="G70:Z70" si="12">F70+1</f>
        <v>2018</v>
      </c>
      <c r="H70" s="523">
        <f t="shared" si="12"/>
        <v>2019</v>
      </c>
      <c r="I70" s="523">
        <f t="shared" si="12"/>
        <v>2020</v>
      </c>
      <c r="J70" s="523">
        <f t="shared" si="12"/>
        <v>2021</v>
      </c>
      <c r="K70" s="523">
        <f t="shared" si="12"/>
        <v>2022</v>
      </c>
      <c r="L70" s="523">
        <f t="shared" si="12"/>
        <v>2023</v>
      </c>
      <c r="M70" s="523">
        <f t="shared" si="12"/>
        <v>2024</v>
      </c>
      <c r="N70" s="523">
        <f t="shared" si="12"/>
        <v>2025</v>
      </c>
      <c r="O70" s="523">
        <f t="shared" si="12"/>
        <v>2026</v>
      </c>
      <c r="P70" s="523">
        <f t="shared" si="12"/>
        <v>2027</v>
      </c>
      <c r="Q70" s="523">
        <f t="shared" si="12"/>
        <v>2028</v>
      </c>
      <c r="R70" s="523">
        <f t="shared" si="12"/>
        <v>2029</v>
      </c>
      <c r="S70" s="523">
        <f t="shared" si="12"/>
        <v>2030</v>
      </c>
      <c r="T70" s="523">
        <f t="shared" si="12"/>
        <v>2031</v>
      </c>
      <c r="U70" s="523">
        <f t="shared" si="12"/>
        <v>2032</v>
      </c>
      <c r="V70" s="523">
        <f t="shared" si="12"/>
        <v>2033</v>
      </c>
      <c r="W70" s="523">
        <f t="shared" si="12"/>
        <v>2034</v>
      </c>
      <c r="X70" s="523">
        <f t="shared" si="12"/>
        <v>2035</v>
      </c>
      <c r="Y70" s="523">
        <f t="shared" si="12"/>
        <v>2036</v>
      </c>
      <c r="Z70" s="523">
        <f t="shared" si="12"/>
        <v>2037</v>
      </c>
      <c r="AA70" s="446"/>
      <c r="AB70" s="447"/>
    </row>
    <row r="71" spans="2:28" x14ac:dyDescent="0.2">
      <c r="B71" s="445"/>
      <c r="C71" s="689" t="str">
        <f t="shared" ref="C71:C80" si="13">$C$16</f>
        <v>Option 1: Animal Proofing</v>
      </c>
      <c r="D71" s="542" t="str">
        <f>$D$42</f>
        <v>Cost 1</v>
      </c>
      <c r="E71" s="519" t="s">
        <v>104</v>
      </c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446"/>
      <c r="AB71" s="447"/>
    </row>
    <row r="72" spans="2:28" x14ac:dyDescent="0.2">
      <c r="B72" s="445"/>
      <c r="C72" s="689" t="str">
        <f t="shared" si="13"/>
        <v>Option 1: Animal Proofing</v>
      </c>
      <c r="D72" s="542" t="str">
        <f>$D$43</f>
        <v>Cost 2</v>
      </c>
      <c r="E72" s="519" t="s">
        <v>104</v>
      </c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446"/>
      <c r="AB72" s="447"/>
    </row>
    <row r="73" spans="2:28" x14ac:dyDescent="0.2">
      <c r="B73" s="445"/>
      <c r="C73" s="689" t="str">
        <f t="shared" si="13"/>
        <v>Option 1: Animal Proofing</v>
      </c>
      <c r="D73" s="542" t="str">
        <f>$D$44</f>
        <v>Cost 3</v>
      </c>
      <c r="E73" s="519" t="s">
        <v>104</v>
      </c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446"/>
      <c r="AB73" s="447"/>
    </row>
    <row r="74" spans="2:28" x14ac:dyDescent="0.2">
      <c r="B74" s="445"/>
      <c r="C74" s="689" t="str">
        <f t="shared" si="13"/>
        <v>Option 1: Animal Proofing</v>
      </c>
      <c r="D74" s="542" t="str">
        <f>$D$45</f>
        <v>Cost 4</v>
      </c>
      <c r="E74" s="519" t="s">
        <v>104</v>
      </c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446"/>
      <c r="AB74" s="447"/>
    </row>
    <row r="75" spans="2:28" x14ac:dyDescent="0.2">
      <c r="B75" s="445"/>
      <c r="C75" s="689" t="str">
        <f t="shared" si="13"/>
        <v>Option 1: Animal Proofing</v>
      </c>
      <c r="D75" s="542" t="str">
        <f>$D$46</f>
        <v>Cost 5</v>
      </c>
      <c r="E75" s="519" t="s">
        <v>104</v>
      </c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446"/>
      <c r="AB75" s="447"/>
    </row>
    <row r="76" spans="2:28" x14ac:dyDescent="0.2">
      <c r="B76" s="445"/>
      <c r="C76" s="689" t="str">
        <f t="shared" si="13"/>
        <v>Option 1: Animal Proofing</v>
      </c>
      <c r="D76" s="542" t="s">
        <v>278</v>
      </c>
      <c r="E76" s="519" t="s">
        <v>104</v>
      </c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446"/>
      <c r="AB76" s="447"/>
    </row>
    <row r="77" spans="2:28" x14ac:dyDescent="0.2">
      <c r="B77" s="445"/>
      <c r="C77" s="689" t="str">
        <f t="shared" si="13"/>
        <v>Option 1: Animal Proofing</v>
      </c>
      <c r="D77" s="542" t="s">
        <v>279</v>
      </c>
      <c r="E77" s="519" t="s">
        <v>104</v>
      </c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446"/>
      <c r="AB77" s="447"/>
    </row>
    <row r="78" spans="2:28" x14ac:dyDescent="0.2">
      <c r="B78" s="445"/>
      <c r="C78" s="689" t="str">
        <f t="shared" si="13"/>
        <v>Option 1: Animal Proofing</v>
      </c>
      <c r="D78" s="542" t="s">
        <v>280</v>
      </c>
      <c r="E78" s="519" t="s">
        <v>104</v>
      </c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446"/>
      <c r="AB78" s="447"/>
    </row>
    <row r="79" spans="2:28" x14ac:dyDescent="0.2">
      <c r="B79" s="445"/>
      <c r="C79" s="689" t="str">
        <f t="shared" si="13"/>
        <v>Option 1: Animal Proofing</v>
      </c>
      <c r="D79" s="542" t="s">
        <v>281</v>
      </c>
      <c r="E79" s="519" t="s">
        <v>104</v>
      </c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446"/>
      <c r="AB79" s="447"/>
    </row>
    <row r="80" spans="2:28" x14ac:dyDescent="0.2">
      <c r="B80" s="445"/>
      <c r="C80" s="689" t="str">
        <f t="shared" si="13"/>
        <v>Option 1: Animal Proofing</v>
      </c>
      <c r="D80" s="542" t="s">
        <v>282</v>
      </c>
      <c r="E80" s="519" t="s">
        <v>104</v>
      </c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446"/>
      <c r="AB80" s="447"/>
    </row>
    <row r="81" spans="2:28" x14ac:dyDescent="0.2">
      <c r="B81" s="445"/>
      <c r="C81" s="446"/>
      <c r="D81" s="532"/>
      <c r="E81" s="533"/>
      <c r="F81" s="446"/>
      <c r="G81" s="446"/>
      <c r="H81" s="446"/>
      <c r="I81" s="446"/>
      <c r="J81" s="446"/>
      <c r="K81" s="512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2" t="str">
        <f>"Option 2: "&amp;+E17</f>
        <v xml:space="preserve">Option 2: </v>
      </c>
      <c r="E82" s="487"/>
      <c r="F82" s="446"/>
      <c r="G82" s="446"/>
      <c r="H82" s="446"/>
      <c r="I82" s="446"/>
      <c r="J82" s="446"/>
      <c r="K82" s="512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2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20"/>
      <c r="E84" s="521"/>
      <c r="F84" s="522">
        <f>G12</f>
        <v>2017</v>
      </c>
      <c r="G84" s="523">
        <f>F84+1</f>
        <v>2018</v>
      </c>
      <c r="H84" s="523">
        <f t="shared" ref="H84:Z84" si="14">G84+1</f>
        <v>2019</v>
      </c>
      <c r="I84" s="523">
        <f t="shared" si="14"/>
        <v>2020</v>
      </c>
      <c r="J84" s="523">
        <f t="shared" si="14"/>
        <v>2021</v>
      </c>
      <c r="K84" s="523">
        <f t="shared" si="14"/>
        <v>2022</v>
      </c>
      <c r="L84" s="523">
        <f t="shared" si="14"/>
        <v>2023</v>
      </c>
      <c r="M84" s="523">
        <f t="shared" si="14"/>
        <v>2024</v>
      </c>
      <c r="N84" s="523">
        <f t="shared" si="14"/>
        <v>2025</v>
      </c>
      <c r="O84" s="523">
        <f t="shared" si="14"/>
        <v>2026</v>
      </c>
      <c r="P84" s="523">
        <f t="shared" si="14"/>
        <v>2027</v>
      </c>
      <c r="Q84" s="523">
        <f t="shared" si="14"/>
        <v>2028</v>
      </c>
      <c r="R84" s="523">
        <f t="shared" si="14"/>
        <v>2029</v>
      </c>
      <c r="S84" s="523">
        <f t="shared" si="14"/>
        <v>2030</v>
      </c>
      <c r="T84" s="523">
        <f t="shared" si="14"/>
        <v>2031</v>
      </c>
      <c r="U84" s="523">
        <f t="shared" si="14"/>
        <v>2032</v>
      </c>
      <c r="V84" s="523">
        <f t="shared" si="14"/>
        <v>2033</v>
      </c>
      <c r="W84" s="523">
        <f t="shared" si="14"/>
        <v>2034</v>
      </c>
      <c r="X84" s="523">
        <f t="shared" si="14"/>
        <v>2035</v>
      </c>
      <c r="Y84" s="523">
        <f t="shared" si="14"/>
        <v>2036</v>
      </c>
      <c r="Z84" s="523">
        <f t="shared" si="14"/>
        <v>2037</v>
      </c>
      <c r="AA84" s="446"/>
      <c r="AB84" s="447"/>
    </row>
    <row r="85" spans="2:28" x14ac:dyDescent="0.2">
      <c r="B85" s="445"/>
      <c r="C85" s="689" t="str">
        <f>$C$17</f>
        <v xml:space="preserve">Option 2: </v>
      </c>
      <c r="D85" s="542" t="str">
        <f>$D$27</f>
        <v>Maintenance Costs</v>
      </c>
      <c r="E85" s="519" t="s">
        <v>104</v>
      </c>
      <c r="F85" s="510"/>
      <c r="G85" s="537"/>
      <c r="H85" s="537"/>
      <c r="I85" s="537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446"/>
      <c r="AB85" s="447"/>
    </row>
    <row r="86" spans="2:28" x14ac:dyDescent="0.2">
      <c r="B86" s="445"/>
      <c r="C86" s="446"/>
      <c r="D86" s="543"/>
      <c r="E86" s="533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2" t="str">
        <f>IF($I$8=1,"Negative Impact on Revenue (STPIS)",0)</f>
        <v>Negative Impact on Revenue (STPIS)</v>
      </c>
      <c r="E87" s="528">
        <v>5</v>
      </c>
      <c r="F87" s="522">
        <f>G12</f>
        <v>2017</v>
      </c>
      <c r="G87" s="523">
        <f t="shared" ref="G87:Z87" si="15">F87+1</f>
        <v>2018</v>
      </c>
      <c r="H87" s="523">
        <f t="shared" si="15"/>
        <v>2019</v>
      </c>
      <c r="I87" s="523">
        <f t="shared" si="15"/>
        <v>2020</v>
      </c>
      <c r="J87" s="523">
        <f t="shared" si="15"/>
        <v>2021</v>
      </c>
      <c r="K87" s="523">
        <f t="shared" si="15"/>
        <v>2022</v>
      </c>
      <c r="L87" s="523">
        <f t="shared" si="15"/>
        <v>2023</v>
      </c>
      <c r="M87" s="523">
        <f t="shared" si="15"/>
        <v>2024</v>
      </c>
      <c r="N87" s="523">
        <f t="shared" si="15"/>
        <v>2025</v>
      </c>
      <c r="O87" s="523">
        <f t="shared" si="15"/>
        <v>2026</v>
      </c>
      <c r="P87" s="523">
        <f t="shared" si="15"/>
        <v>2027</v>
      </c>
      <c r="Q87" s="523">
        <f t="shared" si="15"/>
        <v>2028</v>
      </c>
      <c r="R87" s="523">
        <f t="shared" si="15"/>
        <v>2029</v>
      </c>
      <c r="S87" s="523">
        <f t="shared" si="15"/>
        <v>2030</v>
      </c>
      <c r="T87" s="523">
        <f t="shared" si="15"/>
        <v>2031</v>
      </c>
      <c r="U87" s="523">
        <f t="shared" si="15"/>
        <v>2032</v>
      </c>
      <c r="V87" s="523">
        <f t="shared" si="15"/>
        <v>2033</v>
      </c>
      <c r="W87" s="523">
        <f t="shared" si="15"/>
        <v>2034</v>
      </c>
      <c r="X87" s="523">
        <f t="shared" si="15"/>
        <v>2035</v>
      </c>
      <c r="Y87" s="523">
        <f t="shared" si="15"/>
        <v>2036</v>
      </c>
      <c r="Z87" s="523">
        <f t="shared" si="15"/>
        <v>2037</v>
      </c>
      <c r="AA87" s="446"/>
      <c r="AB87" s="447"/>
    </row>
    <row r="88" spans="2:28" x14ac:dyDescent="0.2">
      <c r="B88" s="445"/>
      <c r="C88" s="689" t="str">
        <f>$C$17</f>
        <v xml:space="preserve">Option 2: </v>
      </c>
      <c r="D88" s="544" t="str">
        <f>IF($I$8=1,"SAIFI sustained",0)</f>
        <v>SAIFI sustained</v>
      </c>
      <c r="E88" s="529" t="s">
        <v>148</v>
      </c>
      <c r="F88" s="684"/>
      <c r="G88" s="530">
        <f>IF($E$87=1,0,IF(OR($E$87=2,$E$87=3,$E$87=4,$E$87=5),$F$88))</f>
        <v>0</v>
      </c>
      <c r="H88" s="530">
        <f>IF($E$87=1,0,IF(OR($E$87=2,$E$87=3,$E$87=4,$E$87=5),$F$88))</f>
        <v>0</v>
      </c>
      <c r="I88" s="530">
        <f>IF($E$87=1,0,IF(OR($E$87=2,$E$87=3,$E$87=4,$E$87=5),$F$88))</f>
        <v>0</v>
      </c>
      <c r="J88" s="530">
        <f>IF($E$87=1,0,IF(OR($E$87=2,$E$87=3,$E$87=4,$E$87=5),$F$88))</f>
        <v>0</v>
      </c>
      <c r="K88" s="530">
        <f>IF($E$87=1,0,IF(OR($E$87=2,$E$87=3,$E$87=4,$E$87=5),$F$88))</f>
        <v>0</v>
      </c>
      <c r="L88" s="525"/>
      <c r="M88" s="530">
        <f>IF(OR($E$87=1,$E$87=2),0,$L$88)</f>
        <v>0</v>
      </c>
      <c r="N88" s="530">
        <f>IF(OR($E$87=1,$E$87=2),0,$L$88)</f>
        <v>0</v>
      </c>
      <c r="O88" s="530">
        <f>IF(OR($E$87=1,$E$87=2),0,$L$88)</f>
        <v>0</v>
      </c>
      <c r="P88" s="530">
        <f>IF(OR($E$87=1,$E$87=2),0,$L$88)</f>
        <v>0</v>
      </c>
      <c r="Q88" s="530">
        <f>IF(OR($E$87=1,$E$87=2),0,$L$88)</f>
        <v>0</v>
      </c>
      <c r="R88" s="525"/>
      <c r="S88" s="530">
        <f>IF(OR($E$87=1,$E$87=2,$E$87=3),0,$R$88)</f>
        <v>0</v>
      </c>
      <c r="T88" s="530">
        <f>IF(OR($E$87=1,$E$87=2,$E$87=3),0,$R$88)</f>
        <v>0</v>
      </c>
      <c r="U88" s="530">
        <f>IF(OR($E$87=1,$E$87=2,$E$87=3),0,$R$88)</f>
        <v>0</v>
      </c>
      <c r="V88" s="530">
        <f>IF(OR($E$87=1,$E$87=2,$E$87=3),0,$R$88)</f>
        <v>0</v>
      </c>
      <c r="W88" s="530">
        <f>IF(OR($E$87=1,$E$87=2,$E$87=3),0,$R$88)</f>
        <v>0</v>
      </c>
      <c r="X88" s="525"/>
      <c r="Y88" s="530">
        <f>IF($E$87=5,$X$88,0)</f>
        <v>0</v>
      </c>
      <c r="Z88" s="530">
        <f>IF($E$87=5,$X$88,0)</f>
        <v>0</v>
      </c>
      <c r="AA88" s="446"/>
      <c r="AB88" s="447"/>
    </row>
    <row r="89" spans="2:28" x14ac:dyDescent="0.2">
      <c r="B89" s="445"/>
      <c r="C89" s="689" t="str">
        <f>$C$17</f>
        <v xml:space="preserve">Option 2: </v>
      </c>
      <c r="D89" s="544" t="str">
        <f>IF($I$8=1,"SAIDI accidental",0)</f>
        <v>SAIDI accidental</v>
      </c>
      <c r="E89" s="529" t="s">
        <v>149</v>
      </c>
      <c r="F89" s="684"/>
      <c r="G89" s="530">
        <f>IF($E$87=1,0,IF(OR($E$87=2,$E$87=3,$E$87=4,$E$87=5),$F$89))</f>
        <v>0</v>
      </c>
      <c r="H89" s="530">
        <f>IF($E$87=1,0,IF(OR($E$87=2,$E$87=3,$E$87=4,$E$87=5),$F$89))</f>
        <v>0</v>
      </c>
      <c r="I89" s="530">
        <f>IF($E$87=1,0,IF(OR($E$87=2,$E$87=3,$E$87=4,$E$87=5),$F$89))</f>
        <v>0</v>
      </c>
      <c r="J89" s="530">
        <f>IF($E$87=1,0,IF(OR($E$87=2,$E$87=3,$E$87=4,$E$87=5),$F$89))</f>
        <v>0</v>
      </c>
      <c r="K89" s="530">
        <f>IF($E$87=1,0,IF(OR($E$87=2,$E$87=3,$E$87=4,$E$87=5),$F$89))</f>
        <v>0</v>
      </c>
      <c r="L89" s="525"/>
      <c r="M89" s="530">
        <f>IF(OR($E$87=1,$E$87=2),0,$L$89)</f>
        <v>0</v>
      </c>
      <c r="N89" s="530">
        <f>IF(OR($E$87=1,$E$87=2),0,$L$89)</f>
        <v>0</v>
      </c>
      <c r="O89" s="530">
        <f>IF(OR($E$87=1,$E$87=2),0,$L$89)</f>
        <v>0</v>
      </c>
      <c r="P89" s="530">
        <f>IF(OR($E$87=1,$E$87=2),0,$L$89)</f>
        <v>0</v>
      </c>
      <c r="Q89" s="530">
        <f>IF(OR($E$87=1,$E$87=2),0,$L$89)</f>
        <v>0</v>
      </c>
      <c r="R89" s="525"/>
      <c r="S89" s="530">
        <f>IF(OR($E$87=1,$E$87=2,$E$87=3),0,$R$89)</f>
        <v>0</v>
      </c>
      <c r="T89" s="530">
        <f>IF(OR($E$87=1,$E$87=2,$E$87=3),0,$R$89)</f>
        <v>0</v>
      </c>
      <c r="U89" s="530">
        <f>IF(OR($E$87=1,$E$87=2,$E$87=3),0,$R$89)</f>
        <v>0</v>
      </c>
      <c r="V89" s="530">
        <f>IF(OR($E$87=1,$E$87=2,$E$87=3),0,$R$89)</f>
        <v>0</v>
      </c>
      <c r="W89" s="530">
        <f>IF(OR($E$87=1,$E$87=2,$E$87=3),0,$R$89)</f>
        <v>0</v>
      </c>
      <c r="X89" s="525"/>
      <c r="Y89" s="530">
        <f>IF($E$87=5,$X$89,0)</f>
        <v>0</v>
      </c>
      <c r="Z89" s="530">
        <f>IF($E$87=5,$X$89,0)</f>
        <v>0</v>
      </c>
      <c r="AA89" s="446"/>
      <c r="AB89" s="447"/>
    </row>
    <row r="90" spans="2:28" x14ac:dyDescent="0.2">
      <c r="B90" s="445"/>
      <c r="C90" s="689" t="str">
        <f>$C$17</f>
        <v xml:space="preserve">Option 2: </v>
      </c>
      <c r="D90" s="544" t="str">
        <f>IF($I$8=1,"MAIFI momentary",0)</f>
        <v>MAIFI momentary</v>
      </c>
      <c r="E90" s="529" t="s">
        <v>148</v>
      </c>
      <c r="F90" s="525"/>
      <c r="G90" s="530">
        <f>IF($E$87=1,0,IF(OR($E$87=2,$E$87=3,$E$87=4,$E$87=5),$F$90))</f>
        <v>0</v>
      </c>
      <c r="H90" s="530">
        <f>IF($E$87=1,0,IF(OR($E$87=2,$E$87=3,$E$87=4,$E$87=5),$F$90))</f>
        <v>0</v>
      </c>
      <c r="I90" s="530">
        <f>IF($E$87=1,0,IF(OR($E$87=2,$E$87=3,$E$87=4,$E$87=5),$F$90))</f>
        <v>0</v>
      </c>
      <c r="J90" s="530">
        <f>IF($E$87=1,0,IF(OR($E$87=2,$E$87=3,$E$87=4,$E$87=5),$F$90))</f>
        <v>0</v>
      </c>
      <c r="K90" s="530">
        <f>IF($E$87=1,0,IF(OR($E$87=2,$E$87=3,$E$87=4,$E$87=5),$F$90))</f>
        <v>0</v>
      </c>
      <c r="L90" s="525"/>
      <c r="M90" s="530">
        <f>IF(OR($E$87=1,$E$87=2),0,$L$90)</f>
        <v>0</v>
      </c>
      <c r="N90" s="530">
        <f>IF(OR($E$87=1,$E$87=2),0,$L$90)</f>
        <v>0</v>
      </c>
      <c r="O90" s="530">
        <f>IF(OR($E$87=1,$E$87=2),0,$L$90)</f>
        <v>0</v>
      </c>
      <c r="P90" s="530">
        <f>IF(OR($E$87=1,$E$87=2),0,$L$90)</f>
        <v>0</v>
      </c>
      <c r="Q90" s="530">
        <f>IF(OR($E$87=1,$E$87=2),0,$L$90)</f>
        <v>0</v>
      </c>
      <c r="R90" s="525"/>
      <c r="S90" s="530">
        <f>IF(OR($E$87=1,$E$87=2,$E$87=3),0,$R$90)</f>
        <v>0</v>
      </c>
      <c r="T90" s="530">
        <f>IF(OR($E$87=1,$E$87=2,$E$87=3),0,$R$90)</f>
        <v>0</v>
      </c>
      <c r="U90" s="530">
        <f>IF(OR($E$87=1,$E$87=2,$E$87=3),0,$R$90)</f>
        <v>0</v>
      </c>
      <c r="V90" s="530">
        <f>IF(OR($E$87=1,$E$87=2,$E$87=3),0,$R$90)</f>
        <v>0</v>
      </c>
      <c r="W90" s="530">
        <f>IF(OR($E$87=1,$E$87=2,$E$87=3),0,$R$90)</f>
        <v>0</v>
      </c>
      <c r="X90" s="525"/>
      <c r="Y90" s="530">
        <f>IF($E$87=5,$X$90,0)</f>
        <v>0</v>
      </c>
      <c r="Z90" s="530">
        <f>IF($E$87=5,$X$90,0)</f>
        <v>0</v>
      </c>
      <c r="AA90" s="446"/>
      <c r="AB90" s="447"/>
    </row>
    <row r="91" spans="2:28" x14ac:dyDescent="0.2">
      <c r="B91" s="445"/>
      <c r="C91" s="689" t="str">
        <f>$C$17</f>
        <v xml:space="preserve">Option 2: </v>
      </c>
      <c r="D91" s="544" t="str">
        <f>IF($I$8=1,"Call centre response",0)</f>
        <v>Call centre response</v>
      </c>
      <c r="E91" s="529" t="s">
        <v>150</v>
      </c>
      <c r="F91" s="526"/>
      <c r="G91" s="531">
        <f>IF($E$87=1,0,IF(OR($E$87=2,$E$87=3,$E$87=4,$E$87=5),$F$91))</f>
        <v>0</v>
      </c>
      <c r="H91" s="531">
        <f>IF($E$87=1,0,IF(OR($E$87=2,$E$87=3,$E$87=4,$E$87=5),$F$91))</f>
        <v>0</v>
      </c>
      <c r="I91" s="531">
        <f>IF($E$87=1,0,IF(OR($E$87=2,$E$87=3,$E$87=4,$E$87=5),$F$91))</f>
        <v>0</v>
      </c>
      <c r="J91" s="531">
        <f>IF($E$87=1,0,IF(OR($E$87=2,$E$87=3,$E$87=4,$E$87=5),$F$91))</f>
        <v>0</v>
      </c>
      <c r="K91" s="531">
        <f>IF($E$87=1,0,IF(OR($E$87=2,$E$87=3,$E$87=4,$E$87=5),$F$91))</f>
        <v>0</v>
      </c>
      <c r="L91" s="526"/>
      <c r="M91" s="531">
        <f>IF(OR($E$87=1,$E$87=2),0,$L$91)</f>
        <v>0</v>
      </c>
      <c r="N91" s="531">
        <f>IF(OR($E$87=1,$E$87=2),0,$L$91)</f>
        <v>0</v>
      </c>
      <c r="O91" s="531">
        <f>IF(OR($E$87=1,$E$87=2),0,$L$91)</f>
        <v>0</v>
      </c>
      <c r="P91" s="531">
        <f>IF(OR($E$87=1,$E$87=2),0,$L$91)</f>
        <v>0</v>
      </c>
      <c r="Q91" s="531">
        <f>IF(OR($E$87=1,$E$87=2),0,$L$91)</f>
        <v>0</v>
      </c>
      <c r="R91" s="526"/>
      <c r="S91" s="531">
        <f>IF(OR($E$87=1,$E$87=2,$E$87=3),0,$R$91)</f>
        <v>0</v>
      </c>
      <c r="T91" s="531">
        <f>IF(OR($E$87=1,$E$87=2,$E$87=3),0,$R$91)</f>
        <v>0</v>
      </c>
      <c r="U91" s="531">
        <f>IF(OR($E$87=1,$E$87=2,$E$87=3),0,$R$91)</f>
        <v>0</v>
      </c>
      <c r="V91" s="531">
        <f>IF(OR($E$87=1,$E$87=2,$E$87=3),0,$R$91)</f>
        <v>0</v>
      </c>
      <c r="W91" s="531">
        <f>IF(OR($E$87=1,$E$87=2,$E$87=3),0,$R$91)</f>
        <v>0</v>
      </c>
      <c r="X91" s="526"/>
      <c r="Y91" s="531">
        <f>IF($E$87=5,$X$91,0)</f>
        <v>0</v>
      </c>
      <c r="Z91" s="531">
        <f>IF($E$87=5,$X$91,0)</f>
        <v>0</v>
      </c>
      <c r="AA91" s="446"/>
      <c r="AB91" s="447"/>
    </row>
    <row r="92" spans="2:28" x14ac:dyDescent="0.2">
      <c r="B92" s="445"/>
      <c r="C92" s="446"/>
      <c r="D92" s="545"/>
      <c r="E92" s="534"/>
      <c r="F92" s="535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446"/>
      <c r="AB92" s="447"/>
    </row>
    <row r="93" spans="2:28" x14ac:dyDescent="0.2">
      <c r="B93" s="445"/>
      <c r="C93" s="446"/>
      <c r="D93" s="542" t="str">
        <f>$D$35</f>
        <v>Network Outage Costs</v>
      </c>
      <c r="E93" s="528"/>
      <c r="F93" s="522">
        <f>G12</f>
        <v>2017</v>
      </c>
      <c r="G93" s="523">
        <f t="shared" ref="G93:Z93" si="16">F93+1</f>
        <v>2018</v>
      </c>
      <c r="H93" s="523">
        <f t="shared" si="16"/>
        <v>2019</v>
      </c>
      <c r="I93" s="523">
        <f t="shared" si="16"/>
        <v>2020</v>
      </c>
      <c r="J93" s="523">
        <f t="shared" si="16"/>
        <v>2021</v>
      </c>
      <c r="K93" s="523">
        <f t="shared" si="16"/>
        <v>2022</v>
      </c>
      <c r="L93" s="523">
        <f t="shared" si="16"/>
        <v>2023</v>
      </c>
      <c r="M93" s="523">
        <f t="shared" si="16"/>
        <v>2024</v>
      </c>
      <c r="N93" s="523">
        <f t="shared" si="16"/>
        <v>2025</v>
      </c>
      <c r="O93" s="523">
        <f t="shared" si="16"/>
        <v>2026</v>
      </c>
      <c r="P93" s="523">
        <f t="shared" si="16"/>
        <v>2027</v>
      </c>
      <c r="Q93" s="523">
        <f t="shared" si="16"/>
        <v>2028</v>
      </c>
      <c r="R93" s="523">
        <f t="shared" si="16"/>
        <v>2029</v>
      </c>
      <c r="S93" s="523">
        <f t="shared" si="16"/>
        <v>2030</v>
      </c>
      <c r="T93" s="523">
        <f t="shared" si="16"/>
        <v>2031</v>
      </c>
      <c r="U93" s="523">
        <f t="shared" si="16"/>
        <v>2032</v>
      </c>
      <c r="V93" s="523">
        <f t="shared" si="16"/>
        <v>2033</v>
      </c>
      <c r="W93" s="523">
        <f t="shared" si="16"/>
        <v>2034</v>
      </c>
      <c r="X93" s="523">
        <f t="shared" si="16"/>
        <v>2035</v>
      </c>
      <c r="Y93" s="523">
        <f t="shared" si="16"/>
        <v>2036</v>
      </c>
      <c r="Z93" s="523">
        <f t="shared" si="16"/>
        <v>2037</v>
      </c>
      <c r="AA93" s="446"/>
      <c r="AB93" s="447"/>
    </row>
    <row r="94" spans="2:28" x14ac:dyDescent="0.2">
      <c r="B94" s="445"/>
      <c r="C94" s="689" t="str">
        <f>$C$17</f>
        <v xml:space="preserve">Option 2: </v>
      </c>
      <c r="D94" s="544" t="str">
        <f>$D$36</f>
        <v>Customer off supply</v>
      </c>
      <c r="E94" s="529" t="s">
        <v>149</v>
      </c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446"/>
      <c r="AB94" s="447"/>
    </row>
    <row r="95" spans="2:28" x14ac:dyDescent="0.2">
      <c r="B95" s="445"/>
      <c r="C95" s="446"/>
      <c r="D95" s="543"/>
      <c r="E95" s="534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446"/>
      <c r="AB95" s="447"/>
    </row>
    <row r="96" spans="2:28" x14ac:dyDescent="0.2">
      <c r="B96" s="445"/>
      <c r="C96" s="446"/>
      <c r="D96" s="542" t="str">
        <f>D97</f>
        <v>Loss of F Factor Benefit</v>
      </c>
      <c r="E96" s="527"/>
      <c r="F96" s="522">
        <f>G12</f>
        <v>2017</v>
      </c>
      <c r="G96" s="523">
        <f t="shared" ref="G96:Z96" si="17">F96+1</f>
        <v>2018</v>
      </c>
      <c r="H96" s="523">
        <f t="shared" si="17"/>
        <v>2019</v>
      </c>
      <c r="I96" s="523">
        <f t="shared" si="17"/>
        <v>2020</v>
      </c>
      <c r="J96" s="523">
        <f t="shared" si="17"/>
        <v>2021</v>
      </c>
      <c r="K96" s="523">
        <f t="shared" si="17"/>
        <v>2022</v>
      </c>
      <c r="L96" s="523">
        <f t="shared" si="17"/>
        <v>2023</v>
      </c>
      <c r="M96" s="523">
        <f t="shared" si="17"/>
        <v>2024</v>
      </c>
      <c r="N96" s="523">
        <f t="shared" si="17"/>
        <v>2025</v>
      </c>
      <c r="O96" s="523">
        <f t="shared" si="17"/>
        <v>2026</v>
      </c>
      <c r="P96" s="523">
        <f t="shared" si="17"/>
        <v>2027</v>
      </c>
      <c r="Q96" s="523">
        <f t="shared" si="17"/>
        <v>2028</v>
      </c>
      <c r="R96" s="523">
        <f t="shared" si="17"/>
        <v>2029</v>
      </c>
      <c r="S96" s="523">
        <f t="shared" si="17"/>
        <v>2030</v>
      </c>
      <c r="T96" s="523">
        <f t="shared" si="17"/>
        <v>2031</v>
      </c>
      <c r="U96" s="523">
        <f t="shared" si="17"/>
        <v>2032</v>
      </c>
      <c r="V96" s="523">
        <f t="shared" si="17"/>
        <v>2033</v>
      </c>
      <c r="W96" s="523">
        <f t="shared" si="17"/>
        <v>2034</v>
      </c>
      <c r="X96" s="523">
        <f t="shared" si="17"/>
        <v>2035</v>
      </c>
      <c r="Y96" s="523">
        <f t="shared" si="17"/>
        <v>2036</v>
      </c>
      <c r="Z96" s="523">
        <f t="shared" si="17"/>
        <v>2037</v>
      </c>
      <c r="AA96" s="446"/>
      <c r="AB96" s="447"/>
    </row>
    <row r="97" spans="2:28" x14ac:dyDescent="0.2">
      <c r="B97" s="445"/>
      <c r="C97" s="689" t="str">
        <f>$C$17</f>
        <v xml:space="preserve">Option 2: </v>
      </c>
      <c r="D97" s="546" t="str">
        <f>$D$39</f>
        <v>Loss of F Factor Benefit</v>
      </c>
      <c r="E97" s="541" t="str">
        <f>$E$39</f>
        <v>(No. of fire start NOT avoided)</v>
      </c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446"/>
      <c r="AB97" s="447"/>
    </row>
    <row r="98" spans="2:28" x14ac:dyDescent="0.2">
      <c r="B98" s="445"/>
      <c r="C98" s="446"/>
      <c r="D98" s="538"/>
      <c r="E98" s="534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446"/>
      <c r="AB98" s="447"/>
    </row>
    <row r="99" spans="2:28" x14ac:dyDescent="0.2">
      <c r="B99" s="445"/>
      <c r="C99" s="446"/>
      <c r="D99" s="542" t="s">
        <v>116</v>
      </c>
      <c r="E99" s="527"/>
      <c r="F99" s="522">
        <f>G12</f>
        <v>2017</v>
      </c>
      <c r="G99" s="523">
        <f t="shared" ref="G99:Z99" si="18">F99+1</f>
        <v>2018</v>
      </c>
      <c r="H99" s="523">
        <f t="shared" si="18"/>
        <v>2019</v>
      </c>
      <c r="I99" s="523">
        <f t="shared" si="18"/>
        <v>2020</v>
      </c>
      <c r="J99" s="523">
        <f t="shared" si="18"/>
        <v>2021</v>
      </c>
      <c r="K99" s="523">
        <f t="shared" si="18"/>
        <v>2022</v>
      </c>
      <c r="L99" s="523">
        <f t="shared" si="18"/>
        <v>2023</v>
      </c>
      <c r="M99" s="523">
        <f t="shared" si="18"/>
        <v>2024</v>
      </c>
      <c r="N99" s="523">
        <f t="shared" si="18"/>
        <v>2025</v>
      </c>
      <c r="O99" s="523">
        <f t="shared" si="18"/>
        <v>2026</v>
      </c>
      <c r="P99" s="523">
        <f t="shared" si="18"/>
        <v>2027</v>
      </c>
      <c r="Q99" s="523">
        <f t="shared" si="18"/>
        <v>2028</v>
      </c>
      <c r="R99" s="523">
        <f t="shared" si="18"/>
        <v>2029</v>
      </c>
      <c r="S99" s="523">
        <f t="shared" si="18"/>
        <v>2030</v>
      </c>
      <c r="T99" s="523">
        <f t="shared" si="18"/>
        <v>2031</v>
      </c>
      <c r="U99" s="523">
        <f t="shared" si="18"/>
        <v>2032</v>
      </c>
      <c r="V99" s="523">
        <f t="shared" si="18"/>
        <v>2033</v>
      </c>
      <c r="W99" s="523">
        <f t="shared" si="18"/>
        <v>2034</v>
      </c>
      <c r="X99" s="523">
        <f t="shared" si="18"/>
        <v>2035</v>
      </c>
      <c r="Y99" s="523">
        <f t="shared" si="18"/>
        <v>2036</v>
      </c>
      <c r="Z99" s="523">
        <f t="shared" si="18"/>
        <v>2037</v>
      </c>
      <c r="AA99" s="446"/>
      <c r="AB99" s="447"/>
    </row>
    <row r="100" spans="2:28" x14ac:dyDescent="0.2">
      <c r="B100" s="445"/>
      <c r="C100" s="689" t="str">
        <f t="shared" ref="C100:C109" si="19">$C$17</f>
        <v xml:space="preserve">Option 2: </v>
      </c>
      <c r="D100" s="542" t="str">
        <f>$D$42</f>
        <v>Cost 1</v>
      </c>
      <c r="E100" s="519" t="s">
        <v>104</v>
      </c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446"/>
      <c r="AB100" s="447"/>
    </row>
    <row r="101" spans="2:28" x14ac:dyDescent="0.2">
      <c r="B101" s="445"/>
      <c r="C101" s="689" t="str">
        <f t="shared" si="19"/>
        <v xml:space="preserve">Option 2: </v>
      </c>
      <c r="D101" s="542" t="str">
        <f>$D$43</f>
        <v>Cost 2</v>
      </c>
      <c r="E101" s="519" t="s">
        <v>104</v>
      </c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446"/>
      <c r="AB101" s="447"/>
    </row>
    <row r="102" spans="2:28" x14ac:dyDescent="0.2">
      <c r="B102" s="445"/>
      <c r="C102" s="689" t="str">
        <f t="shared" si="19"/>
        <v xml:space="preserve">Option 2: </v>
      </c>
      <c r="D102" s="542" t="str">
        <f>$D$44</f>
        <v>Cost 3</v>
      </c>
      <c r="E102" s="519" t="s">
        <v>104</v>
      </c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446"/>
      <c r="AB102" s="447"/>
    </row>
    <row r="103" spans="2:28" x14ac:dyDescent="0.2">
      <c r="B103" s="445"/>
      <c r="C103" s="689" t="str">
        <f t="shared" si="19"/>
        <v xml:space="preserve">Option 2: </v>
      </c>
      <c r="D103" s="542" t="str">
        <f>$D$45</f>
        <v>Cost 4</v>
      </c>
      <c r="E103" s="519" t="s">
        <v>104</v>
      </c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446"/>
      <c r="AB103" s="447"/>
    </row>
    <row r="104" spans="2:28" x14ac:dyDescent="0.2">
      <c r="B104" s="445"/>
      <c r="C104" s="689" t="str">
        <f t="shared" si="19"/>
        <v xml:space="preserve">Option 2: </v>
      </c>
      <c r="D104" s="542" t="str">
        <f>$D$46</f>
        <v>Cost 5</v>
      </c>
      <c r="E104" s="519" t="s">
        <v>104</v>
      </c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446"/>
      <c r="AB104" s="447"/>
    </row>
    <row r="105" spans="2:28" x14ac:dyDescent="0.2">
      <c r="B105" s="445"/>
      <c r="C105" s="689" t="str">
        <f t="shared" si="19"/>
        <v xml:space="preserve">Option 2: </v>
      </c>
      <c r="D105" s="542" t="s">
        <v>278</v>
      </c>
      <c r="E105" s="519" t="s">
        <v>104</v>
      </c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446"/>
      <c r="AB105" s="447"/>
    </row>
    <row r="106" spans="2:28" x14ac:dyDescent="0.2">
      <c r="B106" s="445"/>
      <c r="C106" s="689" t="str">
        <f t="shared" si="19"/>
        <v xml:space="preserve">Option 2: </v>
      </c>
      <c r="D106" s="542" t="s">
        <v>279</v>
      </c>
      <c r="E106" s="519" t="s">
        <v>104</v>
      </c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446"/>
      <c r="AB106" s="447"/>
    </row>
    <row r="107" spans="2:28" x14ac:dyDescent="0.2">
      <c r="B107" s="445"/>
      <c r="C107" s="689" t="str">
        <f t="shared" si="19"/>
        <v xml:space="preserve">Option 2: </v>
      </c>
      <c r="D107" s="542" t="s">
        <v>280</v>
      </c>
      <c r="E107" s="519" t="s">
        <v>104</v>
      </c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446"/>
      <c r="AB107" s="447"/>
    </row>
    <row r="108" spans="2:28" x14ac:dyDescent="0.2">
      <c r="B108" s="445"/>
      <c r="C108" s="689" t="str">
        <f t="shared" si="19"/>
        <v xml:space="preserve">Option 2: </v>
      </c>
      <c r="D108" s="542" t="s">
        <v>281</v>
      </c>
      <c r="E108" s="519" t="s">
        <v>104</v>
      </c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446"/>
      <c r="AB108" s="447"/>
    </row>
    <row r="109" spans="2:28" x14ac:dyDescent="0.2">
      <c r="B109" s="445"/>
      <c r="C109" s="689" t="str">
        <f t="shared" si="19"/>
        <v xml:space="preserve">Option 2: </v>
      </c>
      <c r="D109" s="542" t="s">
        <v>282</v>
      </c>
      <c r="E109" s="519" t="s">
        <v>104</v>
      </c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446"/>
      <c r="AB109" s="447"/>
    </row>
    <row r="110" spans="2:28" x14ac:dyDescent="0.2">
      <c r="B110" s="445"/>
      <c r="C110" s="446"/>
      <c r="D110" s="532"/>
      <c r="E110" s="533"/>
      <c r="F110" s="446"/>
      <c r="G110" s="446"/>
      <c r="H110" s="446"/>
      <c r="I110" s="446"/>
      <c r="J110" s="446"/>
      <c r="K110" s="512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2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2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2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20"/>
      <c r="E113" s="521"/>
      <c r="F113" s="522">
        <f>G12</f>
        <v>2017</v>
      </c>
      <c r="G113" s="523">
        <f>F113+1</f>
        <v>2018</v>
      </c>
      <c r="H113" s="523">
        <f t="shared" ref="H113:Z113" si="20">G113+1</f>
        <v>2019</v>
      </c>
      <c r="I113" s="523">
        <f t="shared" si="20"/>
        <v>2020</v>
      </c>
      <c r="J113" s="523">
        <f t="shared" si="20"/>
        <v>2021</v>
      </c>
      <c r="K113" s="523">
        <f t="shared" si="20"/>
        <v>2022</v>
      </c>
      <c r="L113" s="523">
        <f t="shared" si="20"/>
        <v>2023</v>
      </c>
      <c r="M113" s="523">
        <f t="shared" si="20"/>
        <v>2024</v>
      </c>
      <c r="N113" s="523">
        <f t="shared" si="20"/>
        <v>2025</v>
      </c>
      <c r="O113" s="523">
        <f t="shared" si="20"/>
        <v>2026</v>
      </c>
      <c r="P113" s="523">
        <f t="shared" si="20"/>
        <v>2027</v>
      </c>
      <c r="Q113" s="523">
        <f t="shared" si="20"/>
        <v>2028</v>
      </c>
      <c r="R113" s="523">
        <f t="shared" si="20"/>
        <v>2029</v>
      </c>
      <c r="S113" s="523">
        <f t="shared" si="20"/>
        <v>2030</v>
      </c>
      <c r="T113" s="523">
        <f t="shared" si="20"/>
        <v>2031</v>
      </c>
      <c r="U113" s="523">
        <f t="shared" si="20"/>
        <v>2032</v>
      </c>
      <c r="V113" s="523">
        <f t="shared" si="20"/>
        <v>2033</v>
      </c>
      <c r="W113" s="523">
        <f t="shared" si="20"/>
        <v>2034</v>
      </c>
      <c r="X113" s="523">
        <f t="shared" si="20"/>
        <v>2035</v>
      </c>
      <c r="Y113" s="523">
        <f t="shared" si="20"/>
        <v>2036</v>
      </c>
      <c r="Z113" s="523">
        <f t="shared" si="20"/>
        <v>2037</v>
      </c>
      <c r="AA113" s="446"/>
      <c r="AB113" s="447"/>
    </row>
    <row r="114" spans="2:28" x14ac:dyDescent="0.2">
      <c r="B114" s="445"/>
      <c r="C114" s="689" t="str">
        <f>$C$18</f>
        <v xml:space="preserve">Option 3: </v>
      </c>
      <c r="D114" s="542" t="str">
        <f>$D$27</f>
        <v>Maintenance Costs</v>
      </c>
      <c r="E114" s="519" t="s">
        <v>104</v>
      </c>
      <c r="F114" s="510"/>
      <c r="G114" s="537"/>
      <c r="H114" s="537"/>
      <c r="I114" s="537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446"/>
      <c r="AB114" s="447"/>
    </row>
    <row r="115" spans="2:28" x14ac:dyDescent="0.2">
      <c r="B115" s="445"/>
      <c r="C115" s="446"/>
      <c r="D115" s="543"/>
      <c r="E115" s="533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2" t="str">
        <f>IF($I$8=1,"Negative Impact on Revenue (STPIS)",0)</f>
        <v>Negative Impact on Revenue (STPIS)</v>
      </c>
      <c r="E116" s="528">
        <v>5</v>
      </c>
      <c r="F116" s="522">
        <f>G12</f>
        <v>2017</v>
      </c>
      <c r="G116" s="523">
        <f t="shared" ref="G116:Z116" si="21">F116+1</f>
        <v>2018</v>
      </c>
      <c r="H116" s="523">
        <f t="shared" si="21"/>
        <v>2019</v>
      </c>
      <c r="I116" s="523">
        <f t="shared" si="21"/>
        <v>2020</v>
      </c>
      <c r="J116" s="523">
        <f t="shared" si="21"/>
        <v>2021</v>
      </c>
      <c r="K116" s="523">
        <f t="shared" si="21"/>
        <v>2022</v>
      </c>
      <c r="L116" s="523">
        <f t="shared" si="21"/>
        <v>2023</v>
      </c>
      <c r="M116" s="523">
        <f t="shared" si="21"/>
        <v>2024</v>
      </c>
      <c r="N116" s="523">
        <f t="shared" si="21"/>
        <v>2025</v>
      </c>
      <c r="O116" s="523">
        <f t="shared" si="21"/>
        <v>2026</v>
      </c>
      <c r="P116" s="523">
        <f t="shared" si="21"/>
        <v>2027</v>
      </c>
      <c r="Q116" s="523">
        <f t="shared" si="21"/>
        <v>2028</v>
      </c>
      <c r="R116" s="523">
        <f t="shared" si="21"/>
        <v>2029</v>
      </c>
      <c r="S116" s="523">
        <f t="shared" si="21"/>
        <v>2030</v>
      </c>
      <c r="T116" s="523">
        <f t="shared" si="21"/>
        <v>2031</v>
      </c>
      <c r="U116" s="523">
        <f t="shared" si="21"/>
        <v>2032</v>
      </c>
      <c r="V116" s="523">
        <f t="shared" si="21"/>
        <v>2033</v>
      </c>
      <c r="W116" s="523">
        <f t="shared" si="21"/>
        <v>2034</v>
      </c>
      <c r="X116" s="523">
        <f t="shared" si="21"/>
        <v>2035</v>
      </c>
      <c r="Y116" s="523">
        <f t="shared" si="21"/>
        <v>2036</v>
      </c>
      <c r="Z116" s="523">
        <f t="shared" si="21"/>
        <v>2037</v>
      </c>
      <c r="AA116" s="446"/>
      <c r="AB116" s="447"/>
    </row>
    <row r="117" spans="2:28" x14ac:dyDescent="0.2">
      <c r="B117" s="445"/>
      <c r="C117" s="689" t="str">
        <f>$C$18</f>
        <v xml:space="preserve">Option 3: </v>
      </c>
      <c r="D117" s="544" t="str">
        <f>IF($I$8=1,"SAIFI sustained",0)</f>
        <v>SAIFI sustained</v>
      </c>
      <c r="E117" s="529" t="s">
        <v>148</v>
      </c>
      <c r="F117" s="524"/>
      <c r="G117" s="530">
        <f>IF($E$116=1,0,IF(OR($E$116=2,$E$116=3,$E$116=4,$E$116=5),$F$117))</f>
        <v>0</v>
      </c>
      <c r="H117" s="530">
        <f>IF($E$116=1,0,IF(OR($E$116=2,$E$116=3,$E$116=4,$E$116=5),$F$117))</f>
        <v>0</v>
      </c>
      <c r="I117" s="530">
        <f>IF($E$116=1,0,IF(OR($E$116=2,$E$116=3,$E$116=4,$E$116=5),$F$117))</f>
        <v>0</v>
      </c>
      <c r="J117" s="530">
        <f>IF($E$116=1,0,IF(OR($E$116=2,$E$116=3,$E$116=4,$E$116=5),$F$117))</f>
        <v>0</v>
      </c>
      <c r="K117" s="530">
        <f>IF($E$116=1,0,IF(OR($E$116=2,$E$116=3,$E$116=4,$E$116=5),$F$117))</f>
        <v>0</v>
      </c>
      <c r="L117" s="525"/>
      <c r="M117" s="530">
        <f>IF(OR($E$116=1,$E$116=2),0,$L$117)</f>
        <v>0</v>
      </c>
      <c r="N117" s="530">
        <f>IF(OR($E$116=1,$E$116=2),0,$L$117)</f>
        <v>0</v>
      </c>
      <c r="O117" s="530">
        <f>IF(OR($E$116=1,$E$116=2),0,$L$117)</f>
        <v>0</v>
      </c>
      <c r="P117" s="530">
        <f>IF(OR($E$116=1,$E$116=2),0,$L$117)</f>
        <v>0</v>
      </c>
      <c r="Q117" s="530">
        <f>IF(OR($E$116=1,$E$116=2),0,$L$117)</f>
        <v>0</v>
      </c>
      <c r="R117" s="525"/>
      <c r="S117" s="530">
        <f>IF(OR($E$116=1,$E$116=2,$E$116=3),0,$R$117)</f>
        <v>0</v>
      </c>
      <c r="T117" s="530">
        <f>IF(OR($E$116=1,$E$116=2,$E$116=3),0,$R$117)</f>
        <v>0</v>
      </c>
      <c r="U117" s="530">
        <f>IF(OR($E$116=1,$E$116=2,$E$116=3),0,$R$117)</f>
        <v>0</v>
      </c>
      <c r="V117" s="530">
        <f>IF(OR($E$116=1,$E$116=2,$E$116=3),0,$R$117)</f>
        <v>0</v>
      </c>
      <c r="W117" s="530">
        <f>IF(OR($E$116=1,$E$116=2,$E$116=3),0,$R$117)</f>
        <v>0</v>
      </c>
      <c r="X117" s="525"/>
      <c r="Y117" s="530">
        <f>IF($E$116=5,$X$117,0)</f>
        <v>0</v>
      </c>
      <c r="Z117" s="530">
        <f>IF($E$116=5,$X$117,0)</f>
        <v>0</v>
      </c>
      <c r="AA117" s="446"/>
      <c r="AB117" s="447"/>
    </row>
    <row r="118" spans="2:28" x14ac:dyDescent="0.2">
      <c r="B118" s="445"/>
      <c r="C118" s="689" t="str">
        <f>$C$18</f>
        <v xml:space="preserve">Option 3: </v>
      </c>
      <c r="D118" s="544" t="str">
        <f>IF($I$8=1,"SAIDI accidental",0)</f>
        <v>SAIDI accidental</v>
      </c>
      <c r="E118" s="529" t="s">
        <v>149</v>
      </c>
      <c r="F118" s="525"/>
      <c r="G118" s="530">
        <f>IF($E$116=1,0,IF(OR($E$116=2,$E$116=3,$E$116=4,$E$116=5),$F$118))</f>
        <v>0</v>
      </c>
      <c r="H118" s="530">
        <f>IF($E$116=1,0,IF(OR($E$116=2,$E$116=3,$E$116=4,$E$116=5),$F$118))</f>
        <v>0</v>
      </c>
      <c r="I118" s="530">
        <f>IF($E$116=1,0,IF(OR($E$116=2,$E$116=3,$E$116=4,$E$116=5),$F$118))</f>
        <v>0</v>
      </c>
      <c r="J118" s="530">
        <f>IF($E$116=1,0,IF(OR($E$116=2,$E$116=3,$E$116=4,$E$116=5),$F$118))</f>
        <v>0</v>
      </c>
      <c r="K118" s="530">
        <f>IF($E$116=1,0,IF(OR($E$116=2,$E$116=3,$E$116=4,$E$116=5),$F$118))</f>
        <v>0</v>
      </c>
      <c r="L118" s="525"/>
      <c r="M118" s="530">
        <f>IF(OR($E$116=1,$E$116=2),0,$L$118)</f>
        <v>0</v>
      </c>
      <c r="N118" s="530">
        <f>IF(OR($E$116=1,$E$116=2),0,$L$118)</f>
        <v>0</v>
      </c>
      <c r="O118" s="530">
        <f>IF(OR($E$116=1,$E$116=2),0,$L$118)</f>
        <v>0</v>
      </c>
      <c r="P118" s="530">
        <f>IF(OR($E$116=1,$E$116=2),0,$L$118)</f>
        <v>0</v>
      </c>
      <c r="Q118" s="530">
        <f>IF(OR($E$116=1,$E$116=2),0,$L$118)</f>
        <v>0</v>
      </c>
      <c r="R118" s="525"/>
      <c r="S118" s="530">
        <f>IF(OR($E$116=1,$E$116=2,$E$116=3),0,$R$118)</f>
        <v>0</v>
      </c>
      <c r="T118" s="530">
        <f>IF(OR($E$116=1,$E$116=2,$E$116=3),0,$R$118)</f>
        <v>0</v>
      </c>
      <c r="U118" s="530">
        <f>IF(OR($E$116=1,$E$116=2,$E$116=3),0,$R$118)</f>
        <v>0</v>
      </c>
      <c r="V118" s="530">
        <f>IF(OR($E$116=1,$E$116=2,$E$116=3),0,$R$118)</f>
        <v>0</v>
      </c>
      <c r="W118" s="530">
        <f>IF(OR($E$116=1,$E$116=2,$E$116=3),0,$R$118)</f>
        <v>0</v>
      </c>
      <c r="X118" s="525"/>
      <c r="Y118" s="530">
        <f>IF($E$116=5,$X$118,0)</f>
        <v>0</v>
      </c>
      <c r="Z118" s="530">
        <f>IF($E$116=5,$X$118,0)</f>
        <v>0</v>
      </c>
      <c r="AA118" s="446"/>
      <c r="AB118" s="447"/>
    </row>
    <row r="119" spans="2:28" x14ac:dyDescent="0.2">
      <c r="B119" s="445"/>
      <c r="C119" s="689" t="str">
        <f>$C$18</f>
        <v xml:space="preserve">Option 3: </v>
      </c>
      <c r="D119" s="544" t="str">
        <f>IF($I$8=1,"MAIFI momentary",0)</f>
        <v>MAIFI momentary</v>
      </c>
      <c r="E119" s="529" t="s">
        <v>148</v>
      </c>
      <c r="F119" s="525"/>
      <c r="G119" s="530">
        <f>IF($E$116=1,0,IF(OR($E$116=2,$E$116=3,$E$116=4,$E$116=5),$F$119))</f>
        <v>0</v>
      </c>
      <c r="H119" s="530">
        <f>IF($E$116=1,0,IF(OR($E$116=2,$E$116=3,$E$116=4,$E$116=5),$F$119))</f>
        <v>0</v>
      </c>
      <c r="I119" s="530">
        <f>IF($E$116=1,0,IF(OR($E$116=2,$E$116=3,$E$116=4,$E$116=5),$F$119))</f>
        <v>0</v>
      </c>
      <c r="J119" s="530">
        <f>IF($E$116=1,0,IF(OR($E$116=2,$E$116=3,$E$116=4,$E$116=5),$F$119))</f>
        <v>0</v>
      </c>
      <c r="K119" s="530">
        <f>IF($E$116=1,0,IF(OR($E$116=2,$E$116=3,$E$116=4,$E$116=5),$F$119))</f>
        <v>0</v>
      </c>
      <c r="L119" s="525"/>
      <c r="M119" s="530">
        <f>IF(OR($E$116=1,$E$116=2),0,$L$119)</f>
        <v>0</v>
      </c>
      <c r="N119" s="530">
        <f>IF(OR($E$116=1,$E$116=2),0,$L$119)</f>
        <v>0</v>
      </c>
      <c r="O119" s="530">
        <f>IF(OR($E$116=1,$E$116=2),0,$L$119)</f>
        <v>0</v>
      </c>
      <c r="P119" s="530">
        <f>IF(OR($E$116=1,$E$116=2),0,$L$119)</f>
        <v>0</v>
      </c>
      <c r="Q119" s="530">
        <f>IF(OR($E$116=1,$E$116=2),0,$L$119)</f>
        <v>0</v>
      </c>
      <c r="R119" s="525"/>
      <c r="S119" s="530">
        <f>IF(OR($E$116=1,$E$116=2,$E$116=3),0,$R$119)</f>
        <v>0</v>
      </c>
      <c r="T119" s="530">
        <f>IF(OR($E$116=1,$E$116=2,$E$116=3),0,$R$119)</f>
        <v>0</v>
      </c>
      <c r="U119" s="530">
        <f>IF(OR($E$116=1,$E$116=2,$E$116=3),0,$R$119)</f>
        <v>0</v>
      </c>
      <c r="V119" s="530">
        <f>IF(OR($E$116=1,$E$116=2,$E$116=3),0,$R$119)</f>
        <v>0</v>
      </c>
      <c r="W119" s="530">
        <f>IF(OR($E$116=1,$E$116=2,$E$116=3),0,$R$119)</f>
        <v>0</v>
      </c>
      <c r="X119" s="525"/>
      <c r="Y119" s="530">
        <f>IF($E$116=5,$X$119,0)</f>
        <v>0</v>
      </c>
      <c r="Z119" s="530">
        <f>IF($E$116=5,$X$119,0)</f>
        <v>0</v>
      </c>
      <c r="AA119" s="446"/>
      <c r="AB119" s="447"/>
    </row>
    <row r="120" spans="2:28" x14ac:dyDescent="0.2">
      <c r="B120" s="445"/>
      <c r="C120" s="689" t="str">
        <f>$C$18</f>
        <v xml:space="preserve">Option 3: </v>
      </c>
      <c r="D120" s="544" t="str">
        <f>IF($I$8=1,"Call centre response",0)</f>
        <v>Call centre response</v>
      </c>
      <c r="E120" s="529" t="s">
        <v>150</v>
      </c>
      <c r="F120" s="526"/>
      <c r="G120" s="531">
        <f>IF($E$116=1,0,IF(OR($E$116=2,$E$116=3,$E$116=4,$E$116=5),$F$120))</f>
        <v>0</v>
      </c>
      <c r="H120" s="531">
        <f>IF($E$116=1,0,IF(OR($E$116=2,$E$116=3,$E$116=4,$E$116=5),$F$120))</f>
        <v>0</v>
      </c>
      <c r="I120" s="531">
        <f>IF($E$116=1,0,IF(OR($E$116=2,$E$116=3,$E$116=4,$E$116=5),$F$120))</f>
        <v>0</v>
      </c>
      <c r="J120" s="531">
        <f>IF($E$116=1,0,IF(OR($E$116=2,$E$116=3,$E$116=4,$E$116=5),$F$120))</f>
        <v>0</v>
      </c>
      <c r="K120" s="531">
        <f>IF($E$116=1,0,IF(OR($E$116=2,$E$116=3,$E$116=4,$E$116=5),$F$120))</f>
        <v>0</v>
      </c>
      <c r="L120" s="526"/>
      <c r="M120" s="531">
        <f>IF(OR($E$116=1,$E$116=2),0,$L$120)</f>
        <v>0</v>
      </c>
      <c r="N120" s="531">
        <f>IF(OR($E$116=1,$E$116=2),0,$L$120)</f>
        <v>0</v>
      </c>
      <c r="O120" s="531">
        <f>IF(OR($E$116=1,$E$116=2),0,$L$120)</f>
        <v>0</v>
      </c>
      <c r="P120" s="531">
        <f>IF(OR($E$116=1,$E$116=2),0,$L$120)</f>
        <v>0</v>
      </c>
      <c r="Q120" s="531">
        <f>IF(OR($E$116=1,$E$116=2),0,$L$120)</f>
        <v>0</v>
      </c>
      <c r="R120" s="526"/>
      <c r="S120" s="531">
        <f>IF(OR($E$116=1,$E$116=2,$E$116=3),0,$R$120)</f>
        <v>0</v>
      </c>
      <c r="T120" s="531">
        <f>IF(OR($E$116=1,$E$116=2,$E$116=3),0,$R$120)</f>
        <v>0</v>
      </c>
      <c r="U120" s="531">
        <f>IF(OR($E$116=1,$E$116=2,$E$116=3),0,$R$120)</f>
        <v>0</v>
      </c>
      <c r="V120" s="531">
        <f>IF(OR($E$116=1,$E$116=2,$E$116=3),0,$R$120)</f>
        <v>0</v>
      </c>
      <c r="W120" s="531">
        <f>IF(OR($E$116=1,$E$116=2,$E$116=3),0,$R$120)</f>
        <v>0</v>
      </c>
      <c r="X120" s="526"/>
      <c r="Y120" s="531">
        <f>IF($E$116=5,$X$120,0)</f>
        <v>0</v>
      </c>
      <c r="Z120" s="531">
        <f>IF($E$116=5,$X$120,0)</f>
        <v>0</v>
      </c>
      <c r="AA120" s="446"/>
      <c r="AB120" s="447"/>
    </row>
    <row r="121" spans="2:28" x14ac:dyDescent="0.2">
      <c r="B121" s="445"/>
      <c r="C121" s="446"/>
      <c r="D121" s="545"/>
      <c r="E121" s="534"/>
      <c r="F121" s="535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446"/>
      <c r="AB121" s="447"/>
    </row>
    <row r="122" spans="2:28" x14ac:dyDescent="0.2">
      <c r="B122" s="445"/>
      <c r="C122" s="446"/>
      <c r="D122" s="542" t="str">
        <f>$D$35</f>
        <v>Network Outage Costs</v>
      </c>
      <c r="E122" s="528"/>
      <c r="F122" s="522">
        <f>G12</f>
        <v>2017</v>
      </c>
      <c r="G122" s="523">
        <f t="shared" ref="G122:Z122" si="22">F122+1</f>
        <v>2018</v>
      </c>
      <c r="H122" s="523">
        <f t="shared" si="22"/>
        <v>2019</v>
      </c>
      <c r="I122" s="523">
        <f t="shared" si="22"/>
        <v>2020</v>
      </c>
      <c r="J122" s="523">
        <f t="shared" si="22"/>
        <v>2021</v>
      </c>
      <c r="K122" s="523">
        <f t="shared" si="22"/>
        <v>2022</v>
      </c>
      <c r="L122" s="523">
        <f t="shared" si="22"/>
        <v>2023</v>
      </c>
      <c r="M122" s="523">
        <f t="shared" si="22"/>
        <v>2024</v>
      </c>
      <c r="N122" s="523">
        <f t="shared" si="22"/>
        <v>2025</v>
      </c>
      <c r="O122" s="523">
        <f t="shared" si="22"/>
        <v>2026</v>
      </c>
      <c r="P122" s="523">
        <f t="shared" si="22"/>
        <v>2027</v>
      </c>
      <c r="Q122" s="523">
        <f t="shared" si="22"/>
        <v>2028</v>
      </c>
      <c r="R122" s="523">
        <f t="shared" si="22"/>
        <v>2029</v>
      </c>
      <c r="S122" s="523">
        <f t="shared" si="22"/>
        <v>2030</v>
      </c>
      <c r="T122" s="523">
        <f t="shared" si="22"/>
        <v>2031</v>
      </c>
      <c r="U122" s="523">
        <f t="shared" si="22"/>
        <v>2032</v>
      </c>
      <c r="V122" s="523">
        <f t="shared" si="22"/>
        <v>2033</v>
      </c>
      <c r="W122" s="523">
        <f t="shared" si="22"/>
        <v>2034</v>
      </c>
      <c r="X122" s="523">
        <f t="shared" si="22"/>
        <v>2035</v>
      </c>
      <c r="Y122" s="523">
        <f t="shared" si="22"/>
        <v>2036</v>
      </c>
      <c r="Z122" s="523">
        <f t="shared" si="22"/>
        <v>2037</v>
      </c>
      <c r="AA122" s="446"/>
      <c r="AB122" s="447"/>
    </row>
    <row r="123" spans="2:28" x14ac:dyDescent="0.2">
      <c r="B123" s="445"/>
      <c r="C123" s="689" t="str">
        <f>$C$18</f>
        <v xml:space="preserve">Option 3: </v>
      </c>
      <c r="D123" s="544" t="str">
        <f>$D$36</f>
        <v>Customer off supply</v>
      </c>
      <c r="E123" s="529" t="s">
        <v>149</v>
      </c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446"/>
      <c r="AB123" s="447"/>
    </row>
    <row r="124" spans="2:28" x14ac:dyDescent="0.2">
      <c r="B124" s="445"/>
      <c r="C124" s="446"/>
      <c r="D124" s="543"/>
      <c r="E124" s="534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446"/>
      <c r="AB124" s="447"/>
    </row>
    <row r="125" spans="2:28" x14ac:dyDescent="0.2">
      <c r="B125" s="445"/>
      <c r="C125" s="446"/>
      <c r="D125" s="542" t="str">
        <f>D126</f>
        <v>Loss of F Factor Benefit</v>
      </c>
      <c r="E125" s="527"/>
      <c r="F125" s="522">
        <f>G12</f>
        <v>2017</v>
      </c>
      <c r="G125" s="523">
        <f t="shared" ref="G125:Z125" si="23">F125+1</f>
        <v>2018</v>
      </c>
      <c r="H125" s="523">
        <f t="shared" si="23"/>
        <v>2019</v>
      </c>
      <c r="I125" s="523">
        <f t="shared" si="23"/>
        <v>2020</v>
      </c>
      <c r="J125" s="523">
        <f t="shared" si="23"/>
        <v>2021</v>
      </c>
      <c r="K125" s="523">
        <f t="shared" si="23"/>
        <v>2022</v>
      </c>
      <c r="L125" s="523">
        <f t="shared" si="23"/>
        <v>2023</v>
      </c>
      <c r="M125" s="523">
        <f t="shared" si="23"/>
        <v>2024</v>
      </c>
      <c r="N125" s="523">
        <f t="shared" si="23"/>
        <v>2025</v>
      </c>
      <c r="O125" s="523">
        <f t="shared" si="23"/>
        <v>2026</v>
      </c>
      <c r="P125" s="523">
        <f t="shared" si="23"/>
        <v>2027</v>
      </c>
      <c r="Q125" s="523">
        <f t="shared" si="23"/>
        <v>2028</v>
      </c>
      <c r="R125" s="523">
        <f t="shared" si="23"/>
        <v>2029</v>
      </c>
      <c r="S125" s="523">
        <f t="shared" si="23"/>
        <v>2030</v>
      </c>
      <c r="T125" s="523">
        <f t="shared" si="23"/>
        <v>2031</v>
      </c>
      <c r="U125" s="523">
        <f t="shared" si="23"/>
        <v>2032</v>
      </c>
      <c r="V125" s="523">
        <f t="shared" si="23"/>
        <v>2033</v>
      </c>
      <c r="W125" s="523">
        <f t="shared" si="23"/>
        <v>2034</v>
      </c>
      <c r="X125" s="523">
        <f t="shared" si="23"/>
        <v>2035</v>
      </c>
      <c r="Y125" s="523">
        <f t="shared" si="23"/>
        <v>2036</v>
      </c>
      <c r="Z125" s="523">
        <f t="shared" si="23"/>
        <v>2037</v>
      </c>
      <c r="AA125" s="446"/>
      <c r="AB125" s="447"/>
    </row>
    <row r="126" spans="2:28" x14ac:dyDescent="0.2">
      <c r="B126" s="445"/>
      <c r="C126" s="689" t="str">
        <f>$C$18</f>
        <v xml:space="preserve">Option 3: </v>
      </c>
      <c r="D126" s="546" t="str">
        <f>$D$39</f>
        <v>Loss of F Factor Benefit</v>
      </c>
      <c r="E126" s="541" t="str">
        <f>$E$39</f>
        <v>(No. of fire start NOT avoided)</v>
      </c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446"/>
      <c r="AB126" s="447"/>
    </row>
    <row r="127" spans="2:28" x14ac:dyDescent="0.2">
      <c r="B127" s="445"/>
      <c r="C127" s="446"/>
      <c r="D127" s="538"/>
      <c r="E127" s="534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446"/>
      <c r="AB127" s="447"/>
    </row>
    <row r="128" spans="2:28" x14ac:dyDescent="0.2">
      <c r="B128" s="445"/>
      <c r="C128" s="446"/>
      <c r="D128" s="542" t="s">
        <v>116</v>
      </c>
      <c r="E128" s="527"/>
      <c r="F128" s="522">
        <f>G12</f>
        <v>2017</v>
      </c>
      <c r="G128" s="523">
        <f t="shared" ref="G128:Z128" si="24">F128+1</f>
        <v>2018</v>
      </c>
      <c r="H128" s="523">
        <f t="shared" si="24"/>
        <v>2019</v>
      </c>
      <c r="I128" s="523">
        <f t="shared" si="24"/>
        <v>2020</v>
      </c>
      <c r="J128" s="523">
        <f t="shared" si="24"/>
        <v>2021</v>
      </c>
      <c r="K128" s="523">
        <f t="shared" si="24"/>
        <v>2022</v>
      </c>
      <c r="L128" s="523">
        <f t="shared" si="24"/>
        <v>2023</v>
      </c>
      <c r="M128" s="523">
        <f t="shared" si="24"/>
        <v>2024</v>
      </c>
      <c r="N128" s="523">
        <f t="shared" si="24"/>
        <v>2025</v>
      </c>
      <c r="O128" s="523">
        <f t="shared" si="24"/>
        <v>2026</v>
      </c>
      <c r="P128" s="523">
        <f t="shared" si="24"/>
        <v>2027</v>
      </c>
      <c r="Q128" s="523">
        <f t="shared" si="24"/>
        <v>2028</v>
      </c>
      <c r="R128" s="523">
        <f t="shared" si="24"/>
        <v>2029</v>
      </c>
      <c r="S128" s="523">
        <f t="shared" si="24"/>
        <v>2030</v>
      </c>
      <c r="T128" s="523">
        <f t="shared" si="24"/>
        <v>2031</v>
      </c>
      <c r="U128" s="523">
        <f t="shared" si="24"/>
        <v>2032</v>
      </c>
      <c r="V128" s="523">
        <f t="shared" si="24"/>
        <v>2033</v>
      </c>
      <c r="W128" s="523">
        <f t="shared" si="24"/>
        <v>2034</v>
      </c>
      <c r="X128" s="523">
        <f t="shared" si="24"/>
        <v>2035</v>
      </c>
      <c r="Y128" s="523">
        <f t="shared" si="24"/>
        <v>2036</v>
      </c>
      <c r="Z128" s="523">
        <f t="shared" si="24"/>
        <v>2037</v>
      </c>
      <c r="AA128" s="446"/>
      <c r="AB128" s="447"/>
    </row>
    <row r="129" spans="2:28" x14ac:dyDescent="0.2">
      <c r="B129" s="445"/>
      <c r="C129" s="689" t="str">
        <f t="shared" ref="C129:C138" si="25">$C$18</f>
        <v xml:space="preserve">Option 3: </v>
      </c>
      <c r="D129" s="542" t="str">
        <f>$D$42</f>
        <v>Cost 1</v>
      </c>
      <c r="E129" s="519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6">Y129</f>
        <v>0</v>
      </c>
      <c r="AA129" s="446"/>
      <c r="AB129" s="447"/>
    </row>
    <row r="130" spans="2:28" x14ac:dyDescent="0.2">
      <c r="B130" s="445"/>
      <c r="C130" s="689" t="str">
        <f t="shared" si="25"/>
        <v xml:space="preserve">Option 3: </v>
      </c>
      <c r="D130" s="542" t="str">
        <f>$D$43</f>
        <v>Cost 2</v>
      </c>
      <c r="E130" s="519" t="s">
        <v>104</v>
      </c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446"/>
      <c r="AB130" s="447"/>
    </row>
    <row r="131" spans="2:28" x14ac:dyDescent="0.2">
      <c r="B131" s="445"/>
      <c r="C131" s="689" t="str">
        <f t="shared" si="25"/>
        <v xml:space="preserve">Option 3: </v>
      </c>
      <c r="D131" s="542" t="str">
        <f>$D$44</f>
        <v>Cost 3</v>
      </c>
      <c r="E131" s="519" t="s">
        <v>104</v>
      </c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446"/>
      <c r="AB131" s="447"/>
    </row>
    <row r="132" spans="2:28" x14ac:dyDescent="0.2">
      <c r="B132" s="445"/>
      <c r="C132" s="689" t="str">
        <f t="shared" si="25"/>
        <v xml:space="preserve">Option 3: </v>
      </c>
      <c r="D132" s="542" t="str">
        <f>$D$45</f>
        <v>Cost 4</v>
      </c>
      <c r="E132" s="519" t="s">
        <v>104</v>
      </c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446"/>
      <c r="AB132" s="447"/>
    </row>
    <row r="133" spans="2:28" x14ac:dyDescent="0.2">
      <c r="B133" s="445"/>
      <c r="C133" s="689" t="str">
        <f t="shared" si="25"/>
        <v xml:space="preserve">Option 3: </v>
      </c>
      <c r="D133" s="542" t="str">
        <f>$D$46</f>
        <v>Cost 5</v>
      </c>
      <c r="E133" s="519" t="s">
        <v>104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446"/>
      <c r="AB133" s="447"/>
    </row>
    <row r="134" spans="2:28" x14ac:dyDescent="0.2">
      <c r="B134" s="445"/>
      <c r="C134" s="689" t="str">
        <f t="shared" si="25"/>
        <v xml:space="preserve">Option 3: </v>
      </c>
      <c r="D134" s="542" t="s">
        <v>278</v>
      </c>
      <c r="E134" s="519" t="s">
        <v>104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446"/>
      <c r="AB134" s="447"/>
    </row>
    <row r="135" spans="2:28" x14ac:dyDescent="0.2">
      <c r="B135" s="445"/>
      <c r="C135" s="689" t="str">
        <f t="shared" si="25"/>
        <v xml:space="preserve">Option 3: </v>
      </c>
      <c r="D135" s="542" t="s">
        <v>279</v>
      </c>
      <c r="E135" s="519" t="s">
        <v>104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446"/>
      <c r="AB135" s="447"/>
    </row>
    <row r="136" spans="2:28" x14ac:dyDescent="0.2">
      <c r="B136" s="445"/>
      <c r="C136" s="689" t="str">
        <f t="shared" si="25"/>
        <v xml:space="preserve">Option 3: </v>
      </c>
      <c r="D136" s="542" t="s">
        <v>280</v>
      </c>
      <c r="E136" s="519" t="s">
        <v>104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446"/>
      <c r="AB136" s="447"/>
    </row>
    <row r="137" spans="2:28" x14ac:dyDescent="0.2">
      <c r="B137" s="445"/>
      <c r="C137" s="689" t="str">
        <f t="shared" si="25"/>
        <v xml:space="preserve">Option 3: </v>
      </c>
      <c r="D137" s="542" t="s">
        <v>281</v>
      </c>
      <c r="E137" s="519" t="s">
        <v>104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446"/>
      <c r="AB137" s="447"/>
    </row>
    <row r="138" spans="2:28" x14ac:dyDescent="0.2">
      <c r="B138" s="445"/>
      <c r="C138" s="689" t="str">
        <f t="shared" si="25"/>
        <v xml:space="preserve">Option 3: </v>
      </c>
      <c r="D138" s="542" t="s">
        <v>282</v>
      </c>
      <c r="E138" s="519" t="s">
        <v>104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446"/>
      <c r="AB138" s="447"/>
    </row>
    <row r="139" spans="2:28" x14ac:dyDescent="0.2">
      <c r="B139" s="445"/>
      <c r="C139" s="446"/>
      <c r="D139" s="532"/>
      <c r="E139" s="533"/>
      <c r="F139" s="446"/>
      <c r="G139" s="446"/>
      <c r="H139" s="446"/>
      <c r="I139" s="446"/>
      <c r="J139" s="446"/>
      <c r="K139" s="512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2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2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2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20"/>
      <c r="E142" s="521"/>
      <c r="F142" s="522">
        <f>G12</f>
        <v>2017</v>
      </c>
      <c r="G142" s="523">
        <f>F142+1</f>
        <v>2018</v>
      </c>
      <c r="H142" s="523">
        <f t="shared" ref="H142:Z142" si="27">G142+1</f>
        <v>2019</v>
      </c>
      <c r="I142" s="523">
        <f t="shared" si="27"/>
        <v>2020</v>
      </c>
      <c r="J142" s="523">
        <f t="shared" si="27"/>
        <v>2021</v>
      </c>
      <c r="K142" s="523">
        <f t="shared" si="27"/>
        <v>2022</v>
      </c>
      <c r="L142" s="523">
        <f t="shared" si="27"/>
        <v>2023</v>
      </c>
      <c r="M142" s="523">
        <f t="shared" si="27"/>
        <v>2024</v>
      </c>
      <c r="N142" s="523">
        <f t="shared" si="27"/>
        <v>2025</v>
      </c>
      <c r="O142" s="523">
        <f t="shared" si="27"/>
        <v>2026</v>
      </c>
      <c r="P142" s="523">
        <f t="shared" si="27"/>
        <v>2027</v>
      </c>
      <c r="Q142" s="523">
        <f t="shared" si="27"/>
        <v>2028</v>
      </c>
      <c r="R142" s="523">
        <f t="shared" si="27"/>
        <v>2029</v>
      </c>
      <c r="S142" s="523">
        <f t="shared" si="27"/>
        <v>2030</v>
      </c>
      <c r="T142" s="523">
        <f t="shared" si="27"/>
        <v>2031</v>
      </c>
      <c r="U142" s="523">
        <f t="shared" si="27"/>
        <v>2032</v>
      </c>
      <c r="V142" s="523">
        <f t="shared" si="27"/>
        <v>2033</v>
      </c>
      <c r="W142" s="523">
        <f t="shared" si="27"/>
        <v>2034</v>
      </c>
      <c r="X142" s="523">
        <f t="shared" si="27"/>
        <v>2035</v>
      </c>
      <c r="Y142" s="523">
        <f t="shared" si="27"/>
        <v>2036</v>
      </c>
      <c r="Z142" s="523">
        <f t="shared" si="27"/>
        <v>2037</v>
      </c>
      <c r="AA142" s="446"/>
      <c r="AB142" s="447"/>
    </row>
    <row r="143" spans="2:28" x14ac:dyDescent="0.2">
      <c r="B143" s="445"/>
      <c r="C143" s="689" t="str">
        <f>$C$19</f>
        <v xml:space="preserve">Option 4: </v>
      </c>
      <c r="D143" s="542" t="str">
        <f>$D$27</f>
        <v>Maintenance Costs</v>
      </c>
      <c r="E143" s="519" t="s">
        <v>104</v>
      </c>
      <c r="F143" s="281"/>
      <c r="G143" s="537"/>
      <c r="H143" s="537"/>
      <c r="I143" s="537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3"/>
      <c r="E144" s="533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2" t="str">
        <f>IF($I$8=1,"Negative Impact on Revenue (STPIS)",0)</f>
        <v>Negative Impact on Revenue (STPIS)</v>
      </c>
      <c r="E145" s="528">
        <v>5</v>
      </c>
      <c r="F145" s="522">
        <f>G12</f>
        <v>2017</v>
      </c>
      <c r="G145" s="523">
        <f t="shared" ref="G145:Z145" si="28">F145+1</f>
        <v>2018</v>
      </c>
      <c r="H145" s="523">
        <f t="shared" si="28"/>
        <v>2019</v>
      </c>
      <c r="I145" s="523">
        <f t="shared" si="28"/>
        <v>2020</v>
      </c>
      <c r="J145" s="523">
        <f t="shared" si="28"/>
        <v>2021</v>
      </c>
      <c r="K145" s="523">
        <f t="shared" si="28"/>
        <v>2022</v>
      </c>
      <c r="L145" s="523">
        <f t="shared" si="28"/>
        <v>2023</v>
      </c>
      <c r="M145" s="523">
        <f t="shared" si="28"/>
        <v>2024</v>
      </c>
      <c r="N145" s="523">
        <f t="shared" si="28"/>
        <v>2025</v>
      </c>
      <c r="O145" s="523">
        <f t="shared" si="28"/>
        <v>2026</v>
      </c>
      <c r="P145" s="523">
        <f t="shared" si="28"/>
        <v>2027</v>
      </c>
      <c r="Q145" s="523">
        <f t="shared" si="28"/>
        <v>2028</v>
      </c>
      <c r="R145" s="523">
        <f t="shared" si="28"/>
        <v>2029</v>
      </c>
      <c r="S145" s="523">
        <f t="shared" si="28"/>
        <v>2030</v>
      </c>
      <c r="T145" s="523">
        <f t="shared" si="28"/>
        <v>2031</v>
      </c>
      <c r="U145" s="523">
        <f t="shared" si="28"/>
        <v>2032</v>
      </c>
      <c r="V145" s="523">
        <f t="shared" si="28"/>
        <v>2033</v>
      </c>
      <c r="W145" s="523">
        <f t="shared" si="28"/>
        <v>2034</v>
      </c>
      <c r="X145" s="523">
        <f t="shared" si="28"/>
        <v>2035</v>
      </c>
      <c r="Y145" s="523">
        <f t="shared" si="28"/>
        <v>2036</v>
      </c>
      <c r="Z145" s="523">
        <f t="shared" si="28"/>
        <v>2037</v>
      </c>
      <c r="AA145" s="446"/>
      <c r="AB145" s="447"/>
    </row>
    <row r="146" spans="2:28" x14ac:dyDescent="0.2">
      <c r="B146" s="445"/>
      <c r="C146" s="689" t="str">
        <f>$C$19</f>
        <v xml:space="preserve">Option 4: </v>
      </c>
      <c r="D146" s="544" t="str">
        <f>IF($I$8=1,"SAIFI sustained",0)</f>
        <v>SAIFI sustained</v>
      </c>
      <c r="E146" s="529" t="s">
        <v>148</v>
      </c>
      <c r="F146" s="677">
        <v>0</v>
      </c>
      <c r="G146" s="530">
        <f>IF($E$145=1,0,IF(OR($E$145=2,$E$145=3,$E$145=4,$E$145=5),$F$146))</f>
        <v>0</v>
      </c>
      <c r="H146" s="530">
        <f>IF($E$145=1,0,IF(OR($E$145=2,$E$145=3,$E$145=4,$E$145=5),$F$146))</f>
        <v>0</v>
      </c>
      <c r="I146" s="530">
        <f>IF($E$145=1,0,IF(OR($E$145=2,$E$145=3,$E$145=4,$E$145=5),$F$146))</f>
        <v>0</v>
      </c>
      <c r="J146" s="530">
        <f>IF($E$145=1,0,IF(OR($E$145=2,$E$145=3,$E$145=4,$E$145=5),$F$146))</f>
        <v>0</v>
      </c>
      <c r="K146" s="530">
        <f>IF($E$145=1,0,IF(OR($E$145=2,$E$145=3,$E$145=4,$E$145=5),$F$146))</f>
        <v>0</v>
      </c>
      <c r="L146" s="525"/>
      <c r="M146" s="530">
        <f>IF(OR($E$145=1,$E$145=2),0,$L$146)</f>
        <v>0</v>
      </c>
      <c r="N146" s="530">
        <f>IF(OR($E$145=1,$E$145=2),0,$L$146)</f>
        <v>0</v>
      </c>
      <c r="O146" s="530">
        <f>IF(OR($E$145=1,$E$145=2),0,$L$146)</f>
        <v>0</v>
      </c>
      <c r="P146" s="530">
        <f>IF(OR($E$145=1,$E$145=2),0,$L$146)</f>
        <v>0</v>
      </c>
      <c r="Q146" s="530">
        <f>IF(OR($E$145=1,$E$145=2),0,$L$146)</f>
        <v>0</v>
      </c>
      <c r="R146" s="525"/>
      <c r="S146" s="530">
        <f>IF(OR($E$145=1,$E$145=2,$E$145=3),0,$R$146)</f>
        <v>0</v>
      </c>
      <c r="T146" s="530">
        <f>IF(OR($E$145=1,$E$145=2,$E$145=3),0,$R$146)</f>
        <v>0</v>
      </c>
      <c r="U146" s="530">
        <f>IF(OR($E$145=1,$E$145=2,$E$145=3),0,$R$146)</f>
        <v>0</v>
      </c>
      <c r="V146" s="530">
        <f>IF(OR($E$145=1,$E$145=2,$E$145=3),0,$R$146)</f>
        <v>0</v>
      </c>
      <c r="W146" s="530">
        <f>IF(OR($E$145=1,$E$145=2,$E$145=3),0,$R$146)</f>
        <v>0</v>
      </c>
      <c r="X146" s="525"/>
      <c r="Y146" s="530">
        <f>IF($E$145=5,$X$146,0)</f>
        <v>0</v>
      </c>
      <c r="Z146" s="530">
        <f>IF($E$145=5,$X$146,0)</f>
        <v>0</v>
      </c>
      <c r="AA146" s="446"/>
      <c r="AB146" s="447"/>
    </row>
    <row r="147" spans="2:28" x14ac:dyDescent="0.2">
      <c r="B147" s="445"/>
      <c r="C147" s="689" t="str">
        <f>$C$19</f>
        <v xml:space="preserve">Option 4: </v>
      </c>
      <c r="D147" s="544" t="str">
        <f>IF($I$8=1,"SAIDI accidental",0)</f>
        <v>SAIDI accidental</v>
      </c>
      <c r="E147" s="529" t="s">
        <v>149</v>
      </c>
      <c r="F147" s="676">
        <v>0</v>
      </c>
      <c r="G147" s="530">
        <f>IF($E$145=1,0,IF(OR($E$145=2,$E$145=3,$E$145=4,$E$145=5),$F$147))</f>
        <v>0</v>
      </c>
      <c r="H147" s="530">
        <f>IF($E$145=1,0,IF(OR($E$145=2,$E$145=3,$E$145=4,$E$145=5),$F$147))</f>
        <v>0</v>
      </c>
      <c r="I147" s="530">
        <f>IF($E$145=1,0,IF(OR($E$145=2,$E$145=3,$E$145=4,$E$145=5),$F$147))</f>
        <v>0</v>
      </c>
      <c r="J147" s="530">
        <f>IF($E$145=1,0,IF(OR($E$145=2,$E$145=3,$E$145=4,$E$145=5),$F$147))</f>
        <v>0</v>
      </c>
      <c r="K147" s="530">
        <f>IF($E$145=1,0,IF(OR($E$145=2,$E$145=3,$E$145=4,$E$145=5),$F$147))</f>
        <v>0</v>
      </c>
      <c r="L147" s="525"/>
      <c r="M147" s="530">
        <f>IF(OR($E$145=1,$E$145=2),0,$L$147)</f>
        <v>0</v>
      </c>
      <c r="N147" s="530">
        <f>IF(OR($E$145=1,$E$145=2),0,$L$147)</f>
        <v>0</v>
      </c>
      <c r="O147" s="530">
        <f>IF(OR($E$145=1,$E$145=2),0,$L$147)</f>
        <v>0</v>
      </c>
      <c r="P147" s="530">
        <f>IF(OR($E$145=1,$E$145=2),0,$L$147)</f>
        <v>0</v>
      </c>
      <c r="Q147" s="530">
        <f>IF(OR($E$145=1,$E$145=2),0,$L$147)</f>
        <v>0</v>
      </c>
      <c r="R147" s="525"/>
      <c r="S147" s="530">
        <f>IF(OR($E$145=1,$E$145=2,$E$145=3),0,$R$147)</f>
        <v>0</v>
      </c>
      <c r="T147" s="530">
        <f>IF(OR($E$145=1,$E$145=2,$E$145=3),0,$R$147)</f>
        <v>0</v>
      </c>
      <c r="U147" s="530">
        <f>IF(OR($E$145=1,$E$145=2,$E$145=3),0,$R$147)</f>
        <v>0</v>
      </c>
      <c r="V147" s="530">
        <f>IF(OR($E$145=1,$E$145=2,$E$145=3),0,$R$147)</f>
        <v>0</v>
      </c>
      <c r="W147" s="530">
        <f>IF(OR($E$145=1,$E$145=2,$E$145=3),0,$R$147)</f>
        <v>0</v>
      </c>
      <c r="X147" s="525"/>
      <c r="Y147" s="530">
        <f>IF($E$145=5,$X$147,0)</f>
        <v>0</v>
      </c>
      <c r="Z147" s="530">
        <f>IF($E$145=5,$X$147,0)</f>
        <v>0</v>
      </c>
      <c r="AA147" s="446"/>
      <c r="AB147" s="447"/>
    </row>
    <row r="148" spans="2:28" x14ac:dyDescent="0.2">
      <c r="B148" s="445"/>
      <c r="C148" s="689" t="str">
        <f>$C$19</f>
        <v xml:space="preserve">Option 4: </v>
      </c>
      <c r="D148" s="544" t="str">
        <f>IF($I$8=1,"MAIFI momentary",0)</f>
        <v>MAIFI momentary</v>
      </c>
      <c r="E148" s="529" t="s">
        <v>148</v>
      </c>
      <c r="F148" s="281">
        <f>F61</f>
        <v>0</v>
      </c>
      <c r="G148" s="530">
        <f>IF($E$116=1,0,IF(OR($E$116=2,$E$116=3,$E$116=4,$E$116=5),$F$119))</f>
        <v>0</v>
      </c>
      <c r="H148" s="530">
        <f>IF($E$116=1,0,IF(OR($E$116=2,$E$116=3,$E$116=4,$E$116=5),$F$119))</f>
        <v>0</v>
      </c>
      <c r="I148" s="530">
        <f>IF($E$116=1,0,IF(OR($E$116=2,$E$116=3,$E$116=4,$E$116=5),$F$119))</f>
        <v>0</v>
      </c>
      <c r="J148" s="530">
        <f>IF($E$116=1,0,IF(OR($E$116=2,$E$116=3,$E$116=4,$E$116=5),$F$119))</f>
        <v>0</v>
      </c>
      <c r="K148" s="530">
        <f>IF($E$116=1,0,IF(OR($E$116=2,$E$116=3,$E$116=4,$E$116=5),$F$119))</f>
        <v>0</v>
      </c>
      <c r="L148" s="525"/>
      <c r="M148" s="530">
        <f>IF(OR($E$116=1,$E$116=2),0,$L$119)</f>
        <v>0</v>
      </c>
      <c r="N148" s="530">
        <f>IF(OR($E$116=1,$E$116=2),0,$L$119)</f>
        <v>0</v>
      </c>
      <c r="O148" s="530">
        <f>IF(OR($E$116=1,$E$116=2),0,$L$119)</f>
        <v>0</v>
      </c>
      <c r="P148" s="530">
        <f>IF(OR($E$116=1,$E$116=2),0,$L$119)</f>
        <v>0</v>
      </c>
      <c r="Q148" s="530">
        <f>IF(OR($E$116=1,$E$116=2),0,$L$119)</f>
        <v>0</v>
      </c>
      <c r="R148" s="525"/>
      <c r="S148" s="530">
        <f>IF(OR($E$116=1,$E$116=2,$E$116=3),0,$R$119)</f>
        <v>0</v>
      </c>
      <c r="T148" s="530">
        <f>IF(OR($E$116=1,$E$116=2,$E$116=3),0,$R$119)</f>
        <v>0</v>
      </c>
      <c r="U148" s="530">
        <f>IF(OR($E$116=1,$E$116=2,$E$116=3),0,$R$119)</f>
        <v>0</v>
      </c>
      <c r="V148" s="530">
        <f>IF(OR($E$116=1,$E$116=2,$E$116=3),0,$R$119)</f>
        <v>0</v>
      </c>
      <c r="W148" s="530">
        <f>IF(OR($E$116=1,$E$116=2,$E$116=3),0,$R$119)</f>
        <v>0</v>
      </c>
      <c r="X148" s="525"/>
      <c r="Y148" s="530">
        <f>IF($E$116=5,$X$119,0)</f>
        <v>0</v>
      </c>
      <c r="Z148" s="530">
        <f>IF($E$116=5,$X$119,0)</f>
        <v>0</v>
      </c>
      <c r="AA148" s="446"/>
      <c r="AB148" s="447"/>
    </row>
    <row r="149" spans="2:28" x14ac:dyDescent="0.2">
      <c r="B149" s="445"/>
      <c r="C149" s="689" t="str">
        <f>$C$19</f>
        <v xml:space="preserve">Option 4: </v>
      </c>
      <c r="D149" s="544" t="str">
        <f>IF($I$8=1,"Call centre response",0)</f>
        <v>Call centre response</v>
      </c>
      <c r="E149" s="529" t="s">
        <v>150</v>
      </c>
      <c r="F149" s="526"/>
      <c r="G149" s="531">
        <f>IF($E$145=1,0,IF(OR($E$145=2,$E$145=3,$E$145=4,$E$145=5),$F$149))</f>
        <v>0</v>
      </c>
      <c r="H149" s="531">
        <f>IF($E$145=1,0,IF(OR($E$145=2,$E$145=3,$E$145=4,$E$145=5),$F$149))</f>
        <v>0</v>
      </c>
      <c r="I149" s="531">
        <f>IF($E$145=1,0,IF(OR($E$145=2,$E$145=3,$E$145=4,$E$145=5),$F$149))</f>
        <v>0</v>
      </c>
      <c r="J149" s="531">
        <f>IF($E$145=1,0,IF(OR($E$145=2,$E$145=3,$E$145=4,$E$145=5),$F$149))</f>
        <v>0</v>
      </c>
      <c r="K149" s="531">
        <f>IF($E$145=1,0,IF(OR($E$145=2,$E$145=3,$E$145=4,$E$145=5),$F$149))</f>
        <v>0</v>
      </c>
      <c r="L149" s="526"/>
      <c r="M149" s="531">
        <f>IF(OR($E$145=1,$E$145=2),0,$L$149)</f>
        <v>0</v>
      </c>
      <c r="N149" s="531">
        <f>IF(OR($E$145=1,$E$145=2),0,$L$149)</f>
        <v>0</v>
      </c>
      <c r="O149" s="531">
        <f>IF(OR($E$145=1,$E$145=2),0,$L$149)</f>
        <v>0</v>
      </c>
      <c r="P149" s="531">
        <f>IF(OR($E$145=1,$E$145=2),0,$L$149)</f>
        <v>0</v>
      </c>
      <c r="Q149" s="531">
        <f>IF(OR($E$145=1,$E$145=2),0,$L$149)</f>
        <v>0</v>
      </c>
      <c r="R149" s="526"/>
      <c r="S149" s="531">
        <f>IF(OR($E$145=1,$E$145=2,$E$145=3),0,$R$149)</f>
        <v>0</v>
      </c>
      <c r="T149" s="531">
        <f>IF(OR($E$145=1,$E$145=2,$E$145=3),0,$R$149)</f>
        <v>0</v>
      </c>
      <c r="U149" s="531">
        <f>IF(OR($E$145=1,$E$145=2,$E$145=3),0,$R$149)</f>
        <v>0</v>
      </c>
      <c r="V149" s="531">
        <f>IF(OR($E$145=1,$E$145=2,$E$145=3),0,$R$149)</f>
        <v>0</v>
      </c>
      <c r="W149" s="531">
        <f>IF(OR($E$145=1,$E$145=2,$E$145=3),0,$R$149)</f>
        <v>0</v>
      </c>
      <c r="X149" s="526"/>
      <c r="Y149" s="531">
        <f>IF($E$145=5,$X$149,0)</f>
        <v>0</v>
      </c>
      <c r="Z149" s="531">
        <f>IF($E$145=5,$X$149,0)</f>
        <v>0</v>
      </c>
      <c r="AA149" s="446"/>
      <c r="AB149" s="447"/>
    </row>
    <row r="150" spans="2:28" x14ac:dyDescent="0.2">
      <c r="B150" s="445"/>
      <c r="C150" s="446"/>
      <c r="D150" s="545"/>
      <c r="E150" s="534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446"/>
      <c r="AB150" s="447"/>
    </row>
    <row r="151" spans="2:28" x14ac:dyDescent="0.2">
      <c r="B151" s="445"/>
      <c r="C151" s="446"/>
      <c r="D151" s="542" t="str">
        <f>$D$35</f>
        <v>Network Outage Costs</v>
      </c>
      <c r="E151" s="528"/>
      <c r="F151" s="522">
        <f>G12</f>
        <v>2017</v>
      </c>
      <c r="G151" s="523">
        <f t="shared" ref="G151:Z151" si="29">F151+1</f>
        <v>2018</v>
      </c>
      <c r="H151" s="523">
        <f t="shared" si="29"/>
        <v>2019</v>
      </c>
      <c r="I151" s="523">
        <f t="shared" si="29"/>
        <v>2020</v>
      </c>
      <c r="J151" s="523">
        <f t="shared" si="29"/>
        <v>2021</v>
      </c>
      <c r="K151" s="523">
        <f t="shared" si="29"/>
        <v>2022</v>
      </c>
      <c r="L151" s="523">
        <f t="shared" si="29"/>
        <v>2023</v>
      </c>
      <c r="M151" s="523">
        <f t="shared" si="29"/>
        <v>2024</v>
      </c>
      <c r="N151" s="523">
        <f t="shared" si="29"/>
        <v>2025</v>
      </c>
      <c r="O151" s="523">
        <f t="shared" si="29"/>
        <v>2026</v>
      </c>
      <c r="P151" s="523">
        <f t="shared" si="29"/>
        <v>2027</v>
      </c>
      <c r="Q151" s="523">
        <f t="shared" si="29"/>
        <v>2028</v>
      </c>
      <c r="R151" s="523">
        <f t="shared" si="29"/>
        <v>2029</v>
      </c>
      <c r="S151" s="523">
        <f t="shared" si="29"/>
        <v>2030</v>
      </c>
      <c r="T151" s="523">
        <f t="shared" si="29"/>
        <v>2031</v>
      </c>
      <c r="U151" s="523">
        <f t="shared" si="29"/>
        <v>2032</v>
      </c>
      <c r="V151" s="523">
        <f t="shared" si="29"/>
        <v>2033</v>
      </c>
      <c r="W151" s="523">
        <f t="shared" si="29"/>
        <v>2034</v>
      </c>
      <c r="X151" s="523">
        <f t="shared" si="29"/>
        <v>2035</v>
      </c>
      <c r="Y151" s="523">
        <f t="shared" si="29"/>
        <v>2036</v>
      </c>
      <c r="Z151" s="523">
        <f t="shared" si="29"/>
        <v>2037</v>
      </c>
      <c r="AA151" s="446"/>
      <c r="AB151" s="447"/>
    </row>
    <row r="152" spans="2:28" x14ac:dyDescent="0.2">
      <c r="B152" s="445"/>
      <c r="C152" s="689" t="str">
        <f>$C$19</f>
        <v xml:space="preserve">Option 4: </v>
      </c>
      <c r="D152" s="544" t="str">
        <f>$D$36</f>
        <v>Customer off supply</v>
      </c>
      <c r="E152" s="529" t="s">
        <v>149</v>
      </c>
      <c r="F152" s="675"/>
      <c r="G152" s="675"/>
      <c r="H152" s="675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446"/>
      <c r="AB152" s="447"/>
    </row>
    <row r="153" spans="2:28" x14ac:dyDescent="0.2">
      <c r="B153" s="445"/>
      <c r="C153" s="446"/>
      <c r="D153" s="543"/>
      <c r="E153" s="534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446"/>
      <c r="AB153" s="447"/>
    </row>
    <row r="154" spans="2:28" x14ac:dyDescent="0.2">
      <c r="B154" s="445"/>
      <c r="C154" s="446"/>
      <c r="D154" s="542" t="str">
        <f>D155</f>
        <v>Loss of F Factor Benefit</v>
      </c>
      <c r="E154" s="527"/>
      <c r="F154" s="522">
        <f>G12</f>
        <v>2017</v>
      </c>
      <c r="G154" s="523">
        <f t="shared" ref="G154:Z154" si="30">F154+1</f>
        <v>2018</v>
      </c>
      <c r="H154" s="523">
        <f t="shared" si="30"/>
        <v>2019</v>
      </c>
      <c r="I154" s="523">
        <f t="shared" si="30"/>
        <v>2020</v>
      </c>
      <c r="J154" s="523">
        <f t="shared" si="30"/>
        <v>2021</v>
      </c>
      <c r="K154" s="523">
        <f t="shared" si="30"/>
        <v>2022</v>
      </c>
      <c r="L154" s="523">
        <f t="shared" si="30"/>
        <v>2023</v>
      </c>
      <c r="M154" s="523">
        <f t="shared" si="30"/>
        <v>2024</v>
      </c>
      <c r="N154" s="523">
        <f t="shared" si="30"/>
        <v>2025</v>
      </c>
      <c r="O154" s="523">
        <f t="shared" si="30"/>
        <v>2026</v>
      </c>
      <c r="P154" s="523">
        <f t="shared" si="30"/>
        <v>2027</v>
      </c>
      <c r="Q154" s="523">
        <f t="shared" si="30"/>
        <v>2028</v>
      </c>
      <c r="R154" s="523">
        <f t="shared" si="30"/>
        <v>2029</v>
      </c>
      <c r="S154" s="523">
        <f t="shared" si="30"/>
        <v>2030</v>
      </c>
      <c r="T154" s="523">
        <f t="shared" si="30"/>
        <v>2031</v>
      </c>
      <c r="U154" s="523">
        <f t="shared" si="30"/>
        <v>2032</v>
      </c>
      <c r="V154" s="523">
        <f t="shared" si="30"/>
        <v>2033</v>
      </c>
      <c r="W154" s="523">
        <f t="shared" si="30"/>
        <v>2034</v>
      </c>
      <c r="X154" s="523">
        <f t="shared" si="30"/>
        <v>2035</v>
      </c>
      <c r="Y154" s="523">
        <f t="shared" si="30"/>
        <v>2036</v>
      </c>
      <c r="Z154" s="523">
        <f t="shared" si="30"/>
        <v>2037</v>
      </c>
      <c r="AA154" s="446"/>
      <c r="AB154" s="447"/>
    </row>
    <row r="155" spans="2:28" x14ac:dyDescent="0.2">
      <c r="B155" s="445"/>
      <c r="C155" s="689" t="str">
        <f>$C$19</f>
        <v xml:space="preserve">Option 4: </v>
      </c>
      <c r="D155" s="546" t="str">
        <f>$D$39</f>
        <v>Loss of F Factor Benefit</v>
      </c>
      <c r="E155" s="541" t="str">
        <f>$E$39</f>
        <v>(No. of fire start NOT avoided)</v>
      </c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  <c r="AA155" s="446"/>
      <c r="AB155" s="447"/>
    </row>
    <row r="156" spans="2:28" x14ac:dyDescent="0.2">
      <c r="B156" s="445"/>
      <c r="C156" s="446"/>
      <c r="D156" s="538"/>
      <c r="E156" s="534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446"/>
      <c r="AB156" s="447"/>
    </row>
    <row r="157" spans="2:28" x14ac:dyDescent="0.2">
      <c r="B157" s="445"/>
      <c r="C157" s="446"/>
      <c r="D157" s="542" t="s">
        <v>116</v>
      </c>
      <c r="E157" s="527"/>
      <c r="F157" s="522">
        <f>G12</f>
        <v>2017</v>
      </c>
      <c r="G157" s="523">
        <f t="shared" ref="G157:Z157" si="31">F157+1</f>
        <v>2018</v>
      </c>
      <c r="H157" s="523">
        <f t="shared" si="31"/>
        <v>2019</v>
      </c>
      <c r="I157" s="523">
        <f t="shared" si="31"/>
        <v>2020</v>
      </c>
      <c r="J157" s="523">
        <f t="shared" si="31"/>
        <v>2021</v>
      </c>
      <c r="K157" s="523">
        <f t="shared" si="31"/>
        <v>2022</v>
      </c>
      <c r="L157" s="523">
        <f t="shared" si="31"/>
        <v>2023</v>
      </c>
      <c r="M157" s="523">
        <f t="shared" si="31"/>
        <v>2024</v>
      </c>
      <c r="N157" s="523">
        <f t="shared" si="31"/>
        <v>2025</v>
      </c>
      <c r="O157" s="523">
        <f t="shared" si="31"/>
        <v>2026</v>
      </c>
      <c r="P157" s="523">
        <f t="shared" si="31"/>
        <v>2027</v>
      </c>
      <c r="Q157" s="523">
        <f t="shared" si="31"/>
        <v>2028</v>
      </c>
      <c r="R157" s="523">
        <f t="shared" si="31"/>
        <v>2029</v>
      </c>
      <c r="S157" s="523">
        <f t="shared" si="31"/>
        <v>2030</v>
      </c>
      <c r="T157" s="523">
        <f t="shared" si="31"/>
        <v>2031</v>
      </c>
      <c r="U157" s="523">
        <f t="shared" si="31"/>
        <v>2032</v>
      </c>
      <c r="V157" s="523">
        <f t="shared" si="31"/>
        <v>2033</v>
      </c>
      <c r="W157" s="523">
        <f t="shared" si="31"/>
        <v>2034</v>
      </c>
      <c r="X157" s="523">
        <f t="shared" si="31"/>
        <v>2035</v>
      </c>
      <c r="Y157" s="523">
        <f t="shared" si="31"/>
        <v>2036</v>
      </c>
      <c r="Z157" s="523">
        <f t="shared" si="31"/>
        <v>2037</v>
      </c>
      <c r="AA157" s="446"/>
      <c r="AB157" s="447"/>
    </row>
    <row r="158" spans="2:28" x14ac:dyDescent="0.2">
      <c r="B158" s="445"/>
      <c r="C158" s="689" t="str">
        <f t="shared" ref="C158:C167" si="32">$C$19</f>
        <v xml:space="preserve">Option 4: </v>
      </c>
      <c r="D158" s="542" t="str">
        <f>$D$42</f>
        <v>Cost 1</v>
      </c>
      <c r="E158" s="519" t="s">
        <v>104</v>
      </c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446"/>
      <c r="AB158" s="447"/>
    </row>
    <row r="159" spans="2:28" x14ac:dyDescent="0.2">
      <c r="B159" s="445"/>
      <c r="C159" s="689" t="str">
        <f t="shared" si="32"/>
        <v xml:space="preserve">Option 4: </v>
      </c>
      <c r="D159" s="542" t="str">
        <f>$D$43</f>
        <v>Cost 2</v>
      </c>
      <c r="E159" s="519" t="s">
        <v>104</v>
      </c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446"/>
      <c r="AB159" s="447"/>
    </row>
    <row r="160" spans="2:28" x14ac:dyDescent="0.2">
      <c r="B160" s="445"/>
      <c r="C160" s="689" t="str">
        <f t="shared" si="32"/>
        <v xml:space="preserve">Option 4: </v>
      </c>
      <c r="D160" s="542" t="str">
        <f>$D$44</f>
        <v>Cost 3</v>
      </c>
      <c r="E160" s="519" t="s">
        <v>104</v>
      </c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446"/>
      <c r="AB160" s="447"/>
    </row>
    <row r="161" spans="2:28" x14ac:dyDescent="0.2">
      <c r="B161" s="445"/>
      <c r="C161" s="689" t="str">
        <f t="shared" si="32"/>
        <v xml:space="preserve">Option 4: </v>
      </c>
      <c r="D161" s="542" t="str">
        <f>$D$45</f>
        <v>Cost 4</v>
      </c>
      <c r="E161" s="519" t="s">
        <v>104</v>
      </c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446"/>
      <c r="AB161" s="447"/>
    </row>
    <row r="162" spans="2:28" x14ac:dyDescent="0.2">
      <c r="B162" s="445"/>
      <c r="C162" s="689" t="str">
        <f t="shared" si="32"/>
        <v xml:space="preserve">Option 4: </v>
      </c>
      <c r="D162" s="542" t="str">
        <f>$D$46</f>
        <v>Cost 5</v>
      </c>
      <c r="E162" s="519" t="s">
        <v>104</v>
      </c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446"/>
      <c r="AB162" s="447"/>
    </row>
    <row r="163" spans="2:28" x14ac:dyDescent="0.2">
      <c r="B163" s="445"/>
      <c r="C163" s="689" t="str">
        <f t="shared" si="32"/>
        <v xml:space="preserve">Option 4: </v>
      </c>
      <c r="D163" s="542" t="s">
        <v>278</v>
      </c>
      <c r="E163" s="519" t="s">
        <v>104</v>
      </c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446"/>
      <c r="AB163" s="447"/>
    </row>
    <row r="164" spans="2:28" x14ac:dyDescent="0.2">
      <c r="B164" s="445"/>
      <c r="C164" s="689" t="str">
        <f t="shared" si="32"/>
        <v xml:space="preserve">Option 4: </v>
      </c>
      <c r="D164" s="542" t="s">
        <v>279</v>
      </c>
      <c r="E164" s="519" t="s">
        <v>104</v>
      </c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446"/>
      <c r="AB164" s="447"/>
    </row>
    <row r="165" spans="2:28" x14ac:dyDescent="0.2">
      <c r="B165" s="445"/>
      <c r="C165" s="689" t="str">
        <f t="shared" si="32"/>
        <v xml:space="preserve">Option 4: </v>
      </c>
      <c r="D165" s="542" t="s">
        <v>280</v>
      </c>
      <c r="E165" s="519" t="s">
        <v>104</v>
      </c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446"/>
      <c r="AB165" s="447"/>
    </row>
    <row r="166" spans="2:28" x14ac:dyDescent="0.2">
      <c r="B166" s="445"/>
      <c r="C166" s="689" t="str">
        <f t="shared" si="32"/>
        <v xml:space="preserve">Option 4: </v>
      </c>
      <c r="D166" s="542" t="s">
        <v>281</v>
      </c>
      <c r="E166" s="519" t="s">
        <v>104</v>
      </c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446"/>
      <c r="AB166" s="447"/>
    </row>
    <row r="167" spans="2:28" x14ac:dyDescent="0.2">
      <c r="B167" s="445"/>
      <c r="C167" s="689" t="str">
        <f t="shared" si="32"/>
        <v xml:space="preserve">Option 4: </v>
      </c>
      <c r="D167" s="542" t="s">
        <v>282</v>
      </c>
      <c r="E167" s="519" t="s">
        <v>104</v>
      </c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446"/>
      <c r="AB167" s="447"/>
    </row>
    <row r="168" spans="2:28" x14ac:dyDescent="0.2">
      <c r="B168" s="445"/>
      <c r="C168" s="446"/>
      <c r="D168" s="532"/>
      <c r="E168" s="533"/>
      <c r="F168" s="446"/>
      <c r="G168" s="446"/>
      <c r="H168" s="446"/>
      <c r="I168" s="446"/>
      <c r="J168" s="446"/>
      <c r="K168" s="512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2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2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2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20"/>
      <c r="E171" s="521"/>
      <c r="F171" s="522">
        <f>G12</f>
        <v>2017</v>
      </c>
      <c r="G171" s="523">
        <f>F171+1</f>
        <v>2018</v>
      </c>
      <c r="H171" s="523">
        <f t="shared" ref="H171:Z171" si="33">G171+1</f>
        <v>2019</v>
      </c>
      <c r="I171" s="523">
        <f t="shared" si="33"/>
        <v>2020</v>
      </c>
      <c r="J171" s="523">
        <f t="shared" si="33"/>
        <v>2021</v>
      </c>
      <c r="K171" s="523">
        <f t="shared" si="33"/>
        <v>2022</v>
      </c>
      <c r="L171" s="523">
        <f t="shared" si="33"/>
        <v>2023</v>
      </c>
      <c r="M171" s="523">
        <f t="shared" si="33"/>
        <v>2024</v>
      </c>
      <c r="N171" s="523">
        <f t="shared" si="33"/>
        <v>2025</v>
      </c>
      <c r="O171" s="523">
        <f t="shared" si="33"/>
        <v>2026</v>
      </c>
      <c r="P171" s="523">
        <f t="shared" si="33"/>
        <v>2027</v>
      </c>
      <c r="Q171" s="523">
        <f t="shared" si="33"/>
        <v>2028</v>
      </c>
      <c r="R171" s="523">
        <f t="shared" si="33"/>
        <v>2029</v>
      </c>
      <c r="S171" s="523">
        <f t="shared" si="33"/>
        <v>2030</v>
      </c>
      <c r="T171" s="523">
        <f t="shared" si="33"/>
        <v>2031</v>
      </c>
      <c r="U171" s="523">
        <f t="shared" si="33"/>
        <v>2032</v>
      </c>
      <c r="V171" s="523">
        <f t="shared" si="33"/>
        <v>2033</v>
      </c>
      <c r="W171" s="523">
        <f t="shared" si="33"/>
        <v>2034</v>
      </c>
      <c r="X171" s="523">
        <f t="shared" si="33"/>
        <v>2035</v>
      </c>
      <c r="Y171" s="523">
        <f t="shared" si="33"/>
        <v>2036</v>
      </c>
      <c r="Z171" s="523">
        <f t="shared" si="33"/>
        <v>2037</v>
      </c>
      <c r="AA171" s="446"/>
      <c r="AB171" s="447"/>
    </row>
    <row r="172" spans="2:28" x14ac:dyDescent="0.2">
      <c r="B172" s="445"/>
      <c r="C172" s="689" t="str">
        <f>$C$20</f>
        <v xml:space="preserve">Option 5: </v>
      </c>
      <c r="D172" s="542" t="str">
        <f>$D$27</f>
        <v>Maintenance Costs</v>
      </c>
      <c r="E172" s="519" t="s">
        <v>104</v>
      </c>
      <c r="F172" s="281"/>
      <c r="G172" s="537"/>
      <c r="H172" s="537"/>
      <c r="I172" s="537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3"/>
      <c r="E173" s="533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2" t="str">
        <f>IF($I$8=1,"Negative Impact on Revenue (STPIS)",0)</f>
        <v>Negative Impact on Revenue (STPIS)</v>
      </c>
      <c r="E174" s="528">
        <v>5</v>
      </c>
      <c r="F174" s="522">
        <f>G12</f>
        <v>2017</v>
      </c>
      <c r="G174" s="523">
        <f t="shared" ref="G174:Z174" si="34">F174+1</f>
        <v>2018</v>
      </c>
      <c r="H174" s="523">
        <f t="shared" si="34"/>
        <v>2019</v>
      </c>
      <c r="I174" s="523">
        <f t="shared" si="34"/>
        <v>2020</v>
      </c>
      <c r="J174" s="523">
        <f t="shared" si="34"/>
        <v>2021</v>
      </c>
      <c r="K174" s="523">
        <f t="shared" si="34"/>
        <v>2022</v>
      </c>
      <c r="L174" s="523">
        <f t="shared" si="34"/>
        <v>2023</v>
      </c>
      <c r="M174" s="523">
        <f t="shared" si="34"/>
        <v>2024</v>
      </c>
      <c r="N174" s="523">
        <f t="shared" si="34"/>
        <v>2025</v>
      </c>
      <c r="O174" s="523">
        <f t="shared" si="34"/>
        <v>2026</v>
      </c>
      <c r="P174" s="523">
        <f t="shared" si="34"/>
        <v>2027</v>
      </c>
      <c r="Q174" s="523">
        <f t="shared" si="34"/>
        <v>2028</v>
      </c>
      <c r="R174" s="523">
        <f t="shared" si="34"/>
        <v>2029</v>
      </c>
      <c r="S174" s="523">
        <f t="shared" si="34"/>
        <v>2030</v>
      </c>
      <c r="T174" s="523">
        <f t="shared" si="34"/>
        <v>2031</v>
      </c>
      <c r="U174" s="523">
        <f t="shared" si="34"/>
        <v>2032</v>
      </c>
      <c r="V174" s="523">
        <f t="shared" si="34"/>
        <v>2033</v>
      </c>
      <c r="W174" s="523">
        <f t="shared" si="34"/>
        <v>2034</v>
      </c>
      <c r="X174" s="523">
        <f t="shared" si="34"/>
        <v>2035</v>
      </c>
      <c r="Y174" s="523">
        <f t="shared" si="34"/>
        <v>2036</v>
      </c>
      <c r="Z174" s="523">
        <f t="shared" si="34"/>
        <v>2037</v>
      </c>
      <c r="AA174" s="446"/>
      <c r="AB174" s="447"/>
    </row>
    <row r="175" spans="2:28" x14ac:dyDescent="0.2">
      <c r="B175" s="445"/>
      <c r="C175" s="689" t="str">
        <f>$C$20</f>
        <v xml:space="preserve">Option 5: </v>
      </c>
      <c r="D175" s="544" t="str">
        <f>IF($I$8=1,"SAIFI sustained",0)</f>
        <v>SAIFI sustained</v>
      </c>
      <c r="E175" s="529" t="s">
        <v>148</v>
      </c>
      <c r="F175" s="524">
        <v>0</v>
      </c>
      <c r="G175" s="530">
        <f>IF($E$174=1,0,IF(OR($E$174=2,$E$174=3,$E$174=4,$E$174=5),$F$175))</f>
        <v>0</v>
      </c>
      <c r="H175" s="530">
        <f>IF($E$174=1,0,IF(OR($E$174=2,$E$174=3,$E$174=4,$E$174=5),$F$175))</f>
        <v>0</v>
      </c>
      <c r="I175" s="530">
        <f>IF($E$174=1,0,IF(OR($E$174=2,$E$174=3,$E$174=4,$E$174=5),$F$175))</f>
        <v>0</v>
      </c>
      <c r="J175" s="530">
        <f>IF($E$174=1,0,IF(OR($E$174=2,$E$174=3,$E$174=4,$E$174=5),$F$175))</f>
        <v>0</v>
      </c>
      <c r="K175" s="530">
        <f>IF($E$174=1,0,IF(OR($E$174=2,$E$174=3,$E$174=4,$E$174=5),$F$175))</f>
        <v>0</v>
      </c>
      <c r="L175" s="525"/>
      <c r="M175" s="530">
        <f>IF(OR($E$174=1,$E$174=2),0,$L$175)</f>
        <v>0</v>
      </c>
      <c r="N175" s="530">
        <f>IF(OR($E$174=1,$E$174=2),0,$L$175)</f>
        <v>0</v>
      </c>
      <c r="O175" s="530">
        <f>IF(OR($E$174=1,$E$174=2),0,$L$175)</f>
        <v>0</v>
      </c>
      <c r="P175" s="530">
        <f>IF(OR($E$174=1,$E$174=2),0,$L$175)</f>
        <v>0</v>
      </c>
      <c r="Q175" s="530">
        <f>IF(OR($E$174=1,$E$174=2),0,$L$175)</f>
        <v>0</v>
      </c>
      <c r="R175" s="525"/>
      <c r="S175" s="530">
        <f>IF(OR($E$174=1,$E$174=2,$E$174=3),0,$R$175)</f>
        <v>0</v>
      </c>
      <c r="T175" s="530">
        <f>IF(OR($E$174=1,$E$174=2,$E$174=3),0,$R$175)</f>
        <v>0</v>
      </c>
      <c r="U175" s="530">
        <f>IF(OR($E$174=1,$E$174=2,$E$174=3),0,$R$175)</f>
        <v>0</v>
      </c>
      <c r="V175" s="530">
        <f>IF(OR($E$174=1,$E$174=2,$E$174=3),0,$R$175)</f>
        <v>0</v>
      </c>
      <c r="W175" s="530">
        <f>IF(OR($E$174=1,$E$174=2,$E$174=3),0,$R$175)</f>
        <v>0</v>
      </c>
      <c r="X175" s="525"/>
      <c r="Y175" s="530">
        <f>IF($E$174=5,$X$175,0)</f>
        <v>0</v>
      </c>
      <c r="Z175" s="530">
        <f>IF($E$174=5,$X$175,0)</f>
        <v>0</v>
      </c>
      <c r="AA175" s="446"/>
      <c r="AB175" s="447"/>
    </row>
    <row r="176" spans="2:28" x14ac:dyDescent="0.2">
      <c r="B176" s="445"/>
      <c r="C176" s="689" t="str">
        <f>$C$20</f>
        <v xml:space="preserve">Option 5: </v>
      </c>
      <c r="D176" s="544" t="str">
        <f>IF($I$8=1,"SAIDI accidental",0)</f>
        <v>SAIDI accidental</v>
      </c>
      <c r="E176" s="529" t="s">
        <v>149</v>
      </c>
      <c r="F176" s="524">
        <v>0</v>
      </c>
      <c r="G176" s="530">
        <f>IF($E$174=1,0,IF(OR($E$174=2,$E$174=3,$E$174=4,$E$174=5),$F$176))</f>
        <v>0</v>
      </c>
      <c r="H176" s="530">
        <f>IF($E$174=1,0,IF(OR($E$174=2,$E$174=3,$E$174=4,$E$174=5),$F$176))</f>
        <v>0</v>
      </c>
      <c r="I176" s="530">
        <f>IF($E$174=1,0,IF(OR($E$174=2,$E$174=3,$E$174=4,$E$174=5),$F$176))</f>
        <v>0</v>
      </c>
      <c r="J176" s="530">
        <f>IF($E$174=1,0,IF(OR($E$174=2,$E$174=3,$E$174=4,$E$174=5),$F$176))</f>
        <v>0</v>
      </c>
      <c r="K176" s="530">
        <f>IF($E$174=1,0,IF(OR($E$174=2,$E$174=3,$E$174=4,$E$174=5),$F$176))</f>
        <v>0</v>
      </c>
      <c r="L176" s="525"/>
      <c r="M176" s="530">
        <f>IF(OR($E$174=1,$E$174=2),0,$L$176)</f>
        <v>0</v>
      </c>
      <c r="N176" s="530">
        <f>IF(OR($E$174=1,$E$174=2),0,$L$176)</f>
        <v>0</v>
      </c>
      <c r="O176" s="530">
        <f>IF(OR($E$174=1,$E$174=2),0,$L$176)</f>
        <v>0</v>
      </c>
      <c r="P176" s="530">
        <f>IF(OR($E$174=1,$E$174=2),0,$L$176)</f>
        <v>0</v>
      </c>
      <c r="Q176" s="530">
        <f>IF(OR($E$174=1,$E$174=2),0,$L$176)</f>
        <v>0</v>
      </c>
      <c r="R176" s="525"/>
      <c r="S176" s="530">
        <f>IF(OR($E$174=1,$E$174=2,$E$174=3),0,$R$176)</f>
        <v>0</v>
      </c>
      <c r="T176" s="530">
        <f>IF(OR($E$174=1,$E$174=2,$E$174=3),0,$R$176)</f>
        <v>0</v>
      </c>
      <c r="U176" s="530">
        <f>IF(OR($E$174=1,$E$174=2,$E$174=3),0,$R$176)</f>
        <v>0</v>
      </c>
      <c r="V176" s="530">
        <f>IF(OR($E$174=1,$E$174=2,$E$174=3),0,$R$176)</f>
        <v>0</v>
      </c>
      <c r="W176" s="530">
        <f>IF(OR($E$174=1,$E$174=2,$E$174=3),0,$R$176)</f>
        <v>0</v>
      </c>
      <c r="X176" s="525"/>
      <c r="Y176" s="530">
        <f>IF($E$174=5,$X$176,0)</f>
        <v>0</v>
      </c>
      <c r="Z176" s="530">
        <f>IF($E$174=5,$X$176,0)</f>
        <v>0</v>
      </c>
      <c r="AA176" s="446"/>
      <c r="AB176" s="447"/>
    </row>
    <row r="177" spans="2:28" x14ac:dyDescent="0.2">
      <c r="B177" s="445"/>
      <c r="C177" s="689" t="str">
        <f>$C$20</f>
        <v xml:space="preserve">Option 5: </v>
      </c>
      <c r="D177" s="544" t="str">
        <f>IF($I$8=1,"MAIFI momentary",0)</f>
        <v>MAIFI momentary</v>
      </c>
      <c r="E177" s="529" t="s">
        <v>148</v>
      </c>
      <c r="F177" s="525"/>
      <c r="G177" s="530">
        <f>IF($E$116=1,0,IF(OR($E$116=2,$E$116=3,$E$116=4,$E$116=5),$F$119))</f>
        <v>0</v>
      </c>
      <c r="H177" s="530">
        <f>IF($E$116=1,0,IF(OR($E$116=2,$E$116=3,$E$116=4,$E$116=5),$F$119))</f>
        <v>0</v>
      </c>
      <c r="I177" s="530">
        <f>IF($E$116=1,0,IF(OR($E$116=2,$E$116=3,$E$116=4,$E$116=5),$F$119))</f>
        <v>0</v>
      </c>
      <c r="J177" s="530">
        <f>IF($E$116=1,0,IF(OR($E$116=2,$E$116=3,$E$116=4,$E$116=5),$F$119))</f>
        <v>0</v>
      </c>
      <c r="K177" s="530">
        <f>IF($E$116=1,0,IF(OR($E$116=2,$E$116=3,$E$116=4,$E$116=5),$F$119))</f>
        <v>0</v>
      </c>
      <c r="L177" s="525"/>
      <c r="M177" s="530">
        <f>IF(OR($E$116=1,$E$116=2),0,$L$119)</f>
        <v>0</v>
      </c>
      <c r="N177" s="530">
        <f>IF(OR($E$116=1,$E$116=2),0,$L$119)</f>
        <v>0</v>
      </c>
      <c r="O177" s="530">
        <f>IF(OR($E$116=1,$E$116=2),0,$L$119)</f>
        <v>0</v>
      </c>
      <c r="P177" s="530">
        <f>IF(OR($E$116=1,$E$116=2),0,$L$119)</f>
        <v>0</v>
      </c>
      <c r="Q177" s="530">
        <f>IF(OR($E$116=1,$E$116=2),0,$L$119)</f>
        <v>0</v>
      </c>
      <c r="R177" s="525"/>
      <c r="S177" s="530">
        <f>IF(OR($E$116=1,$E$116=2,$E$116=3),0,$R$119)</f>
        <v>0</v>
      </c>
      <c r="T177" s="530">
        <f>IF(OR($E$116=1,$E$116=2,$E$116=3),0,$R$119)</f>
        <v>0</v>
      </c>
      <c r="U177" s="530">
        <f>IF(OR($E$116=1,$E$116=2,$E$116=3),0,$R$119)</f>
        <v>0</v>
      </c>
      <c r="V177" s="530">
        <f>IF(OR($E$116=1,$E$116=2,$E$116=3),0,$R$119)</f>
        <v>0</v>
      </c>
      <c r="W177" s="530">
        <f>IF(OR($E$116=1,$E$116=2,$E$116=3),0,$R$119)</f>
        <v>0</v>
      </c>
      <c r="X177" s="525"/>
      <c r="Y177" s="530">
        <f>IF($E$116=5,$X$119,0)</f>
        <v>0</v>
      </c>
      <c r="Z177" s="530">
        <f>IF($E$116=5,$X$119,0)</f>
        <v>0</v>
      </c>
      <c r="AA177" s="446"/>
      <c r="AB177" s="447"/>
    </row>
    <row r="178" spans="2:28" x14ac:dyDescent="0.2">
      <c r="B178" s="445"/>
      <c r="C178" s="689" t="str">
        <f>$C$20</f>
        <v xml:space="preserve">Option 5: </v>
      </c>
      <c r="D178" s="544" t="str">
        <f>IF($I$8=1,"Call centre response",0)</f>
        <v>Call centre response</v>
      </c>
      <c r="E178" s="529" t="s">
        <v>150</v>
      </c>
      <c r="F178" s="526"/>
      <c r="G178" s="531">
        <f>IF($E$174=1,0,IF(OR($E$174=2,$E$174=3,$E$174=4,$E$174=5),$F$178))</f>
        <v>0</v>
      </c>
      <c r="H178" s="531">
        <f>IF($E$174=1,0,IF(OR($E$174=2,$E$174=3,$E$174=4,$E$174=5),$F$178))</f>
        <v>0</v>
      </c>
      <c r="I178" s="531">
        <f>IF($E$174=1,0,IF(OR($E$174=2,$E$174=3,$E$174=4,$E$174=5),$F$178))</f>
        <v>0</v>
      </c>
      <c r="J178" s="531">
        <f>IF($E$174=1,0,IF(OR($E$174=2,$E$174=3,$E$174=4,$E$174=5),$F$178))</f>
        <v>0</v>
      </c>
      <c r="K178" s="531">
        <f>IF($E$174=1,0,IF(OR($E$174=2,$E$174=3,$E$174=4,$E$174=5),$F$178))</f>
        <v>0</v>
      </c>
      <c r="L178" s="526"/>
      <c r="M178" s="531">
        <f>IF(OR($E$174=1,$E$174=2),0,$L$178)</f>
        <v>0</v>
      </c>
      <c r="N178" s="531">
        <f>IF(OR($E$174=1,$E$174=2),0,$L$178)</f>
        <v>0</v>
      </c>
      <c r="O178" s="531">
        <f>IF(OR($E$174=1,$E$174=2),0,$L$178)</f>
        <v>0</v>
      </c>
      <c r="P178" s="531">
        <f>IF(OR($E$174=1,$E$174=2),0,$L$178)</f>
        <v>0</v>
      </c>
      <c r="Q178" s="531">
        <f>IF(OR($E$174=1,$E$174=2),0,$L$178)</f>
        <v>0</v>
      </c>
      <c r="R178" s="526"/>
      <c r="S178" s="531">
        <f>IF(OR($E$174=1,$E$174=2,$E$174=3),0,$R$178)</f>
        <v>0</v>
      </c>
      <c r="T178" s="531">
        <f>IF(OR($E$174=1,$E$174=2,$E$174=3),0,$R$178)</f>
        <v>0</v>
      </c>
      <c r="U178" s="531">
        <f>IF(OR($E$174=1,$E$174=2,$E$174=3),0,$R$178)</f>
        <v>0</v>
      </c>
      <c r="V178" s="531">
        <f>IF(OR($E$174=1,$E$174=2,$E$174=3),0,$R$178)</f>
        <v>0</v>
      </c>
      <c r="W178" s="531">
        <f>IF(OR($E$174=1,$E$174=2,$E$174=3),0,$R$178)</f>
        <v>0</v>
      </c>
      <c r="X178" s="526"/>
      <c r="Y178" s="531">
        <f>IF($E$174=5,$X$178,0)</f>
        <v>0</v>
      </c>
      <c r="Z178" s="531">
        <f>IF($E$174=5,$X$178,0)</f>
        <v>0</v>
      </c>
      <c r="AA178" s="446"/>
      <c r="AB178" s="447"/>
    </row>
    <row r="179" spans="2:28" x14ac:dyDescent="0.2">
      <c r="B179" s="445"/>
      <c r="C179" s="446"/>
      <c r="D179" s="545"/>
      <c r="E179" s="534"/>
      <c r="F179" s="535"/>
      <c r="G179" s="536"/>
      <c r="H179" s="536"/>
      <c r="I179" s="536"/>
      <c r="J179" s="536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  <c r="U179" s="536"/>
      <c r="V179" s="536"/>
      <c r="W179" s="536"/>
      <c r="X179" s="536"/>
      <c r="Y179" s="536"/>
      <c r="Z179" s="536"/>
      <c r="AA179" s="446"/>
      <c r="AB179" s="447"/>
    </row>
    <row r="180" spans="2:28" x14ac:dyDescent="0.2">
      <c r="B180" s="445"/>
      <c r="C180" s="446"/>
      <c r="D180" s="542" t="str">
        <f>$D$35</f>
        <v>Network Outage Costs</v>
      </c>
      <c r="E180" s="528"/>
      <c r="F180" s="522">
        <f>G12</f>
        <v>2017</v>
      </c>
      <c r="G180" s="523">
        <f t="shared" ref="G180:Z180" si="35">F180+1</f>
        <v>2018</v>
      </c>
      <c r="H180" s="523">
        <f t="shared" si="35"/>
        <v>2019</v>
      </c>
      <c r="I180" s="523">
        <f t="shared" si="35"/>
        <v>2020</v>
      </c>
      <c r="J180" s="523">
        <f t="shared" si="35"/>
        <v>2021</v>
      </c>
      <c r="K180" s="523">
        <f t="shared" si="35"/>
        <v>2022</v>
      </c>
      <c r="L180" s="523">
        <f t="shared" si="35"/>
        <v>2023</v>
      </c>
      <c r="M180" s="523">
        <f t="shared" si="35"/>
        <v>2024</v>
      </c>
      <c r="N180" s="523">
        <f t="shared" si="35"/>
        <v>2025</v>
      </c>
      <c r="O180" s="523">
        <f t="shared" si="35"/>
        <v>2026</v>
      </c>
      <c r="P180" s="523">
        <f t="shared" si="35"/>
        <v>2027</v>
      </c>
      <c r="Q180" s="523">
        <f t="shared" si="35"/>
        <v>2028</v>
      </c>
      <c r="R180" s="523">
        <f t="shared" si="35"/>
        <v>2029</v>
      </c>
      <c r="S180" s="523">
        <f t="shared" si="35"/>
        <v>2030</v>
      </c>
      <c r="T180" s="523">
        <f t="shared" si="35"/>
        <v>2031</v>
      </c>
      <c r="U180" s="523">
        <f t="shared" si="35"/>
        <v>2032</v>
      </c>
      <c r="V180" s="523">
        <f t="shared" si="35"/>
        <v>2033</v>
      </c>
      <c r="W180" s="523">
        <f t="shared" si="35"/>
        <v>2034</v>
      </c>
      <c r="X180" s="523">
        <f t="shared" si="35"/>
        <v>2035</v>
      </c>
      <c r="Y180" s="523">
        <f t="shared" si="35"/>
        <v>2036</v>
      </c>
      <c r="Z180" s="523">
        <f t="shared" si="35"/>
        <v>2037</v>
      </c>
      <c r="AA180" s="446"/>
      <c r="AB180" s="447"/>
    </row>
    <row r="181" spans="2:28" x14ac:dyDescent="0.2">
      <c r="B181" s="445"/>
      <c r="C181" s="689" t="str">
        <f>$C$20</f>
        <v xml:space="preserve">Option 5: </v>
      </c>
      <c r="D181" s="544" t="str">
        <f>$D$36</f>
        <v>Customer off supply</v>
      </c>
      <c r="E181" s="529" t="s">
        <v>149</v>
      </c>
      <c r="F181" s="524">
        <f>F176</f>
        <v>0</v>
      </c>
      <c r="G181" s="524">
        <f>G176</f>
        <v>0</v>
      </c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446"/>
      <c r="AB181" s="447"/>
    </row>
    <row r="182" spans="2:28" x14ac:dyDescent="0.2">
      <c r="B182" s="445"/>
      <c r="C182" s="446"/>
      <c r="D182" s="543"/>
      <c r="E182" s="534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446"/>
      <c r="AB182" s="447"/>
    </row>
    <row r="183" spans="2:28" x14ac:dyDescent="0.2">
      <c r="B183" s="445"/>
      <c r="C183" s="446"/>
      <c r="D183" s="542" t="str">
        <f>D184</f>
        <v>Loss of F Factor Benefit</v>
      </c>
      <c r="E183" s="527"/>
      <c r="F183" s="522">
        <f>G12</f>
        <v>2017</v>
      </c>
      <c r="G183" s="523">
        <f t="shared" ref="G183:Z183" si="36">F183+1</f>
        <v>2018</v>
      </c>
      <c r="H183" s="523">
        <f t="shared" si="36"/>
        <v>2019</v>
      </c>
      <c r="I183" s="523">
        <f t="shared" si="36"/>
        <v>2020</v>
      </c>
      <c r="J183" s="523">
        <f t="shared" si="36"/>
        <v>2021</v>
      </c>
      <c r="K183" s="523">
        <f t="shared" si="36"/>
        <v>2022</v>
      </c>
      <c r="L183" s="523">
        <f t="shared" si="36"/>
        <v>2023</v>
      </c>
      <c r="M183" s="523">
        <f t="shared" si="36"/>
        <v>2024</v>
      </c>
      <c r="N183" s="523">
        <f t="shared" si="36"/>
        <v>2025</v>
      </c>
      <c r="O183" s="523">
        <f t="shared" si="36"/>
        <v>2026</v>
      </c>
      <c r="P183" s="523">
        <f t="shared" si="36"/>
        <v>2027</v>
      </c>
      <c r="Q183" s="523">
        <f t="shared" si="36"/>
        <v>2028</v>
      </c>
      <c r="R183" s="523">
        <f t="shared" si="36"/>
        <v>2029</v>
      </c>
      <c r="S183" s="523">
        <f t="shared" si="36"/>
        <v>2030</v>
      </c>
      <c r="T183" s="523">
        <f t="shared" si="36"/>
        <v>2031</v>
      </c>
      <c r="U183" s="523">
        <f t="shared" si="36"/>
        <v>2032</v>
      </c>
      <c r="V183" s="523">
        <f t="shared" si="36"/>
        <v>2033</v>
      </c>
      <c r="W183" s="523">
        <f t="shared" si="36"/>
        <v>2034</v>
      </c>
      <c r="X183" s="523">
        <f t="shared" si="36"/>
        <v>2035</v>
      </c>
      <c r="Y183" s="523">
        <f t="shared" si="36"/>
        <v>2036</v>
      </c>
      <c r="Z183" s="523">
        <f t="shared" si="36"/>
        <v>2037</v>
      </c>
      <c r="AA183" s="446"/>
      <c r="AB183" s="447"/>
    </row>
    <row r="184" spans="2:28" x14ac:dyDescent="0.2">
      <c r="B184" s="445"/>
      <c r="C184" s="689" t="str">
        <f>$C$20</f>
        <v xml:space="preserve">Option 5: </v>
      </c>
      <c r="D184" s="546" t="str">
        <f>$D$39</f>
        <v>Loss of F Factor Benefit</v>
      </c>
      <c r="E184" s="541" t="str">
        <f>$E$39</f>
        <v>(No. of fire start NOT avoided)</v>
      </c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540"/>
      <c r="R184" s="540"/>
      <c r="S184" s="540"/>
      <c r="T184" s="540"/>
      <c r="U184" s="540"/>
      <c r="V184" s="540"/>
      <c r="W184" s="540"/>
      <c r="X184" s="540"/>
      <c r="Y184" s="540"/>
      <c r="Z184" s="540"/>
      <c r="AA184" s="446"/>
      <c r="AB184" s="447"/>
    </row>
    <row r="185" spans="2:28" x14ac:dyDescent="0.2">
      <c r="B185" s="445"/>
      <c r="C185" s="446"/>
      <c r="D185" s="538"/>
      <c r="E185" s="534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446"/>
      <c r="AB185" s="447"/>
    </row>
    <row r="186" spans="2:28" x14ac:dyDescent="0.2">
      <c r="B186" s="445"/>
      <c r="C186" s="446"/>
      <c r="D186" s="542" t="s">
        <v>116</v>
      </c>
      <c r="E186" s="527"/>
      <c r="F186" s="522">
        <f>G12</f>
        <v>2017</v>
      </c>
      <c r="G186" s="523">
        <f t="shared" ref="G186:Z186" si="37">F186+1</f>
        <v>2018</v>
      </c>
      <c r="H186" s="523">
        <f t="shared" si="37"/>
        <v>2019</v>
      </c>
      <c r="I186" s="523">
        <f t="shared" si="37"/>
        <v>2020</v>
      </c>
      <c r="J186" s="523">
        <f t="shared" si="37"/>
        <v>2021</v>
      </c>
      <c r="K186" s="523">
        <f t="shared" si="37"/>
        <v>2022</v>
      </c>
      <c r="L186" s="523">
        <f t="shared" si="37"/>
        <v>2023</v>
      </c>
      <c r="M186" s="523">
        <f t="shared" si="37"/>
        <v>2024</v>
      </c>
      <c r="N186" s="523">
        <f t="shared" si="37"/>
        <v>2025</v>
      </c>
      <c r="O186" s="523">
        <f t="shared" si="37"/>
        <v>2026</v>
      </c>
      <c r="P186" s="523">
        <f t="shared" si="37"/>
        <v>2027</v>
      </c>
      <c r="Q186" s="523">
        <f t="shared" si="37"/>
        <v>2028</v>
      </c>
      <c r="R186" s="523">
        <f t="shared" si="37"/>
        <v>2029</v>
      </c>
      <c r="S186" s="523">
        <f t="shared" si="37"/>
        <v>2030</v>
      </c>
      <c r="T186" s="523">
        <f t="shared" si="37"/>
        <v>2031</v>
      </c>
      <c r="U186" s="523">
        <f t="shared" si="37"/>
        <v>2032</v>
      </c>
      <c r="V186" s="523">
        <f t="shared" si="37"/>
        <v>2033</v>
      </c>
      <c r="W186" s="523">
        <f t="shared" si="37"/>
        <v>2034</v>
      </c>
      <c r="X186" s="523">
        <f t="shared" si="37"/>
        <v>2035</v>
      </c>
      <c r="Y186" s="523">
        <f t="shared" si="37"/>
        <v>2036</v>
      </c>
      <c r="Z186" s="523">
        <f t="shared" si="37"/>
        <v>2037</v>
      </c>
      <c r="AA186" s="446"/>
      <c r="AB186" s="447"/>
    </row>
    <row r="187" spans="2:28" x14ac:dyDescent="0.2">
      <c r="B187" s="445"/>
      <c r="C187" s="689" t="str">
        <f t="shared" ref="C187:C196" si="38">$C$20</f>
        <v xml:space="preserve">Option 5: </v>
      </c>
      <c r="D187" s="542" t="str">
        <f>$D$42</f>
        <v>Cost 1</v>
      </c>
      <c r="E187" s="519" t="s">
        <v>104</v>
      </c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446"/>
      <c r="AB187" s="447"/>
    </row>
    <row r="188" spans="2:28" x14ac:dyDescent="0.2">
      <c r="B188" s="445"/>
      <c r="C188" s="689" t="str">
        <f t="shared" si="38"/>
        <v xml:space="preserve">Option 5: </v>
      </c>
      <c r="D188" s="542" t="str">
        <f>$D$43</f>
        <v>Cost 2</v>
      </c>
      <c r="E188" s="519" t="s">
        <v>104</v>
      </c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  <c r="R188" s="549"/>
      <c r="S188" s="549"/>
      <c r="T188" s="549"/>
      <c r="U188" s="549"/>
      <c r="V188" s="549"/>
      <c r="W188" s="549"/>
      <c r="X188" s="549"/>
      <c r="Y188" s="549"/>
      <c r="Z188" s="549"/>
      <c r="AA188" s="446"/>
      <c r="AB188" s="447"/>
    </row>
    <row r="189" spans="2:28" x14ac:dyDescent="0.2">
      <c r="B189" s="445"/>
      <c r="C189" s="689" t="str">
        <f t="shared" si="38"/>
        <v xml:space="preserve">Option 5: </v>
      </c>
      <c r="D189" s="542" t="str">
        <f>$D$44</f>
        <v>Cost 3</v>
      </c>
      <c r="E189" s="519" t="s">
        <v>104</v>
      </c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446"/>
      <c r="AB189" s="447"/>
    </row>
    <row r="190" spans="2:28" x14ac:dyDescent="0.2">
      <c r="B190" s="445"/>
      <c r="C190" s="689" t="str">
        <f t="shared" si="38"/>
        <v xml:space="preserve">Option 5: </v>
      </c>
      <c r="D190" s="542" t="str">
        <f>$D$45</f>
        <v>Cost 4</v>
      </c>
      <c r="E190" s="519" t="s">
        <v>104</v>
      </c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446"/>
      <c r="AB190" s="447"/>
    </row>
    <row r="191" spans="2:28" x14ac:dyDescent="0.2">
      <c r="B191" s="445"/>
      <c r="C191" s="689" t="str">
        <f t="shared" si="38"/>
        <v xml:space="preserve">Option 5: </v>
      </c>
      <c r="D191" s="542" t="str">
        <f>$D$46</f>
        <v>Cost 5</v>
      </c>
      <c r="E191" s="519" t="s">
        <v>104</v>
      </c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446"/>
      <c r="AB191" s="447"/>
    </row>
    <row r="192" spans="2:28" x14ac:dyDescent="0.2">
      <c r="B192" s="445"/>
      <c r="C192" s="689" t="str">
        <f t="shared" si="38"/>
        <v xml:space="preserve">Option 5: </v>
      </c>
      <c r="D192" s="542" t="s">
        <v>278</v>
      </c>
      <c r="E192" s="519" t="s">
        <v>104</v>
      </c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446"/>
      <c r="AB192" s="447"/>
    </row>
    <row r="193" spans="2:28" x14ac:dyDescent="0.2">
      <c r="B193" s="445"/>
      <c r="C193" s="689" t="str">
        <f t="shared" si="38"/>
        <v xml:space="preserve">Option 5: </v>
      </c>
      <c r="D193" s="542" t="s">
        <v>279</v>
      </c>
      <c r="E193" s="519" t="s">
        <v>104</v>
      </c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446"/>
      <c r="AB193" s="447"/>
    </row>
    <row r="194" spans="2:28" x14ac:dyDescent="0.2">
      <c r="B194" s="445"/>
      <c r="C194" s="689" t="str">
        <f t="shared" si="38"/>
        <v xml:space="preserve">Option 5: </v>
      </c>
      <c r="D194" s="542" t="s">
        <v>280</v>
      </c>
      <c r="E194" s="519" t="s">
        <v>104</v>
      </c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446"/>
      <c r="AB194" s="447"/>
    </row>
    <row r="195" spans="2:28" x14ac:dyDescent="0.2">
      <c r="B195" s="445"/>
      <c r="C195" s="689" t="str">
        <f t="shared" si="38"/>
        <v xml:space="preserve">Option 5: </v>
      </c>
      <c r="D195" s="542" t="s">
        <v>281</v>
      </c>
      <c r="E195" s="519" t="s">
        <v>104</v>
      </c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446"/>
      <c r="AB195" s="447"/>
    </row>
    <row r="196" spans="2:28" x14ac:dyDescent="0.2">
      <c r="B196" s="445"/>
      <c r="C196" s="689" t="str">
        <f t="shared" si="38"/>
        <v xml:space="preserve">Option 5: </v>
      </c>
      <c r="D196" s="542" t="s">
        <v>282</v>
      </c>
      <c r="E196" s="519" t="s">
        <v>104</v>
      </c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446"/>
      <c r="AB196" s="447"/>
    </row>
    <row r="197" spans="2:28" x14ac:dyDescent="0.2">
      <c r="B197" s="445"/>
      <c r="C197" s="446"/>
      <c r="D197" s="532"/>
      <c r="E197" s="533"/>
      <c r="F197" s="446"/>
      <c r="G197" s="446"/>
      <c r="H197" s="446"/>
      <c r="I197" s="446"/>
      <c r="J197" s="446"/>
      <c r="K197" s="512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500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2" t="s">
        <v>195</v>
      </c>
      <c r="E200" s="51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4" t="s">
        <v>196</v>
      </c>
      <c r="E202" s="555"/>
      <c r="F202" s="556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6"/>
      <c r="E203" s="51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4">
        <f>IF(F202=1,"Is the augmentation component over $5m?",0)</f>
        <v>0</v>
      </c>
      <c r="E204" s="555"/>
      <c r="F204" s="556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5"/>
      <c r="F206" s="556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6"/>
      <c r="F207" s="446"/>
      <c r="G207" s="553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7">
        <f>IF(AND(F202=1,F204=1),"Regulatory Investment Test is required!!!",0)</f>
        <v>0</v>
      </c>
      <c r="E208" s="51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8" t="str">
        <f>IF(OR(F202=2,F204=2),"Regulatory Investment Test is not compulsory for this business case, but recommended.",0)</f>
        <v>Regulatory Investment Test is not compulsory for this business case, but recommended.</v>
      </c>
      <c r="E209" s="555"/>
      <c r="F209" s="494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2" t="s">
        <v>118</v>
      </c>
      <c r="E212" s="51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4">
        <v>1</v>
      </c>
      <c r="D214" s="559" t="str">
        <f>IF($F$206=1,"VCR - NOT APPLICABLE","Value of Electricity to Customers (VCR)")</f>
        <v>Value of Electricity to Customers (VCR)</v>
      </c>
      <c r="E214" s="562" t="s">
        <v>217</v>
      </c>
      <c r="F214" s="563" t="s">
        <v>251</v>
      </c>
      <c r="G214" s="563">
        <f t="shared" ref="G214:Z214" si="39">G$186</f>
        <v>2018</v>
      </c>
      <c r="H214" s="563">
        <f t="shared" si="39"/>
        <v>2019</v>
      </c>
      <c r="I214" s="563">
        <f t="shared" si="39"/>
        <v>2020</v>
      </c>
      <c r="J214" s="563">
        <f t="shared" si="39"/>
        <v>2021</v>
      </c>
      <c r="K214" s="563">
        <f t="shared" si="39"/>
        <v>2022</v>
      </c>
      <c r="L214" s="563">
        <f t="shared" si="39"/>
        <v>2023</v>
      </c>
      <c r="M214" s="563">
        <f t="shared" si="39"/>
        <v>2024</v>
      </c>
      <c r="N214" s="563">
        <f t="shared" si="39"/>
        <v>2025</v>
      </c>
      <c r="O214" s="563">
        <f t="shared" si="39"/>
        <v>2026</v>
      </c>
      <c r="P214" s="563">
        <f t="shared" si="39"/>
        <v>2027</v>
      </c>
      <c r="Q214" s="563">
        <f t="shared" si="39"/>
        <v>2028</v>
      </c>
      <c r="R214" s="563">
        <f t="shared" si="39"/>
        <v>2029</v>
      </c>
      <c r="S214" s="563">
        <f t="shared" si="39"/>
        <v>2030</v>
      </c>
      <c r="T214" s="563">
        <f t="shared" si="39"/>
        <v>2031</v>
      </c>
      <c r="U214" s="563">
        <f t="shared" si="39"/>
        <v>2032</v>
      </c>
      <c r="V214" s="563">
        <f t="shared" si="39"/>
        <v>2033</v>
      </c>
      <c r="W214" s="563">
        <f t="shared" si="39"/>
        <v>2034</v>
      </c>
      <c r="X214" s="563">
        <f t="shared" si="39"/>
        <v>2035</v>
      </c>
      <c r="Y214" s="563">
        <f t="shared" si="39"/>
        <v>2036</v>
      </c>
      <c r="Z214" s="563">
        <f t="shared" si="39"/>
        <v>2037</v>
      </c>
      <c r="AA214" s="446"/>
      <c r="AB214" s="447"/>
    </row>
    <row r="215" spans="1:127" x14ac:dyDescent="0.2">
      <c r="B215" s="445"/>
      <c r="C215" s="534"/>
      <c r="D215" s="544" t="str">
        <f>IF($F$206=1,"VCR - N/A",$D$24)</f>
        <v>"Status Quo" Reference Case</v>
      </c>
      <c r="E215" s="560" t="str">
        <f t="shared" ref="E215:E220" si="40">IF($F$206=1," ","(MWh)")</f>
        <v>(MWh)</v>
      </c>
      <c r="F215" s="281"/>
      <c r="G215" s="549">
        <v>1000</v>
      </c>
      <c r="H215" s="549">
        <v>1000</v>
      </c>
      <c r="I215" s="549">
        <v>1000</v>
      </c>
      <c r="J215" s="549">
        <v>1000</v>
      </c>
      <c r="K215" s="549">
        <v>1000</v>
      </c>
      <c r="L215" s="549">
        <v>1000</v>
      </c>
      <c r="M215" s="549">
        <v>1000</v>
      </c>
      <c r="N215" s="549">
        <v>1000</v>
      </c>
      <c r="O215" s="549">
        <v>1000</v>
      </c>
      <c r="P215" s="549">
        <v>1000</v>
      </c>
      <c r="Q215" s="549">
        <v>1000</v>
      </c>
      <c r="R215" s="549">
        <v>1000</v>
      </c>
      <c r="S215" s="549">
        <v>1000</v>
      </c>
      <c r="T215" s="549">
        <v>1000</v>
      </c>
      <c r="U215" s="549">
        <v>1000</v>
      </c>
      <c r="V215" s="549">
        <v>1000</v>
      </c>
      <c r="W215" s="549">
        <v>1000</v>
      </c>
      <c r="X215" s="549">
        <v>1000</v>
      </c>
      <c r="Y215" s="549">
        <v>1000</v>
      </c>
      <c r="Z215" s="549">
        <v>1000</v>
      </c>
      <c r="AA215" s="446"/>
      <c r="AB215" s="447"/>
    </row>
    <row r="216" spans="1:127" x14ac:dyDescent="0.2">
      <c r="B216" s="445"/>
      <c r="C216" s="534"/>
      <c r="D216" s="544" t="str">
        <f>IF($F$206=1,"VCR - N/A",$D$53)</f>
        <v>Option 1: Animal Proofing</v>
      </c>
      <c r="E216" s="560" t="str">
        <f t="shared" si="40"/>
        <v>(MWh)</v>
      </c>
      <c r="F216" s="281"/>
      <c r="G216" s="549">
        <v>1000</v>
      </c>
      <c r="H216" s="549">
        <v>1000</v>
      </c>
      <c r="I216" s="549">
        <v>1000</v>
      </c>
      <c r="J216" s="549">
        <v>1000</v>
      </c>
      <c r="K216" s="549">
        <v>1000</v>
      </c>
      <c r="L216" s="549">
        <v>1000</v>
      </c>
      <c r="M216" s="549">
        <v>1000</v>
      </c>
      <c r="N216" s="549">
        <v>1000</v>
      </c>
      <c r="O216" s="549">
        <v>1000</v>
      </c>
      <c r="P216" s="549">
        <v>1000</v>
      </c>
      <c r="Q216" s="549">
        <v>1000</v>
      </c>
      <c r="R216" s="549">
        <v>1000</v>
      </c>
      <c r="S216" s="549">
        <v>1000</v>
      </c>
      <c r="T216" s="549">
        <v>1000</v>
      </c>
      <c r="U216" s="549">
        <v>1000</v>
      </c>
      <c r="V216" s="549">
        <v>1000</v>
      </c>
      <c r="W216" s="549">
        <v>1000</v>
      </c>
      <c r="X216" s="549">
        <v>1000</v>
      </c>
      <c r="Y216" s="549">
        <v>1000</v>
      </c>
      <c r="Z216" s="549">
        <v>1000</v>
      </c>
      <c r="AA216" s="446"/>
      <c r="AB216" s="447"/>
    </row>
    <row r="217" spans="1:127" x14ac:dyDescent="0.2">
      <c r="B217" s="445"/>
      <c r="C217" s="534"/>
      <c r="D217" s="544" t="str">
        <f>IF($F$206=1,"VCR - N/A",$D$82)</f>
        <v xml:space="preserve">Option 2: </v>
      </c>
      <c r="E217" s="560" t="str">
        <f t="shared" si="40"/>
        <v>(MWh)</v>
      </c>
      <c r="F217" s="281"/>
      <c r="G217" s="549">
        <v>1000</v>
      </c>
      <c r="H217" s="549">
        <v>1000</v>
      </c>
      <c r="I217" s="549">
        <v>1000</v>
      </c>
      <c r="J217" s="549">
        <v>1000</v>
      </c>
      <c r="K217" s="549">
        <v>1000</v>
      </c>
      <c r="L217" s="549">
        <v>1000</v>
      </c>
      <c r="M217" s="549">
        <v>1000</v>
      </c>
      <c r="N217" s="549">
        <v>1000</v>
      </c>
      <c r="O217" s="549">
        <v>1000</v>
      </c>
      <c r="P217" s="549">
        <v>1000</v>
      </c>
      <c r="Q217" s="549">
        <v>1000</v>
      </c>
      <c r="R217" s="549">
        <v>1000</v>
      </c>
      <c r="S217" s="549">
        <v>1000</v>
      </c>
      <c r="T217" s="549">
        <v>1000</v>
      </c>
      <c r="U217" s="549">
        <v>1000</v>
      </c>
      <c r="V217" s="549">
        <v>1000</v>
      </c>
      <c r="W217" s="549">
        <v>1000</v>
      </c>
      <c r="X217" s="549">
        <v>1000</v>
      </c>
      <c r="Y217" s="549">
        <v>1000</v>
      </c>
      <c r="Z217" s="549">
        <v>1000</v>
      </c>
      <c r="AA217" s="446"/>
      <c r="AB217" s="447"/>
    </row>
    <row r="218" spans="1:127" x14ac:dyDescent="0.2">
      <c r="B218" s="445"/>
      <c r="C218" s="534"/>
      <c r="D218" s="544" t="str">
        <f>IF($F$206=1,"VCR - N/A",$D$111)</f>
        <v xml:space="preserve">Option 3: </v>
      </c>
      <c r="E218" s="560" t="str">
        <f t="shared" si="40"/>
        <v>(MWh)</v>
      </c>
      <c r="F218" s="281"/>
      <c r="G218" s="549">
        <v>1000</v>
      </c>
      <c r="H218" s="549">
        <v>1000</v>
      </c>
      <c r="I218" s="549">
        <v>1000</v>
      </c>
      <c r="J218" s="549">
        <v>1000</v>
      </c>
      <c r="K218" s="549">
        <v>1000</v>
      </c>
      <c r="L218" s="549">
        <v>1000</v>
      </c>
      <c r="M218" s="549">
        <v>1000</v>
      </c>
      <c r="N218" s="549">
        <v>1000</v>
      </c>
      <c r="O218" s="549">
        <v>1000</v>
      </c>
      <c r="P218" s="549">
        <v>1000</v>
      </c>
      <c r="Q218" s="549">
        <v>1000</v>
      </c>
      <c r="R218" s="549">
        <v>1000</v>
      </c>
      <c r="S218" s="549">
        <v>1000</v>
      </c>
      <c r="T218" s="549">
        <v>1000</v>
      </c>
      <c r="U218" s="549">
        <v>1000</v>
      </c>
      <c r="V218" s="549">
        <v>1000</v>
      </c>
      <c r="W218" s="549">
        <v>1000</v>
      </c>
      <c r="X218" s="549">
        <v>1000</v>
      </c>
      <c r="Y218" s="549">
        <v>1000</v>
      </c>
      <c r="Z218" s="549">
        <v>1000</v>
      </c>
      <c r="AA218" s="446"/>
      <c r="AB218" s="447"/>
    </row>
    <row r="219" spans="1:127" x14ac:dyDescent="0.2">
      <c r="B219" s="445"/>
      <c r="C219" s="534"/>
      <c r="D219" s="544" t="str">
        <f>IF($F$206=1,"VCR - N/A",$D$140)</f>
        <v xml:space="preserve">Option 4: </v>
      </c>
      <c r="E219" s="560" t="str">
        <f t="shared" si="40"/>
        <v>(MWh)</v>
      </c>
      <c r="F219" s="281"/>
      <c r="G219" s="549">
        <v>1000</v>
      </c>
      <c r="H219" s="549">
        <v>1000</v>
      </c>
      <c r="I219" s="549">
        <v>1000</v>
      </c>
      <c r="J219" s="549">
        <v>1000</v>
      </c>
      <c r="K219" s="549">
        <v>1000</v>
      </c>
      <c r="L219" s="549">
        <v>1000</v>
      </c>
      <c r="M219" s="549">
        <v>1000</v>
      </c>
      <c r="N219" s="549">
        <v>1000</v>
      </c>
      <c r="O219" s="549">
        <v>1000</v>
      </c>
      <c r="P219" s="549">
        <v>1000</v>
      </c>
      <c r="Q219" s="549">
        <v>1000</v>
      </c>
      <c r="R219" s="549">
        <v>1000</v>
      </c>
      <c r="S219" s="549">
        <v>1000</v>
      </c>
      <c r="T219" s="549">
        <v>1000</v>
      </c>
      <c r="U219" s="549">
        <v>1000</v>
      </c>
      <c r="V219" s="549">
        <v>1000</v>
      </c>
      <c r="W219" s="549">
        <v>1000</v>
      </c>
      <c r="X219" s="549">
        <v>1000</v>
      </c>
      <c r="Y219" s="549">
        <v>1000</v>
      </c>
      <c r="Z219" s="549">
        <v>1000</v>
      </c>
      <c r="AA219" s="446"/>
      <c r="AB219" s="447"/>
    </row>
    <row r="220" spans="1:127" x14ac:dyDescent="0.2">
      <c r="B220" s="445"/>
      <c r="C220" s="534"/>
      <c r="D220" s="544" t="str">
        <f>IF($F$206=1,"VCR - N/A",$D$169)</f>
        <v xml:space="preserve">Option 5: </v>
      </c>
      <c r="E220" s="560" t="str">
        <f t="shared" si="40"/>
        <v>(MWh)</v>
      </c>
      <c r="F220" s="281"/>
      <c r="G220" s="549">
        <v>1000</v>
      </c>
      <c r="H220" s="549">
        <v>1000</v>
      </c>
      <c r="I220" s="549">
        <v>1000</v>
      </c>
      <c r="J220" s="549">
        <v>1000</v>
      </c>
      <c r="K220" s="549">
        <v>1000</v>
      </c>
      <c r="L220" s="549">
        <v>1000</v>
      </c>
      <c r="M220" s="549">
        <v>1000</v>
      </c>
      <c r="N220" s="549">
        <v>1000</v>
      </c>
      <c r="O220" s="549">
        <v>1000</v>
      </c>
      <c r="P220" s="549">
        <v>1000</v>
      </c>
      <c r="Q220" s="549">
        <v>1000</v>
      </c>
      <c r="R220" s="549">
        <v>1000</v>
      </c>
      <c r="S220" s="549">
        <v>1000</v>
      </c>
      <c r="T220" s="549">
        <v>1000</v>
      </c>
      <c r="U220" s="549">
        <v>1000</v>
      </c>
      <c r="V220" s="549">
        <v>1000</v>
      </c>
      <c r="W220" s="549">
        <v>1000</v>
      </c>
      <c r="X220" s="549">
        <v>1000</v>
      </c>
      <c r="Y220" s="549">
        <v>1000</v>
      </c>
      <c r="Z220" s="549">
        <v>1000</v>
      </c>
      <c r="AA220" s="446"/>
      <c r="AB220" s="447"/>
    </row>
    <row r="221" spans="1:127" x14ac:dyDescent="0.2">
      <c r="B221" s="445"/>
      <c r="C221" s="534"/>
      <c r="D221" s="567">
        <f>IF(F206=1,"Reliability corrective actions are not capacity requirements therefore there is zero VCR benefit.",0)</f>
        <v>0</v>
      </c>
      <c r="E221" s="51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5"/>
      <c r="B222" s="445"/>
      <c r="C222" s="534">
        <v>2</v>
      </c>
      <c r="D222" s="559" t="s">
        <v>211</v>
      </c>
      <c r="E222" s="562" t="s">
        <v>214</v>
      </c>
      <c r="F222" s="563"/>
      <c r="G222" s="563">
        <f t="shared" ref="G222:Z222" si="41">G$186</f>
        <v>2018</v>
      </c>
      <c r="H222" s="563">
        <f t="shared" si="41"/>
        <v>2019</v>
      </c>
      <c r="I222" s="563">
        <f t="shared" si="41"/>
        <v>2020</v>
      </c>
      <c r="J222" s="563">
        <f t="shared" si="41"/>
        <v>2021</v>
      </c>
      <c r="K222" s="563">
        <f t="shared" si="41"/>
        <v>2022</v>
      </c>
      <c r="L222" s="563">
        <f t="shared" si="41"/>
        <v>2023</v>
      </c>
      <c r="M222" s="563">
        <f t="shared" si="41"/>
        <v>2024</v>
      </c>
      <c r="N222" s="563">
        <f t="shared" si="41"/>
        <v>2025</v>
      </c>
      <c r="O222" s="563">
        <f t="shared" si="41"/>
        <v>2026</v>
      </c>
      <c r="P222" s="563">
        <f t="shared" si="41"/>
        <v>2027</v>
      </c>
      <c r="Q222" s="563">
        <f t="shared" si="41"/>
        <v>2028</v>
      </c>
      <c r="R222" s="563">
        <f t="shared" si="41"/>
        <v>2029</v>
      </c>
      <c r="S222" s="563">
        <f t="shared" si="41"/>
        <v>2030</v>
      </c>
      <c r="T222" s="563">
        <f t="shared" si="41"/>
        <v>2031</v>
      </c>
      <c r="U222" s="563">
        <f t="shared" si="41"/>
        <v>2032</v>
      </c>
      <c r="V222" s="563">
        <f t="shared" si="41"/>
        <v>2033</v>
      </c>
      <c r="W222" s="563">
        <f t="shared" si="41"/>
        <v>2034</v>
      </c>
      <c r="X222" s="563">
        <f t="shared" si="41"/>
        <v>2035</v>
      </c>
      <c r="Y222" s="563">
        <f t="shared" si="41"/>
        <v>2036</v>
      </c>
      <c r="Z222" s="563">
        <f t="shared" si="41"/>
        <v>2037</v>
      </c>
      <c r="AA222" s="446"/>
      <c r="AB222" s="447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  <c r="AM222" s="515"/>
      <c r="AN222" s="515"/>
      <c r="AO222" s="515"/>
      <c r="AP222" s="515"/>
      <c r="AQ222" s="515"/>
      <c r="AR222" s="515"/>
      <c r="AS222" s="515"/>
      <c r="AT222" s="515"/>
      <c r="AU222" s="515"/>
      <c r="AV222" s="515"/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  <c r="CR222" s="515"/>
      <c r="CS222" s="515"/>
      <c r="CT222" s="515"/>
      <c r="CU222" s="515"/>
      <c r="CV222" s="515"/>
      <c r="CW222" s="515"/>
      <c r="CX222" s="515"/>
      <c r="CY222" s="515"/>
      <c r="CZ222" s="515"/>
      <c r="DA222" s="515"/>
      <c r="DB222" s="515"/>
      <c r="DC222" s="515"/>
      <c r="DD222" s="515"/>
      <c r="DE222" s="515"/>
      <c r="DF222" s="515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5"/>
      <c r="DQ222" s="515"/>
      <c r="DR222" s="515"/>
      <c r="DS222" s="515"/>
      <c r="DT222" s="515"/>
      <c r="DU222" s="515"/>
      <c r="DV222" s="515"/>
      <c r="DW222" s="515"/>
    </row>
    <row r="223" spans="1:127" x14ac:dyDescent="0.2">
      <c r="B223" s="445"/>
      <c r="C223" s="534"/>
      <c r="D223" s="544" t="str">
        <f>$D$24</f>
        <v>"Status Quo" Reference Case</v>
      </c>
      <c r="E223" s="560" t="s">
        <v>174</v>
      </c>
      <c r="F223" s="281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446"/>
      <c r="AB223" s="447"/>
    </row>
    <row r="224" spans="1:127" x14ac:dyDescent="0.2">
      <c r="B224" s="445"/>
      <c r="C224" s="534"/>
      <c r="D224" s="544" t="str">
        <f>$D$53</f>
        <v>Option 1: Animal Proofing</v>
      </c>
      <c r="E224" s="560" t="s">
        <v>174</v>
      </c>
      <c r="F224" s="281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549"/>
      <c r="Y224" s="549"/>
      <c r="Z224" s="549"/>
      <c r="AA224" s="446"/>
      <c r="AB224" s="447"/>
    </row>
    <row r="225" spans="1:127" x14ac:dyDescent="0.2">
      <c r="B225" s="445"/>
      <c r="C225" s="534"/>
      <c r="D225" s="544" t="str">
        <f>$D$82</f>
        <v xml:space="preserve">Option 2: </v>
      </c>
      <c r="E225" s="560" t="s">
        <v>174</v>
      </c>
      <c r="F225" s="281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446"/>
      <c r="AB225" s="447"/>
    </row>
    <row r="226" spans="1:127" x14ac:dyDescent="0.2">
      <c r="B226" s="445"/>
      <c r="C226" s="534"/>
      <c r="D226" s="544" t="str">
        <f>$D$111</f>
        <v xml:space="preserve">Option 3: </v>
      </c>
      <c r="E226" s="560" t="s">
        <v>174</v>
      </c>
      <c r="F226" s="281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446"/>
      <c r="AB226" s="447"/>
    </row>
    <row r="227" spans="1:127" x14ac:dyDescent="0.2">
      <c r="B227" s="445"/>
      <c r="C227" s="534"/>
      <c r="D227" s="544" t="str">
        <f>$D$140</f>
        <v xml:space="preserve">Option 4: </v>
      </c>
      <c r="E227" s="560" t="s">
        <v>174</v>
      </c>
      <c r="F227" s="281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446"/>
      <c r="AB227" s="447"/>
    </row>
    <row r="228" spans="1:127" x14ac:dyDescent="0.2">
      <c r="B228" s="445"/>
      <c r="C228" s="534"/>
      <c r="D228" s="544" t="str">
        <f>$D$169</f>
        <v xml:space="preserve">Option 5: </v>
      </c>
      <c r="E228" s="560" t="s">
        <v>174</v>
      </c>
      <c r="F228" s="281"/>
      <c r="G228" s="549"/>
      <c r="H228" s="549"/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549"/>
      <c r="Z228" s="549"/>
      <c r="AA228" s="446"/>
      <c r="AB228" s="447"/>
    </row>
    <row r="229" spans="1:127" x14ac:dyDescent="0.2">
      <c r="B229" s="445"/>
      <c r="C229" s="534"/>
      <c r="D229" s="568"/>
      <c r="E229" s="516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516"/>
      <c r="T229" s="516"/>
      <c r="U229" s="516"/>
      <c r="V229" s="516"/>
      <c r="W229" s="516"/>
      <c r="X229" s="516"/>
      <c r="Y229" s="516"/>
      <c r="Z229" s="516"/>
      <c r="AA229" s="446"/>
      <c r="AB229" s="447"/>
    </row>
    <row r="230" spans="1:127" x14ac:dyDescent="0.2">
      <c r="B230" s="445"/>
      <c r="C230" s="534">
        <v>3</v>
      </c>
      <c r="D230" s="559" t="s">
        <v>212</v>
      </c>
      <c r="E230" s="562" t="s">
        <v>215</v>
      </c>
      <c r="F230" s="563"/>
      <c r="G230" s="563">
        <f t="shared" ref="G230:Z230" si="42">G$186</f>
        <v>2018</v>
      </c>
      <c r="H230" s="563">
        <f t="shared" si="42"/>
        <v>2019</v>
      </c>
      <c r="I230" s="563">
        <f t="shared" si="42"/>
        <v>2020</v>
      </c>
      <c r="J230" s="563">
        <f t="shared" si="42"/>
        <v>2021</v>
      </c>
      <c r="K230" s="563">
        <f t="shared" si="42"/>
        <v>2022</v>
      </c>
      <c r="L230" s="563">
        <f t="shared" si="42"/>
        <v>2023</v>
      </c>
      <c r="M230" s="563">
        <f t="shared" si="42"/>
        <v>2024</v>
      </c>
      <c r="N230" s="563">
        <f t="shared" si="42"/>
        <v>2025</v>
      </c>
      <c r="O230" s="563">
        <f t="shared" si="42"/>
        <v>2026</v>
      </c>
      <c r="P230" s="563">
        <f t="shared" si="42"/>
        <v>2027</v>
      </c>
      <c r="Q230" s="563">
        <f t="shared" si="42"/>
        <v>2028</v>
      </c>
      <c r="R230" s="563">
        <f t="shared" si="42"/>
        <v>2029</v>
      </c>
      <c r="S230" s="563">
        <f t="shared" si="42"/>
        <v>2030</v>
      </c>
      <c r="T230" s="563">
        <f t="shared" si="42"/>
        <v>2031</v>
      </c>
      <c r="U230" s="563">
        <f t="shared" si="42"/>
        <v>2032</v>
      </c>
      <c r="V230" s="563">
        <f t="shared" si="42"/>
        <v>2033</v>
      </c>
      <c r="W230" s="563">
        <f t="shared" si="42"/>
        <v>2034</v>
      </c>
      <c r="X230" s="563">
        <f t="shared" si="42"/>
        <v>2035</v>
      </c>
      <c r="Y230" s="563">
        <f t="shared" si="42"/>
        <v>2036</v>
      </c>
      <c r="Z230" s="563">
        <f t="shared" si="42"/>
        <v>2037</v>
      </c>
      <c r="AA230" s="446"/>
      <c r="AB230" s="447"/>
    </row>
    <row r="231" spans="1:127" x14ac:dyDescent="0.2">
      <c r="B231" s="445"/>
      <c r="C231" s="534"/>
      <c r="D231" s="544" t="str">
        <f>$D$24</f>
        <v>"Status Quo" Reference Case</v>
      </c>
      <c r="E231" s="560" t="s">
        <v>104</v>
      </c>
      <c r="F231" s="281"/>
      <c r="G231" s="549"/>
      <c r="H231" s="549"/>
      <c r="I231" s="549"/>
      <c r="J231" s="549"/>
      <c r="K231" s="549"/>
      <c r="L231" s="549"/>
      <c r="M231" s="549"/>
      <c r="N231" s="549"/>
      <c r="O231" s="549"/>
      <c r="P231" s="549"/>
      <c r="Q231" s="549"/>
      <c r="R231" s="549"/>
      <c r="S231" s="549"/>
      <c r="T231" s="549"/>
      <c r="U231" s="549"/>
      <c r="V231" s="549"/>
      <c r="W231" s="549"/>
      <c r="X231" s="549"/>
      <c r="Y231" s="549"/>
      <c r="Z231" s="549"/>
      <c r="AA231" s="446"/>
      <c r="AB231" s="447"/>
    </row>
    <row r="232" spans="1:127" x14ac:dyDescent="0.2">
      <c r="B232" s="445"/>
      <c r="C232" s="534"/>
      <c r="D232" s="544" t="str">
        <f>$D$53</f>
        <v>Option 1: Animal Proofing</v>
      </c>
      <c r="E232" s="560" t="s">
        <v>104</v>
      </c>
      <c r="F232" s="281"/>
      <c r="G232" s="549"/>
      <c r="H232" s="549"/>
      <c r="I232" s="549"/>
      <c r="J232" s="549"/>
      <c r="K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446"/>
      <c r="AB232" s="447"/>
    </row>
    <row r="233" spans="1:127" x14ac:dyDescent="0.2">
      <c r="B233" s="445"/>
      <c r="C233" s="534"/>
      <c r="D233" s="544" t="str">
        <f>$D$82</f>
        <v xml:space="preserve">Option 2: </v>
      </c>
      <c r="E233" s="560" t="s">
        <v>104</v>
      </c>
      <c r="F233" s="281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446"/>
      <c r="AB233" s="447"/>
    </row>
    <row r="234" spans="1:127" x14ac:dyDescent="0.2">
      <c r="B234" s="445"/>
      <c r="C234" s="534"/>
      <c r="D234" s="544" t="str">
        <f>$D$111</f>
        <v xml:space="preserve">Option 3: </v>
      </c>
      <c r="E234" s="560" t="s">
        <v>104</v>
      </c>
      <c r="F234" s="281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446"/>
      <c r="AB234" s="447"/>
    </row>
    <row r="235" spans="1:127" x14ac:dyDescent="0.2">
      <c r="B235" s="445"/>
      <c r="C235" s="534"/>
      <c r="D235" s="544" t="str">
        <f>$D$140</f>
        <v xml:space="preserve">Option 4: </v>
      </c>
      <c r="E235" s="560" t="s">
        <v>104</v>
      </c>
      <c r="F235" s="281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446"/>
      <c r="AB235" s="447"/>
    </row>
    <row r="236" spans="1:127" x14ac:dyDescent="0.2">
      <c r="B236" s="445"/>
      <c r="C236" s="534"/>
      <c r="D236" s="544" t="str">
        <f>$D$169</f>
        <v xml:space="preserve">Option 5: </v>
      </c>
      <c r="E236" s="560" t="s">
        <v>104</v>
      </c>
      <c r="F236" s="281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549"/>
      <c r="Z236" s="549"/>
      <c r="AA236" s="446"/>
      <c r="AB236" s="447"/>
    </row>
    <row r="237" spans="1:127" x14ac:dyDescent="0.2">
      <c r="B237" s="445"/>
      <c r="C237" s="534"/>
      <c r="D237" s="568"/>
      <c r="E237" s="516"/>
      <c r="F237" s="516"/>
      <c r="G237" s="516"/>
      <c r="H237" s="516"/>
      <c r="I237" s="516"/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446"/>
      <c r="AB237" s="447"/>
    </row>
    <row r="238" spans="1:127" x14ac:dyDescent="0.2">
      <c r="B238" s="445"/>
      <c r="C238" s="534">
        <v>4</v>
      </c>
      <c r="D238" s="559" t="s">
        <v>213</v>
      </c>
      <c r="E238" s="562" t="s">
        <v>216</v>
      </c>
      <c r="F238" s="563"/>
      <c r="G238" s="563">
        <f t="shared" ref="G238:Z238" si="43">G$186</f>
        <v>2018</v>
      </c>
      <c r="H238" s="563">
        <f t="shared" si="43"/>
        <v>2019</v>
      </c>
      <c r="I238" s="563">
        <f t="shared" si="43"/>
        <v>2020</v>
      </c>
      <c r="J238" s="563">
        <f t="shared" si="43"/>
        <v>2021</v>
      </c>
      <c r="K238" s="563">
        <f t="shared" si="43"/>
        <v>2022</v>
      </c>
      <c r="L238" s="563">
        <f t="shared" si="43"/>
        <v>2023</v>
      </c>
      <c r="M238" s="563">
        <f t="shared" si="43"/>
        <v>2024</v>
      </c>
      <c r="N238" s="563">
        <f t="shared" si="43"/>
        <v>2025</v>
      </c>
      <c r="O238" s="563">
        <f t="shared" si="43"/>
        <v>2026</v>
      </c>
      <c r="P238" s="563">
        <f t="shared" si="43"/>
        <v>2027</v>
      </c>
      <c r="Q238" s="563">
        <f t="shared" si="43"/>
        <v>2028</v>
      </c>
      <c r="R238" s="563">
        <f t="shared" si="43"/>
        <v>2029</v>
      </c>
      <c r="S238" s="563">
        <f t="shared" si="43"/>
        <v>2030</v>
      </c>
      <c r="T238" s="563">
        <f t="shared" si="43"/>
        <v>2031</v>
      </c>
      <c r="U238" s="563">
        <f t="shared" si="43"/>
        <v>2032</v>
      </c>
      <c r="V238" s="563">
        <f t="shared" si="43"/>
        <v>2033</v>
      </c>
      <c r="W238" s="563">
        <f t="shared" si="43"/>
        <v>2034</v>
      </c>
      <c r="X238" s="563">
        <f t="shared" si="43"/>
        <v>2035</v>
      </c>
      <c r="Y238" s="563">
        <f t="shared" si="43"/>
        <v>2036</v>
      </c>
      <c r="Z238" s="563">
        <f t="shared" si="43"/>
        <v>2037</v>
      </c>
      <c r="AA238" s="446"/>
      <c r="AB238" s="447"/>
    </row>
    <row r="239" spans="1:127" s="343" customFormat="1" x14ac:dyDescent="0.2">
      <c r="A239" s="515"/>
      <c r="B239" s="445"/>
      <c r="C239" s="534"/>
      <c r="D239" s="544" t="str">
        <f>$D$24</f>
        <v>"Status Quo" Reference Case</v>
      </c>
      <c r="E239" s="560" t="s">
        <v>223</v>
      </c>
      <c r="F239" s="580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446"/>
      <c r="AB239" s="447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</row>
    <row r="240" spans="1:127" s="343" customFormat="1" x14ac:dyDescent="0.2">
      <c r="A240" s="515"/>
      <c r="B240" s="445"/>
      <c r="C240" s="534"/>
      <c r="D240" s="544" t="str">
        <f>$D$53</f>
        <v>Option 1: Animal Proofing</v>
      </c>
      <c r="E240" s="560" t="str">
        <f>E239</f>
        <v>Pending AER guideline</v>
      </c>
      <c r="F240" s="580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  <c r="T240" s="581"/>
      <c r="U240" s="581"/>
      <c r="V240" s="581"/>
      <c r="W240" s="581"/>
      <c r="X240" s="581"/>
      <c r="Y240" s="581"/>
      <c r="Z240" s="581"/>
      <c r="AA240" s="446"/>
      <c r="AB240" s="447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</row>
    <row r="241" spans="1:127" s="343" customFormat="1" x14ac:dyDescent="0.2">
      <c r="A241" s="515"/>
      <c r="B241" s="445"/>
      <c r="C241" s="534"/>
      <c r="D241" s="544" t="str">
        <f>$D$82</f>
        <v xml:space="preserve">Option 2: </v>
      </c>
      <c r="E241" s="560" t="str">
        <f>E240</f>
        <v>Pending AER guideline</v>
      </c>
      <c r="F241" s="580"/>
      <c r="G241" s="582"/>
      <c r="H241" s="582"/>
      <c r="I241" s="582"/>
      <c r="J241" s="582"/>
      <c r="K241" s="582"/>
      <c r="L241" s="582"/>
      <c r="M241" s="582"/>
      <c r="N241" s="582"/>
      <c r="O241" s="582"/>
      <c r="P241" s="582"/>
      <c r="Q241" s="582"/>
      <c r="R241" s="582"/>
      <c r="S241" s="582"/>
      <c r="T241" s="582"/>
      <c r="U241" s="582"/>
      <c r="V241" s="582"/>
      <c r="W241" s="582"/>
      <c r="X241" s="582"/>
      <c r="Y241" s="582"/>
      <c r="Z241" s="582"/>
      <c r="AA241" s="446"/>
      <c r="AB241" s="447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</row>
    <row r="242" spans="1:127" s="343" customFormat="1" x14ac:dyDescent="0.2">
      <c r="A242" s="515"/>
      <c r="B242" s="445"/>
      <c r="C242" s="534"/>
      <c r="D242" s="544" t="str">
        <f>$D$111</f>
        <v xml:space="preserve">Option 3: </v>
      </c>
      <c r="E242" s="560" t="str">
        <f>E241</f>
        <v>Pending AER guideline</v>
      </c>
      <c r="F242" s="580"/>
      <c r="G242" s="582"/>
      <c r="H242" s="582"/>
      <c r="I242" s="582"/>
      <c r="J242" s="582"/>
      <c r="K242" s="582"/>
      <c r="L242" s="582"/>
      <c r="M242" s="582"/>
      <c r="N242" s="582"/>
      <c r="O242" s="582"/>
      <c r="P242" s="582"/>
      <c r="Q242" s="582"/>
      <c r="R242" s="582"/>
      <c r="S242" s="582"/>
      <c r="T242" s="582"/>
      <c r="U242" s="582"/>
      <c r="V242" s="582"/>
      <c r="W242" s="582"/>
      <c r="X242" s="582"/>
      <c r="Y242" s="582"/>
      <c r="Z242" s="582"/>
      <c r="AA242" s="446"/>
      <c r="AB242" s="447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</row>
    <row r="243" spans="1:127" s="343" customFormat="1" x14ac:dyDescent="0.2">
      <c r="A243" s="515"/>
      <c r="B243" s="445"/>
      <c r="C243" s="534"/>
      <c r="D243" s="544" t="str">
        <f>$D$140</f>
        <v xml:space="preserve">Option 4: </v>
      </c>
      <c r="E243" s="560" t="str">
        <f>E242</f>
        <v>Pending AER guideline</v>
      </c>
      <c r="F243" s="580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2"/>
      <c r="Z243" s="582"/>
      <c r="AA243" s="446"/>
      <c r="AB243" s="447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</row>
    <row r="244" spans="1:127" s="343" customFormat="1" x14ac:dyDescent="0.2">
      <c r="A244" s="515"/>
      <c r="B244" s="445"/>
      <c r="C244" s="534"/>
      <c r="D244" s="544" t="str">
        <f>$D$169</f>
        <v xml:space="preserve">Option 5: </v>
      </c>
      <c r="E244" s="560" t="str">
        <f>E243</f>
        <v>Pending AER guideline</v>
      </c>
      <c r="F244" s="580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  <c r="T244" s="581"/>
      <c r="U244" s="581"/>
      <c r="V244" s="581"/>
      <c r="W244" s="581"/>
      <c r="X244" s="581"/>
      <c r="Y244" s="581"/>
      <c r="Z244" s="581"/>
      <c r="AA244" s="446"/>
      <c r="AB244" s="447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</row>
    <row r="245" spans="1:127" s="343" customFormat="1" x14ac:dyDescent="0.2">
      <c r="A245" s="515"/>
      <c r="B245" s="569"/>
      <c r="C245" s="534"/>
      <c r="D245" s="564"/>
      <c r="E245" s="570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</row>
    <row r="246" spans="1:127" s="343" customFormat="1" x14ac:dyDescent="0.2">
      <c r="A246" s="515"/>
      <c r="B246" s="445"/>
      <c r="C246" s="534">
        <v>5</v>
      </c>
      <c r="D246" s="559" t="s">
        <v>218</v>
      </c>
      <c r="E246" s="562" t="s">
        <v>219</v>
      </c>
      <c r="F246" s="563"/>
      <c r="G246" s="563">
        <f t="shared" ref="G246:Z246" si="44">G$186</f>
        <v>2018</v>
      </c>
      <c r="H246" s="563">
        <f t="shared" si="44"/>
        <v>2019</v>
      </c>
      <c r="I246" s="563">
        <f t="shared" si="44"/>
        <v>2020</v>
      </c>
      <c r="J246" s="563">
        <f t="shared" si="44"/>
        <v>2021</v>
      </c>
      <c r="K246" s="563">
        <f t="shared" si="44"/>
        <v>2022</v>
      </c>
      <c r="L246" s="563">
        <f t="shared" si="44"/>
        <v>2023</v>
      </c>
      <c r="M246" s="563">
        <f t="shared" si="44"/>
        <v>2024</v>
      </c>
      <c r="N246" s="563">
        <f t="shared" si="44"/>
        <v>2025</v>
      </c>
      <c r="O246" s="563">
        <f t="shared" si="44"/>
        <v>2026</v>
      </c>
      <c r="P246" s="563">
        <f t="shared" si="44"/>
        <v>2027</v>
      </c>
      <c r="Q246" s="563">
        <f t="shared" si="44"/>
        <v>2028</v>
      </c>
      <c r="R246" s="563">
        <f t="shared" si="44"/>
        <v>2029</v>
      </c>
      <c r="S246" s="563">
        <f t="shared" si="44"/>
        <v>2030</v>
      </c>
      <c r="T246" s="563">
        <f t="shared" si="44"/>
        <v>2031</v>
      </c>
      <c r="U246" s="563">
        <f t="shared" si="44"/>
        <v>2032</v>
      </c>
      <c r="V246" s="563">
        <f t="shared" si="44"/>
        <v>2033</v>
      </c>
      <c r="W246" s="563">
        <f t="shared" si="44"/>
        <v>2034</v>
      </c>
      <c r="X246" s="563">
        <f t="shared" si="44"/>
        <v>2035</v>
      </c>
      <c r="Y246" s="563">
        <f t="shared" si="44"/>
        <v>2036</v>
      </c>
      <c r="Z246" s="563">
        <f t="shared" si="44"/>
        <v>2037</v>
      </c>
      <c r="AA246" s="446"/>
      <c r="AB246" s="447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</row>
    <row r="247" spans="1:127" x14ac:dyDescent="0.2">
      <c r="B247" s="445"/>
      <c r="C247" s="534"/>
      <c r="D247" s="544" t="str">
        <f>$D$24</f>
        <v>"Status Quo" Reference Case</v>
      </c>
      <c r="E247" s="560" t="s">
        <v>174</v>
      </c>
      <c r="F247" s="281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446"/>
      <c r="AB247" s="447"/>
    </row>
    <row r="248" spans="1:127" x14ac:dyDescent="0.2">
      <c r="B248" s="445"/>
      <c r="C248" s="534"/>
      <c r="D248" s="544" t="str">
        <f>$D$53</f>
        <v>Option 1: Animal Proofing</v>
      </c>
      <c r="E248" s="560" t="s">
        <v>174</v>
      </c>
      <c r="F248" s="281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446"/>
      <c r="AB248" s="447"/>
    </row>
    <row r="249" spans="1:127" x14ac:dyDescent="0.2">
      <c r="B249" s="445"/>
      <c r="C249" s="534"/>
      <c r="D249" s="544" t="str">
        <f>$D$82</f>
        <v xml:space="preserve">Option 2: </v>
      </c>
      <c r="E249" s="560" t="s">
        <v>174</v>
      </c>
      <c r="F249" s="281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446"/>
      <c r="AB249" s="447"/>
    </row>
    <row r="250" spans="1:127" x14ac:dyDescent="0.2">
      <c r="B250" s="445"/>
      <c r="C250" s="534"/>
      <c r="D250" s="544" t="str">
        <f>$D$111</f>
        <v xml:space="preserve">Option 3: </v>
      </c>
      <c r="E250" s="560" t="s">
        <v>174</v>
      </c>
      <c r="F250" s="281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446"/>
      <c r="AB250" s="447"/>
    </row>
    <row r="251" spans="1:127" x14ac:dyDescent="0.2">
      <c r="B251" s="445"/>
      <c r="C251" s="534"/>
      <c r="D251" s="544" t="str">
        <f>$D$140</f>
        <v xml:space="preserve">Option 4: </v>
      </c>
      <c r="E251" s="560" t="s">
        <v>174</v>
      </c>
      <c r="F251" s="281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446"/>
      <c r="AB251" s="447"/>
    </row>
    <row r="252" spans="1:127" x14ac:dyDescent="0.2">
      <c r="B252" s="445"/>
      <c r="C252" s="534"/>
      <c r="D252" s="544" t="str">
        <f>$D$169</f>
        <v xml:space="preserve">Option 5: </v>
      </c>
      <c r="E252" s="560" t="s">
        <v>174</v>
      </c>
      <c r="F252" s="281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446"/>
      <c r="AB252" s="447"/>
    </row>
    <row r="253" spans="1:127" s="343" customFormat="1" x14ac:dyDescent="0.2">
      <c r="A253" s="515"/>
      <c r="B253" s="569"/>
      <c r="C253" s="534"/>
      <c r="D253" s="564"/>
      <c r="E253" s="570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  <c r="CF253" s="515"/>
      <c r="CG253" s="515"/>
      <c r="CH253" s="515"/>
      <c r="CI253" s="515"/>
      <c r="CJ253" s="515"/>
      <c r="CK253" s="515"/>
      <c r="CL253" s="515"/>
      <c r="CM253" s="515"/>
      <c r="CN253" s="515"/>
      <c r="CO253" s="515"/>
      <c r="CP253" s="515"/>
      <c r="CQ253" s="515"/>
      <c r="CR253" s="515"/>
      <c r="CS253" s="515"/>
      <c r="CT253" s="515"/>
      <c r="CU253" s="515"/>
      <c r="CV253" s="515"/>
      <c r="CW253" s="515"/>
      <c r="CX253" s="515"/>
      <c r="CY253" s="515"/>
      <c r="CZ253" s="515"/>
      <c r="DA253" s="515"/>
      <c r="DB253" s="515"/>
      <c r="DC253" s="515"/>
      <c r="DD253" s="515"/>
      <c r="DE253" s="515"/>
      <c r="DF253" s="515"/>
      <c r="DG253" s="515"/>
      <c r="DH253" s="515"/>
      <c r="DI253" s="515"/>
      <c r="DJ253" s="515"/>
      <c r="DK253" s="515"/>
      <c r="DL253" s="515"/>
      <c r="DM253" s="515"/>
      <c r="DN253" s="515"/>
      <c r="DO253" s="515"/>
      <c r="DP253" s="515"/>
      <c r="DQ253" s="515"/>
      <c r="DR253" s="515"/>
      <c r="DS253" s="515"/>
      <c r="DT253" s="515"/>
      <c r="DU253" s="515"/>
      <c r="DV253" s="515"/>
      <c r="DW253" s="515"/>
    </row>
    <row r="254" spans="1:127" s="343" customFormat="1" x14ac:dyDescent="0.2">
      <c r="A254" s="515"/>
      <c r="B254" s="445"/>
      <c r="C254" s="534">
        <v>6</v>
      </c>
      <c r="D254" s="559" t="s">
        <v>231</v>
      </c>
      <c r="E254" s="562" t="s">
        <v>222</v>
      </c>
      <c r="F254" s="563"/>
      <c r="G254" s="563">
        <f t="shared" ref="G254:Z254" si="45">G$186</f>
        <v>2018</v>
      </c>
      <c r="H254" s="563">
        <f t="shared" si="45"/>
        <v>2019</v>
      </c>
      <c r="I254" s="563">
        <f t="shared" si="45"/>
        <v>2020</v>
      </c>
      <c r="J254" s="563">
        <f t="shared" si="45"/>
        <v>2021</v>
      </c>
      <c r="K254" s="563">
        <f t="shared" si="45"/>
        <v>2022</v>
      </c>
      <c r="L254" s="563">
        <f t="shared" si="45"/>
        <v>2023</v>
      </c>
      <c r="M254" s="563">
        <f t="shared" si="45"/>
        <v>2024</v>
      </c>
      <c r="N254" s="563">
        <f t="shared" si="45"/>
        <v>2025</v>
      </c>
      <c r="O254" s="563">
        <f t="shared" si="45"/>
        <v>2026</v>
      </c>
      <c r="P254" s="563">
        <f t="shared" si="45"/>
        <v>2027</v>
      </c>
      <c r="Q254" s="563">
        <f t="shared" si="45"/>
        <v>2028</v>
      </c>
      <c r="R254" s="563">
        <f t="shared" si="45"/>
        <v>2029</v>
      </c>
      <c r="S254" s="563">
        <f t="shared" si="45"/>
        <v>2030</v>
      </c>
      <c r="T254" s="563">
        <f t="shared" si="45"/>
        <v>2031</v>
      </c>
      <c r="U254" s="563">
        <f t="shared" si="45"/>
        <v>2032</v>
      </c>
      <c r="V254" s="563">
        <f t="shared" si="45"/>
        <v>2033</v>
      </c>
      <c r="W254" s="563">
        <f t="shared" si="45"/>
        <v>2034</v>
      </c>
      <c r="X254" s="563">
        <f t="shared" si="45"/>
        <v>2035</v>
      </c>
      <c r="Y254" s="563">
        <f t="shared" si="45"/>
        <v>2036</v>
      </c>
      <c r="Z254" s="563">
        <f t="shared" si="45"/>
        <v>2037</v>
      </c>
      <c r="AA254" s="446"/>
      <c r="AB254" s="447"/>
      <c r="AC254" s="515"/>
      <c r="AD254" s="515"/>
      <c r="AE254" s="515"/>
      <c r="AF254" s="515"/>
      <c r="AG254" s="515"/>
      <c r="AH254" s="515"/>
      <c r="AI254" s="515"/>
      <c r="AJ254" s="515"/>
      <c r="AK254" s="515"/>
      <c r="AL254" s="515"/>
      <c r="AM254" s="515"/>
      <c r="AN254" s="515"/>
      <c r="AO254" s="515"/>
      <c r="AP254" s="515"/>
      <c r="AQ254" s="515"/>
      <c r="AR254" s="515"/>
      <c r="AS254" s="515"/>
      <c r="AT254" s="515"/>
      <c r="AU254" s="515"/>
      <c r="AV254" s="515"/>
      <c r="AW254" s="515"/>
      <c r="AX254" s="515"/>
      <c r="AY254" s="515"/>
      <c r="AZ254" s="515"/>
      <c r="BA254" s="515"/>
      <c r="BB254" s="515"/>
      <c r="BC254" s="515"/>
      <c r="BD254" s="515"/>
      <c r="BE254" s="515"/>
      <c r="BF254" s="515"/>
      <c r="BG254" s="515"/>
      <c r="BH254" s="515"/>
      <c r="BI254" s="515"/>
      <c r="BJ254" s="515"/>
      <c r="BK254" s="515"/>
      <c r="BL254" s="515"/>
      <c r="BM254" s="515"/>
      <c r="BN254" s="515"/>
      <c r="BO254" s="515"/>
      <c r="BP254" s="515"/>
      <c r="BQ254" s="515"/>
      <c r="BR254" s="515"/>
      <c r="BS254" s="515"/>
      <c r="BT254" s="515"/>
      <c r="BU254" s="515"/>
      <c r="BV254" s="515"/>
      <c r="BW254" s="515"/>
      <c r="BX254" s="515"/>
      <c r="BY254" s="515"/>
      <c r="BZ254" s="515"/>
      <c r="CA254" s="515"/>
      <c r="CB254" s="515"/>
      <c r="CC254" s="515"/>
      <c r="CD254" s="515"/>
      <c r="CE254" s="515"/>
      <c r="CF254" s="515"/>
      <c r="CG254" s="515"/>
      <c r="CH254" s="515"/>
      <c r="CI254" s="515"/>
      <c r="CJ254" s="515"/>
      <c r="CK254" s="515"/>
      <c r="CL254" s="515"/>
      <c r="CM254" s="515"/>
      <c r="CN254" s="515"/>
      <c r="CO254" s="515"/>
      <c r="CP254" s="515"/>
      <c r="CQ254" s="515"/>
      <c r="CR254" s="515"/>
      <c r="CS254" s="515"/>
      <c r="CT254" s="515"/>
      <c r="CU254" s="515"/>
      <c r="CV254" s="515"/>
      <c r="CW254" s="515"/>
      <c r="CX254" s="515"/>
      <c r="CY254" s="515"/>
      <c r="CZ254" s="515"/>
      <c r="DA254" s="515"/>
      <c r="DB254" s="515"/>
      <c r="DC254" s="515"/>
      <c r="DD254" s="515"/>
      <c r="DE254" s="515"/>
      <c r="DF254" s="515"/>
      <c r="DG254" s="515"/>
      <c r="DH254" s="515"/>
      <c r="DI254" s="515"/>
      <c r="DJ254" s="515"/>
      <c r="DK254" s="515"/>
      <c r="DL254" s="515"/>
      <c r="DM254" s="515"/>
      <c r="DN254" s="515"/>
      <c r="DO254" s="515"/>
      <c r="DP254" s="515"/>
      <c r="DQ254" s="515"/>
      <c r="DR254" s="515"/>
      <c r="DS254" s="515"/>
      <c r="DT254" s="515"/>
      <c r="DU254" s="515"/>
      <c r="DV254" s="515"/>
      <c r="DW254" s="515"/>
    </row>
    <row r="255" spans="1:127" s="343" customFormat="1" x14ac:dyDescent="0.2">
      <c r="A255" s="515"/>
      <c r="B255" s="445"/>
      <c r="C255" s="534"/>
      <c r="D255" s="544" t="str">
        <f>$D$24</f>
        <v>"Status Quo" Reference Case</v>
      </c>
      <c r="E255" s="560" t="s">
        <v>223</v>
      </c>
      <c r="F255" s="580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446"/>
      <c r="AB255" s="447"/>
      <c r="AC255" s="515"/>
      <c r="AD255" s="515"/>
      <c r="AE255" s="515"/>
      <c r="AF255" s="515"/>
      <c r="AG255" s="515"/>
      <c r="AH255" s="515"/>
      <c r="AI255" s="515"/>
      <c r="AJ255" s="515"/>
      <c r="AK255" s="515"/>
      <c r="AL255" s="515"/>
      <c r="AM255" s="515"/>
      <c r="AN255" s="515"/>
      <c r="AO255" s="515"/>
      <c r="AP255" s="515"/>
      <c r="AQ255" s="515"/>
      <c r="AR255" s="515"/>
      <c r="AS255" s="515"/>
      <c r="AT255" s="515"/>
      <c r="AU255" s="515"/>
      <c r="AV255" s="515"/>
      <c r="AW255" s="515"/>
      <c r="AX255" s="515"/>
      <c r="AY255" s="515"/>
      <c r="AZ255" s="515"/>
      <c r="BA255" s="515"/>
      <c r="BB255" s="515"/>
      <c r="BC255" s="515"/>
      <c r="BD255" s="515"/>
      <c r="BE255" s="515"/>
      <c r="BF255" s="515"/>
      <c r="BG255" s="515"/>
      <c r="BH255" s="515"/>
      <c r="BI255" s="515"/>
      <c r="BJ255" s="515"/>
      <c r="BK255" s="515"/>
      <c r="BL255" s="515"/>
      <c r="BM255" s="515"/>
      <c r="BN255" s="515"/>
      <c r="BO255" s="515"/>
      <c r="BP255" s="515"/>
      <c r="BQ255" s="515"/>
      <c r="BR255" s="515"/>
      <c r="BS255" s="515"/>
      <c r="BT255" s="515"/>
      <c r="BU255" s="515"/>
      <c r="BV255" s="515"/>
      <c r="BW255" s="515"/>
      <c r="BX255" s="515"/>
      <c r="BY255" s="515"/>
      <c r="BZ255" s="515"/>
      <c r="CA255" s="515"/>
      <c r="CB255" s="515"/>
      <c r="CC255" s="515"/>
      <c r="CD255" s="515"/>
      <c r="CE255" s="515"/>
      <c r="CF255" s="515"/>
      <c r="CG255" s="515"/>
      <c r="CH255" s="515"/>
      <c r="CI255" s="515"/>
      <c r="CJ255" s="515"/>
      <c r="CK255" s="515"/>
      <c r="CL255" s="515"/>
      <c r="CM255" s="515"/>
      <c r="CN255" s="515"/>
      <c r="CO255" s="515"/>
      <c r="CP255" s="515"/>
      <c r="CQ255" s="515"/>
      <c r="CR255" s="515"/>
      <c r="CS255" s="515"/>
      <c r="CT255" s="515"/>
      <c r="CU255" s="515"/>
      <c r="CV255" s="515"/>
      <c r="CW255" s="515"/>
      <c r="CX255" s="515"/>
      <c r="CY255" s="515"/>
      <c r="CZ255" s="515"/>
      <c r="DA255" s="515"/>
      <c r="DB255" s="515"/>
      <c r="DC255" s="515"/>
      <c r="DD255" s="515"/>
      <c r="DE255" s="515"/>
      <c r="DF255" s="515"/>
      <c r="DG255" s="515"/>
      <c r="DH255" s="515"/>
      <c r="DI255" s="515"/>
      <c r="DJ255" s="515"/>
      <c r="DK255" s="515"/>
      <c r="DL255" s="515"/>
      <c r="DM255" s="515"/>
      <c r="DN255" s="515"/>
      <c r="DO255" s="515"/>
      <c r="DP255" s="515"/>
      <c r="DQ255" s="515"/>
      <c r="DR255" s="515"/>
      <c r="DS255" s="515"/>
      <c r="DT255" s="515"/>
      <c r="DU255" s="515"/>
      <c r="DV255" s="515"/>
      <c r="DW255" s="515"/>
    </row>
    <row r="256" spans="1:127" s="343" customFormat="1" x14ac:dyDescent="0.2">
      <c r="A256" s="515"/>
      <c r="B256" s="445"/>
      <c r="C256" s="534"/>
      <c r="D256" s="544" t="str">
        <f>$D$53</f>
        <v>Option 1: Animal Proofing</v>
      </c>
      <c r="E256" s="560" t="str">
        <f>E255</f>
        <v>Pending AER guideline</v>
      </c>
      <c r="F256" s="580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446"/>
      <c r="AB256" s="447"/>
      <c r="AC256" s="515"/>
      <c r="AD256" s="515"/>
      <c r="AE256" s="515"/>
      <c r="AF256" s="515"/>
      <c r="AG256" s="515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515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5"/>
      <c r="BL256" s="515"/>
      <c r="BM256" s="515"/>
      <c r="BN256" s="515"/>
      <c r="BO256" s="515"/>
      <c r="BP256" s="515"/>
      <c r="BQ256" s="515"/>
      <c r="BR256" s="515"/>
      <c r="BS256" s="515"/>
      <c r="BT256" s="515"/>
      <c r="BU256" s="515"/>
      <c r="BV256" s="515"/>
      <c r="BW256" s="515"/>
      <c r="BX256" s="515"/>
      <c r="BY256" s="515"/>
      <c r="BZ256" s="515"/>
      <c r="CA256" s="515"/>
      <c r="CB256" s="515"/>
      <c r="CC256" s="515"/>
      <c r="CD256" s="515"/>
      <c r="CE256" s="515"/>
      <c r="CF256" s="515"/>
      <c r="CG256" s="515"/>
      <c r="CH256" s="515"/>
      <c r="CI256" s="515"/>
      <c r="CJ256" s="515"/>
      <c r="CK256" s="515"/>
      <c r="CL256" s="515"/>
      <c r="CM256" s="515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5"/>
      <c r="DD256" s="515"/>
      <c r="DE256" s="515"/>
      <c r="DF256" s="515"/>
      <c r="DG256" s="515"/>
      <c r="DH256" s="515"/>
      <c r="DI256" s="515"/>
      <c r="DJ256" s="515"/>
      <c r="DK256" s="515"/>
      <c r="DL256" s="515"/>
      <c r="DM256" s="515"/>
      <c r="DN256" s="515"/>
      <c r="DO256" s="515"/>
      <c r="DP256" s="515"/>
      <c r="DQ256" s="515"/>
      <c r="DR256" s="515"/>
      <c r="DS256" s="515"/>
      <c r="DT256" s="515"/>
      <c r="DU256" s="515"/>
      <c r="DV256" s="515"/>
      <c r="DW256" s="515"/>
    </row>
    <row r="257" spans="1:257" s="343" customFormat="1" x14ac:dyDescent="0.2">
      <c r="A257" s="515"/>
      <c r="B257" s="445"/>
      <c r="C257" s="534"/>
      <c r="D257" s="544" t="str">
        <f>$D$82</f>
        <v xml:space="preserve">Option 2: </v>
      </c>
      <c r="E257" s="560" t="str">
        <f>E256</f>
        <v>Pending AER guideline</v>
      </c>
      <c r="F257" s="580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446"/>
      <c r="AB257" s="447"/>
      <c r="AC257" s="515"/>
      <c r="AD257" s="515"/>
      <c r="AE257" s="515"/>
      <c r="AF257" s="515"/>
      <c r="AG257" s="515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515"/>
      <c r="AT257" s="515"/>
      <c r="AU257" s="515"/>
      <c r="AV257" s="515"/>
      <c r="AW257" s="515"/>
      <c r="AX257" s="515"/>
      <c r="AY257" s="515"/>
      <c r="AZ257" s="515"/>
      <c r="BA257" s="515"/>
      <c r="BB257" s="515"/>
      <c r="BC257" s="515"/>
      <c r="BD257" s="515"/>
      <c r="BE257" s="515"/>
      <c r="BF257" s="515"/>
      <c r="BG257" s="515"/>
      <c r="BH257" s="515"/>
      <c r="BI257" s="515"/>
      <c r="BJ257" s="515"/>
      <c r="BK257" s="515"/>
      <c r="BL257" s="515"/>
      <c r="BM257" s="515"/>
      <c r="BN257" s="515"/>
      <c r="BO257" s="515"/>
      <c r="BP257" s="515"/>
      <c r="BQ257" s="515"/>
      <c r="BR257" s="515"/>
      <c r="BS257" s="515"/>
      <c r="BT257" s="515"/>
      <c r="BU257" s="515"/>
      <c r="BV257" s="515"/>
      <c r="BW257" s="515"/>
      <c r="BX257" s="515"/>
      <c r="BY257" s="515"/>
      <c r="BZ257" s="515"/>
      <c r="CA257" s="515"/>
      <c r="CB257" s="515"/>
      <c r="CC257" s="515"/>
      <c r="CD257" s="515"/>
      <c r="CE257" s="515"/>
      <c r="CF257" s="515"/>
      <c r="CG257" s="515"/>
      <c r="CH257" s="515"/>
      <c r="CI257" s="515"/>
      <c r="CJ257" s="515"/>
      <c r="CK257" s="515"/>
      <c r="CL257" s="515"/>
      <c r="CM257" s="515"/>
      <c r="CN257" s="515"/>
      <c r="CO257" s="515"/>
      <c r="CP257" s="515"/>
      <c r="CQ257" s="515"/>
      <c r="CR257" s="515"/>
      <c r="CS257" s="515"/>
      <c r="CT257" s="515"/>
      <c r="CU257" s="515"/>
      <c r="CV257" s="515"/>
      <c r="CW257" s="515"/>
      <c r="CX257" s="515"/>
      <c r="CY257" s="515"/>
      <c r="CZ257" s="515"/>
      <c r="DA257" s="515"/>
      <c r="DB257" s="515"/>
      <c r="DC257" s="515"/>
      <c r="DD257" s="515"/>
      <c r="DE257" s="515"/>
      <c r="DF257" s="515"/>
      <c r="DG257" s="515"/>
      <c r="DH257" s="515"/>
      <c r="DI257" s="515"/>
      <c r="DJ257" s="515"/>
      <c r="DK257" s="515"/>
      <c r="DL257" s="515"/>
      <c r="DM257" s="515"/>
      <c r="DN257" s="515"/>
      <c r="DO257" s="515"/>
      <c r="DP257" s="515"/>
      <c r="DQ257" s="515"/>
      <c r="DR257" s="515"/>
      <c r="DS257" s="515"/>
      <c r="DT257" s="515"/>
      <c r="DU257" s="515"/>
      <c r="DV257" s="515"/>
      <c r="DW257" s="515"/>
    </row>
    <row r="258" spans="1:257" s="343" customFormat="1" x14ac:dyDescent="0.2">
      <c r="A258" s="515"/>
      <c r="B258" s="445"/>
      <c r="C258" s="534"/>
      <c r="D258" s="544" t="str">
        <f>$D$111</f>
        <v xml:space="preserve">Option 3: </v>
      </c>
      <c r="E258" s="560" t="str">
        <f>E257</f>
        <v>Pending AER guideline</v>
      </c>
      <c r="F258" s="580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446"/>
      <c r="AB258" s="447"/>
      <c r="AC258" s="515"/>
      <c r="AD258" s="515"/>
      <c r="AE258" s="515"/>
      <c r="AF258" s="515"/>
      <c r="AG258" s="515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515"/>
      <c r="AT258" s="515"/>
      <c r="AU258" s="515"/>
      <c r="AV258" s="515"/>
      <c r="AW258" s="515"/>
      <c r="AX258" s="515"/>
      <c r="AY258" s="515"/>
      <c r="AZ258" s="515"/>
      <c r="BA258" s="515"/>
      <c r="BB258" s="515"/>
      <c r="BC258" s="515"/>
      <c r="BD258" s="515"/>
      <c r="BE258" s="515"/>
      <c r="BF258" s="515"/>
      <c r="BG258" s="515"/>
      <c r="BH258" s="515"/>
      <c r="BI258" s="515"/>
      <c r="BJ258" s="515"/>
      <c r="BK258" s="515"/>
      <c r="BL258" s="515"/>
      <c r="BM258" s="515"/>
      <c r="BN258" s="515"/>
      <c r="BO258" s="515"/>
      <c r="BP258" s="515"/>
      <c r="BQ258" s="515"/>
      <c r="BR258" s="515"/>
      <c r="BS258" s="515"/>
      <c r="BT258" s="515"/>
      <c r="BU258" s="515"/>
      <c r="BV258" s="515"/>
      <c r="BW258" s="515"/>
      <c r="BX258" s="515"/>
      <c r="BY258" s="515"/>
      <c r="BZ258" s="515"/>
      <c r="CA258" s="515"/>
      <c r="CB258" s="515"/>
      <c r="CC258" s="515"/>
      <c r="CD258" s="515"/>
      <c r="CE258" s="515"/>
      <c r="CF258" s="515"/>
      <c r="CG258" s="515"/>
      <c r="CH258" s="515"/>
      <c r="CI258" s="515"/>
      <c r="CJ258" s="515"/>
      <c r="CK258" s="515"/>
      <c r="CL258" s="515"/>
      <c r="CM258" s="515"/>
      <c r="CN258" s="515"/>
      <c r="CO258" s="515"/>
      <c r="CP258" s="515"/>
      <c r="CQ258" s="515"/>
      <c r="CR258" s="515"/>
      <c r="CS258" s="515"/>
      <c r="CT258" s="515"/>
      <c r="CU258" s="515"/>
      <c r="CV258" s="515"/>
      <c r="CW258" s="515"/>
      <c r="CX258" s="515"/>
      <c r="CY258" s="515"/>
      <c r="CZ258" s="515"/>
      <c r="DA258" s="515"/>
      <c r="DB258" s="515"/>
      <c r="DC258" s="515"/>
      <c r="DD258" s="515"/>
      <c r="DE258" s="515"/>
      <c r="DF258" s="515"/>
      <c r="DG258" s="515"/>
      <c r="DH258" s="515"/>
      <c r="DI258" s="515"/>
      <c r="DJ258" s="515"/>
      <c r="DK258" s="515"/>
      <c r="DL258" s="515"/>
      <c r="DM258" s="515"/>
      <c r="DN258" s="515"/>
      <c r="DO258" s="515"/>
      <c r="DP258" s="515"/>
      <c r="DQ258" s="515"/>
      <c r="DR258" s="515"/>
      <c r="DS258" s="515"/>
      <c r="DT258" s="515"/>
      <c r="DU258" s="515"/>
      <c r="DV258" s="515"/>
      <c r="DW258" s="515"/>
    </row>
    <row r="259" spans="1:257" s="343" customFormat="1" x14ac:dyDescent="0.2">
      <c r="A259" s="515"/>
      <c r="B259" s="445"/>
      <c r="C259" s="534"/>
      <c r="D259" s="544" t="str">
        <f>$D$140</f>
        <v xml:space="preserve">Option 4: </v>
      </c>
      <c r="E259" s="560" t="str">
        <f>E258</f>
        <v>Pending AER guideline</v>
      </c>
      <c r="F259" s="580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446"/>
      <c r="AB259" s="447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  <c r="CF259" s="515"/>
      <c r="CG259" s="515"/>
      <c r="CH259" s="515"/>
      <c r="CI259" s="515"/>
      <c r="CJ259" s="515"/>
      <c r="CK259" s="515"/>
      <c r="CL259" s="515"/>
      <c r="CM259" s="515"/>
      <c r="CN259" s="515"/>
      <c r="CO259" s="515"/>
      <c r="CP259" s="515"/>
      <c r="CQ259" s="515"/>
      <c r="CR259" s="515"/>
      <c r="CS259" s="515"/>
      <c r="CT259" s="515"/>
      <c r="CU259" s="515"/>
      <c r="CV259" s="515"/>
      <c r="CW259" s="515"/>
      <c r="CX259" s="515"/>
      <c r="CY259" s="515"/>
      <c r="CZ259" s="515"/>
      <c r="DA259" s="515"/>
      <c r="DB259" s="515"/>
      <c r="DC259" s="515"/>
      <c r="DD259" s="515"/>
      <c r="DE259" s="515"/>
      <c r="DF259" s="515"/>
      <c r="DG259" s="515"/>
      <c r="DH259" s="515"/>
      <c r="DI259" s="515"/>
      <c r="DJ259" s="515"/>
      <c r="DK259" s="515"/>
      <c r="DL259" s="515"/>
      <c r="DM259" s="515"/>
      <c r="DN259" s="515"/>
      <c r="DO259" s="515"/>
      <c r="DP259" s="515"/>
      <c r="DQ259" s="515"/>
      <c r="DR259" s="515"/>
      <c r="DS259" s="515"/>
      <c r="DT259" s="515"/>
      <c r="DU259" s="515"/>
      <c r="DV259" s="515"/>
      <c r="DW259" s="515"/>
    </row>
    <row r="260" spans="1:257" s="343" customFormat="1" x14ac:dyDescent="0.2">
      <c r="A260" s="515"/>
      <c r="B260" s="445"/>
      <c r="C260" s="534"/>
      <c r="D260" s="544" t="str">
        <f>$D$169</f>
        <v xml:space="preserve">Option 5: </v>
      </c>
      <c r="E260" s="560" t="str">
        <f>E259</f>
        <v>Pending AER guideline</v>
      </c>
      <c r="F260" s="580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446"/>
      <c r="AB260" s="447"/>
      <c r="AC260" s="515"/>
      <c r="AD260" s="515"/>
      <c r="AE260" s="515"/>
      <c r="AF260" s="515"/>
      <c r="AG260" s="515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515"/>
      <c r="AT260" s="515"/>
      <c r="AU260" s="515"/>
      <c r="AV260" s="515"/>
      <c r="AW260" s="515"/>
      <c r="AX260" s="515"/>
      <c r="AY260" s="515"/>
      <c r="AZ260" s="515"/>
      <c r="BA260" s="515"/>
      <c r="BB260" s="515"/>
      <c r="BC260" s="515"/>
      <c r="BD260" s="515"/>
      <c r="BE260" s="515"/>
      <c r="BF260" s="515"/>
      <c r="BG260" s="515"/>
      <c r="BH260" s="515"/>
      <c r="BI260" s="515"/>
      <c r="BJ260" s="515"/>
      <c r="BK260" s="515"/>
      <c r="BL260" s="515"/>
      <c r="BM260" s="515"/>
      <c r="BN260" s="515"/>
      <c r="BO260" s="515"/>
      <c r="BP260" s="515"/>
      <c r="BQ260" s="515"/>
      <c r="BR260" s="515"/>
      <c r="BS260" s="515"/>
      <c r="BT260" s="515"/>
      <c r="BU260" s="515"/>
      <c r="BV260" s="515"/>
      <c r="BW260" s="515"/>
      <c r="BX260" s="515"/>
      <c r="BY260" s="515"/>
      <c r="BZ260" s="515"/>
      <c r="CA260" s="515"/>
      <c r="CB260" s="515"/>
      <c r="CC260" s="515"/>
      <c r="CD260" s="515"/>
      <c r="CE260" s="515"/>
      <c r="CF260" s="515"/>
      <c r="CG260" s="515"/>
      <c r="CH260" s="515"/>
      <c r="CI260" s="515"/>
      <c r="CJ260" s="515"/>
      <c r="CK260" s="515"/>
      <c r="CL260" s="515"/>
      <c r="CM260" s="515"/>
      <c r="CN260" s="515"/>
      <c r="CO260" s="515"/>
      <c r="CP260" s="515"/>
      <c r="CQ260" s="515"/>
      <c r="CR260" s="515"/>
      <c r="CS260" s="515"/>
      <c r="CT260" s="515"/>
      <c r="CU260" s="515"/>
      <c r="CV260" s="515"/>
      <c r="CW260" s="515"/>
      <c r="CX260" s="515"/>
      <c r="CY260" s="515"/>
      <c r="CZ260" s="515"/>
      <c r="DA260" s="515"/>
      <c r="DB260" s="515"/>
      <c r="DC260" s="515"/>
      <c r="DD260" s="515"/>
      <c r="DE260" s="515"/>
      <c r="DF260" s="515"/>
      <c r="DG260" s="515"/>
      <c r="DH260" s="515"/>
      <c r="DI260" s="515"/>
      <c r="DJ260" s="515"/>
      <c r="DK260" s="515"/>
      <c r="DL260" s="515"/>
      <c r="DM260" s="515"/>
      <c r="DN260" s="515"/>
      <c r="DO260" s="515"/>
      <c r="DP260" s="515"/>
      <c r="DQ260" s="515"/>
      <c r="DR260" s="515"/>
      <c r="DS260" s="515"/>
      <c r="DT260" s="515"/>
      <c r="DU260" s="515"/>
      <c r="DV260" s="515"/>
      <c r="DW260" s="515"/>
    </row>
    <row r="261" spans="1:257" s="343" customFormat="1" x14ac:dyDescent="0.2">
      <c r="A261" s="515"/>
      <c r="B261" s="569"/>
      <c r="C261" s="534"/>
      <c r="D261" s="564"/>
      <c r="E261" s="570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5"/>
      <c r="AC261" s="515"/>
      <c r="AD261" s="515"/>
      <c r="AE261" s="515"/>
      <c r="AF261" s="515"/>
      <c r="AG261" s="515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515"/>
      <c r="AT261" s="515"/>
      <c r="AU261" s="515"/>
      <c r="AV261" s="515"/>
      <c r="AW261" s="515"/>
      <c r="AX261" s="515"/>
      <c r="AY261" s="515"/>
      <c r="AZ261" s="515"/>
      <c r="BA261" s="515"/>
      <c r="BB261" s="515"/>
      <c r="BC261" s="515"/>
      <c r="BD261" s="515"/>
      <c r="BE261" s="515"/>
      <c r="BF261" s="515"/>
      <c r="BG261" s="515"/>
      <c r="BH261" s="515"/>
      <c r="BI261" s="515"/>
      <c r="BJ261" s="515"/>
      <c r="BK261" s="515"/>
      <c r="BL261" s="515"/>
      <c r="BM261" s="515"/>
      <c r="BN261" s="515"/>
      <c r="BO261" s="515"/>
      <c r="BP261" s="515"/>
      <c r="BQ261" s="515"/>
      <c r="BR261" s="515"/>
      <c r="BS261" s="515"/>
      <c r="BT261" s="515"/>
      <c r="BU261" s="515"/>
      <c r="BV261" s="515"/>
      <c r="BW261" s="515"/>
      <c r="BX261" s="515"/>
      <c r="BY261" s="515"/>
      <c r="BZ261" s="515"/>
      <c r="CA261" s="515"/>
      <c r="CB261" s="515"/>
      <c r="CC261" s="515"/>
      <c r="CD261" s="515"/>
      <c r="CE261" s="515"/>
      <c r="CF261" s="515"/>
      <c r="CG261" s="515"/>
      <c r="CH261" s="515"/>
      <c r="CI261" s="515"/>
      <c r="CJ261" s="515"/>
      <c r="CK261" s="515"/>
      <c r="CL261" s="515"/>
      <c r="CM261" s="515"/>
      <c r="CN261" s="515"/>
      <c r="CO261" s="515"/>
      <c r="CP261" s="515"/>
      <c r="CQ261" s="515"/>
      <c r="CR261" s="515"/>
      <c r="CS261" s="515"/>
      <c r="CT261" s="515"/>
      <c r="CU261" s="515"/>
      <c r="CV261" s="515"/>
      <c r="CW261" s="515"/>
      <c r="CX261" s="515"/>
      <c r="CY261" s="515"/>
      <c r="CZ261" s="515"/>
      <c r="DA261" s="515"/>
      <c r="DB261" s="515"/>
      <c r="DC261" s="515"/>
      <c r="DD261" s="515"/>
      <c r="DE261" s="515"/>
      <c r="DF261" s="515"/>
      <c r="DG261" s="515"/>
      <c r="DH261" s="515"/>
      <c r="DI261" s="515"/>
      <c r="DJ261" s="515"/>
      <c r="DK261" s="515"/>
      <c r="DL261" s="515"/>
      <c r="DM261" s="515"/>
      <c r="DN261" s="515"/>
      <c r="DO261" s="515"/>
      <c r="DP261" s="515"/>
      <c r="DQ261" s="515"/>
      <c r="DR261" s="515"/>
      <c r="DS261" s="515"/>
      <c r="DT261" s="515"/>
      <c r="DU261" s="515"/>
      <c r="DV261" s="515"/>
      <c r="DW261" s="515"/>
    </row>
    <row r="262" spans="1:257" x14ac:dyDescent="0.2">
      <c r="B262" s="445"/>
      <c r="C262" s="534">
        <v>7</v>
      </c>
      <c r="D262" s="559" t="s">
        <v>177</v>
      </c>
      <c r="E262" s="562" t="s">
        <v>224</v>
      </c>
      <c r="F262" s="563"/>
      <c r="G262" s="563">
        <f t="shared" ref="G262:Z262" si="46">G$186</f>
        <v>2018</v>
      </c>
      <c r="H262" s="563">
        <f t="shared" si="46"/>
        <v>2019</v>
      </c>
      <c r="I262" s="563">
        <f t="shared" si="46"/>
        <v>2020</v>
      </c>
      <c r="J262" s="563">
        <f t="shared" si="46"/>
        <v>2021</v>
      </c>
      <c r="K262" s="563">
        <f t="shared" si="46"/>
        <v>2022</v>
      </c>
      <c r="L262" s="563">
        <f t="shared" si="46"/>
        <v>2023</v>
      </c>
      <c r="M262" s="563">
        <f t="shared" si="46"/>
        <v>2024</v>
      </c>
      <c r="N262" s="563">
        <f t="shared" si="46"/>
        <v>2025</v>
      </c>
      <c r="O262" s="563">
        <f t="shared" si="46"/>
        <v>2026</v>
      </c>
      <c r="P262" s="563">
        <f t="shared" si="46"/>
        <v>2027</v>
      </c>
      <c r="Q262" s="563">
        <f t="shared" si="46"/>
        <v>2028</v>
      </c>
      <c r="R262" s="563">
        <f t="shared" si="46"/>
        <v>2029</v>
      </c>
      <c r="S262" s="563">
        <f t="shared" si="46"/>
        <v>2030</v>
      </c>
      <c r="T262" s="563">
        <f t="shared" si="46"/>
        <v>2031</v>
      </c>
      <c r="U262" s="563">
        <f t="shared" si="46"/>
        <v>2032</v>
      </c>
      <c r="V262" s="563">
        <f t="shared" si="46"/>
        <v>2033</v>
      </c>
      <c r="W262" s="563">
        <f t="shared" si="46"/>
        <v>2034</v>
      </c>
      <c r="X262" s="563">
        <f t="shared" si="46"/>
        <v>2035</v>
      </c>
      <c r="Y262" s="563">
        <f t="shared" si="46"/>
        <v>2036</v>
      </c>
      <c r="Z262" s="563">
        <f t="shared" si="46"/>
        <v>2037</v>
      </c>
      <c r="AA262" s="446"/>
      <c r="AB262" s="447"/>
    </row>
    <row r="263" spans="1:257" x14ac:dyDescent="0.2">
      <c r="B263" s="445"/>
      <c r="C263" s="534"/>
      <c r="D263" s="544" t="str">
        <f>$D$24</f>
        <v>"Status Quo" Reference Case</v>
      </c>
      <c r="E263" s="560" t="s">
        <v>174</v>
      </c>
      <c r="F263" s="281"/>
      <c r="G263" s="549"/>
      <c r="H263" s="549"/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446"/>
      <c r="AB263" s="447"/>
    </row>
    <row r="264" spans="1:257" x14ac:dyDescent="0.2">
      <c r="B264" s="445"/>
      <c r="C264" s="534"/>
      <c r="D264" s="544" t="str">
        <f>$D$53</f>
        <v>Option 1: Animal Proofing</v>
      </c>
      <c r="E264" s="560" t="s">
        <v>174</v>
      </c>
      <c r="F264" s="281"/>
      <c r="G264" s="549"/>
      <c r="H264" s="549"/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446"/>
      <c r="AB264" s="447"/>
    </row>
    <row r="265" spans="1:257" x14ac:dyDescent="0.2">
      <c r="B265" s="445"/>
      <c r="C265" s="534"/>
      <c r="D265" s="544" t="str">
        <f>$D$82</f>
        <v xml:space="preserve">Option 2: </v>
      </c>
      <c r="E265" s="560" t="s">
        <v>174</v>
      </c>
      <c r="F265" s="281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446"/>
      <c r="AB265" s="447"/>
    </row>
    <row r="266" spans="1:257" x14ac:dyDescent="0.2">
      <c r="B266" s="445"/>
      <c r="C266" s="534"/>
      <c r="D266" s="544" t="str">
        <f>$D$111</f>
        <v xml:space="preserve">Option 3: </v>
      </c>
      <c r="E266" s="560" t="s">
        <v>174</v>
      </c>
      <c r="F266" s="281"/>
      <c r="G266" s="550"/>
      <c r="H266" s="550"/>
      <c r="I266" s="550"/>
      <c r="J266" s="550"/>
      <c r="K266" s="550"/>
      <c r="L266" s="550"/>
      <c r="M266" s="550"/>
      <c r="N266" s="550"/>
      <c r="O266" s="550"/>
      <c r="P266" s="550"/>
      <c r="Q266" s="550"/>
      <c r="R266" s="550"/>
      <c r="S266" s="550"/>
      <c r="T266" s="550"/>
      <c r="U266" s="550"/>
      <c r="V266" s="550"/>
      <c r="W266" s="550"/>
      <c r="X266" s="550"/>
      <c r="Y266" s="550"/>
      <c r="Z266" s="550"/>
      <c r="AA266" s="446"/>
      <c r="AB266" s="447"/>
    </row>
    <row r="267" spans="1:257" x14ac:dyDescent="0.2">
      <c r="B267" s="445"/>
      <c r="C267" s="534"/>
      <c r="D267" s="544" t="str">
        <f>$D$140</f>
        <v xml:space="preserve">Option 4: </v>
      </c>
      <c r="E267" s="560" t="s">
        <v>174</v>
      </c>
      <c r="F267" s="281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446"/>
      <c r="AB267" s="447"/>
    </row>
    <row r="268" spans="1:257" x14ac:dyDescent="0.2">
      <c r="B268" s="445"/>
      <c r="C268" s="534"/>
      <c r="D268" s="544" t="str">
        <f>$D$169</f>
        <v xml:space="preserve">Option 5: </v>
      </c>
      <c r="E268" s="560" t="s">
        <v>174</v>
      </c>
      <c r="F268" s="281"/>
      <c r="G268" s="549"/>
      <c r="H268" s="549"/>
      <c r="I268" s="549"/>
      <c r="J268" s="549"/>
      <c r="K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446"/>
      <c r="AB268" s="447"/>
    </row>
    <row r="269" spans="1:257" x14ac:dyDescent="0.2">
      <c r="B269" s="569"/>
      <c r="C269" s="534"/>
      <c r="D269" s="564"/>
      <c r="E269" s="570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5"/>
    </row>
    <row r="270" spans="1:257" x14ac:dyDescent="0.2">
      <c r="B270" s="445"/>
      <c r="C270" s="534">
        <v>8</v>
      </c>
      <c r="D270" s="559" t="s">
        <v>175</v>
      </c>
      <c r="E270" s="562" t="s">
        <v>225</v>
      </c>
      <c r="F270" s="563"/>
      <c r="G270" s="563">
        <f t="shared" ref="G270:Z270" si="47">G$186</f>
        <v>2018</v>
      </c>
      <c r="H270" s="563">
        <f t="shared" si="47"/>
        <v>2019</v>
      </c>
      <c r="I270" s="563">
        <f t="shared" si="47"/>
        <v>2020</v>
      </c>
      <c r="J270" s="563">
        <f t="shared" si="47"/>
        <v>2021</v>
      </c>
      <c r="K270" s="563">
        <f t="shared" si="47"/>
        <v>2022</v>
      </c>
      <c r="L270" s="563">
        <f t="shared" si="47"/>
        <v>2023</v>
      </c>
      <c r="M270" s="563">
        <f t="shared" si="47"/>
        <v>2024</v>
      </c>
      <c r="N270" s="563">
        <f t="shared" si="47"/>
        <v>2025</v>
      </c>
      <c r="O270" s="563">
        <f t="shared" si="47"/>
        <v>2026</v>
      </c>
      <c r="P270" s="563">
        <f t="shared" si="47"/>
        <v>2027</v>
      </c>
      <c r="Q270" s="563">
        <f t="shared" si="47"/>
        <v>2028</v>
      </c>
      <c r="R270" s="563">
        <f t="shared" si="47"/>
        <v>2029</v>
      </c>
      <c r="S270" s="563">
        <f t="shared" si="47"/>
        <v>2030</v>
      </c>
      <c r="T270" s="563">
        <f t="shared" si="47"/>
        <v>2031</v>
      </c>
      <c r="U270" s="563">
        <f t="shared" si="47"/>
        <v>2032</v>
      </c>
      <c r="V270" s="563">
        <f t="shared" si="47"/>
        <v>2033</v>
      </c>
      <c r="W270" s="563">
        <f t="shared" si="47"/>
        <v>2034</v>
      </c>
      <c r="X270" s="563">
        <f t="shared" si="47"/>
        <v>2035</v>
      </c>
      <c r="Y270" s="563">
        <f t="shared" si="47"/>
        <v>2036</v>
      </c>
      <c r="Z270" s="563">
        <f t="shared" si="47"/>
        <v>2037</v>
      </c>
      <c r="AA270" s="446"/>
      <c r="AB270" s="447"/>
    </row>
    <row r="271" spans="1:257" x14ac:dyDescent="0.2">
      <c r="B271" s="445"/>
      <c r="C271" s="534"/>
      <c r="D271" s="544" t="str">
        <f>$D$24</f>
        <v>"Status Quo" Reference Case</v>
      </c>
      <c r="E271" s="560" t="s">
        <v>226</v>
      </c>
      <c r="F271" s="580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446"/>
      <c r="AB271" s="447"/>
      <c r="AC271" s="515"/>
      <c r="AD271" s="515"/>
      <c r="AE271" s="515"/>
      <c r="AF271" s="515"/>
      <c r="AG271" s="515"/>
      <c r="AH271" s="515"/>
      <c r="AI271" s="515"/>
      <c r="AJ271" s="515"/>
      <c r="AK271" s="515"/>
      <c r="AL271" s="515"/>
      <c r="AM271" s="515"/>
      <c r="AN271" s="515"/>
      <c r="AO271" s="515"/>
      <c r="AP271" s="515"/>
      <c r="AQ271" s="515"/>
      <c r="AR271" s="515"/>
      <c r="AS271" s="515"/>
      <c r="AT271" s="515"/>
      <c r="AU271" s="515"/>
      <c r="AV271" s="515"/>
      <c r="AW271" s="515"/>
      <c r="AX271" s="515"/>
      <c r="AY271" s="515"/>
      <c r="AZ271" s="515"/>
      <c r="BA271" s="515"/>
      <c r="BB271" s="515"/>
      <c r="BC271" s="515"/>
      <c r="BD271" s="515"/>
      <c r="BE271" s="515"/>
      <c r="BF271" s="515"/>
      <c r="BG271" s="515"/>
      <c r="BH271" s="515"/>
      <c r="BI271" s="515"/>
      <c r="BJ271" s="515"/>
      <c r="BK271" s="515"/>
      <c r="BL271" s="515"/>
      <c r="BM271" s="515"/>
      <c r="BN271" s="515"/>
      <c r="BO271" s="515"/>
      <c r="BP271" s="515"/>
      <c r="BQ271" s="515"/>
      <c r="BR271" s="515"/>
      <c r="BS271" s="515"/>
      <c r="BT271" s="515"/>
      <c r="BU271" s="515"/>
      <c r="BV271" s="515"/>
      <c r="BW271" s="515"/>
      <c r="BX271" s="515"/>
      <c r="BY271" s="515"/>
      <c r="BZ271" s="515"/>
      <c r="CA271" s="515"/>
      <c r="CB271" s="515"/>
      <c r="CC271" s="515"/>
      <c r="CD271" s="515"/>
      <c r="CE271" s="515"/>
      <c r="CF271" s="515"/>
      <c r="CG271" s="515"/>
      <c r="CH271" s="515"/>
      <c r="CI271" s="515"/>
      <c r="CJ271" s="515"/>
      <c r="CK271" s="515"/>
      <c r="CL271" s="515"/>
      <c r="CM271" s="515"/>
      <c r="CN271" s="515"/>
      <c r="CO271" s="515"/>
      <c r="CP271" s="515"/>
      <c r="CQ271" s="515"/>
      <c r="CR271" s="515"/>
      <c r="CS271" s="515"/>
      <c r="CT271" s="515"/>
      <c r="CU271" s="515"/>
      <c r="CV271" s="515"/>
      <c r="CW271" s="515"/>
      <c r="CX271" s="515"/>
      <c r="CY271" s="515"/>
      <c r="CZ271" s="515"/>
      <c r="DA271" s="515"/>
      <c r="DB271" s="515"/>
      <c r="DC271" s="515"/>
      <c r="DD271" s="515"/>
      <c r="DE271" s="515"/>
      <c r="DF271" s="515"/>
      <c r="DG271" s="515"/>
      <c r="DH271" s="515"/>
      <c r="DI271" s="515"/>
      <c r="DJ271" s="515"/>
      <c r="DK271" s="515"/>
      <c r="DL271" s="515"/>
      <c r="DM271" s="515"/>
      <c r="DN271" s="515"/>
      <c r="DO271" s="515"/>
      <c r="DP271" s="515"/>
      <c r="DQ271" s="515"/>
      <c r="DR271" s="515"/>
      <c r="DS271" s="515"/>
      <c r="DT271" s="515"/>
      <c r="DU271" s="515"/>
      <c r="DV271" s="515"/>
      <c r="DW271" s="515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4"/>
      <c r="D272" s="544" t="str">
        <f>$D$53</f>
        <v>Option 1: Animal Proofing</v>
      </c>
      <c r="E272" s="560" t="str">
        <f>E271</f>
        <v>To be determined by the AER</v>
      </c>
      <c r="F272" s="580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446"/>
      <c r="AB272" s="447"/>
      <c r="AC272" s="515"/>
      <c r="AD272" s="515"/>
      <c r="AE272" s="515"/>
      <c r="AF272" s="515"/>
      <c r="AG272" s="515"/>
      <c r="AH272" s="515"/>
      <c r="AI272" s="515"/>
      <c r="AJ272" s="515"/>
      <c r="AK272" s="515"/>
      <c r="AL272" s="515"/>
      <c r="AM272" s="515"/>
      <c r="AN272" s="515"/>
      <c r="AO272" s="515"/>
      <c r="AP272" s="515"/>
      <c r="AQ272" s="515"/>
      <c r="AR272" s="515"/>
      <c r="AS272" s="515"/>
      <c r="AT272" s="515"/>
      <c r="AU272" s="515"/>
      <c r="AV272" s="515"/>
      <c r="AW272" s="515"/>
      <c r="AX272" s="515"/>
      <c r="AY272" s="515"/>
      <c r="AZ272" s="515"/>
      <c r="BA272" s="515"/>
      <c r="BB272" s="515"/>
      <c r="BC272" s="515"/>
      <c r="BD272" s="515"/>
      <c r="BE272" s="515"/>
      <c r="BF272" s="515"/>
      <c r="BG272" s="515"/>
      <c r="BH272" s="515"/>
      <c r="BI272" s="515"/>
      <c r="BJ272" s="515"/>
      <c r="BK272" s="515"/>
      <c r="BL272" s="515"/>
      <c r="BM272" s="515"/>
      <c r="BN272" s="515"/>
      <c r="BO272" s="515"/>
      <c r="BP272" s="515"/>
      <c r="BQ272" s="515"/>
      <c r="BR272" s="515"/>
      <c r="BS272" s="515"/>
      <c r="BT272" s="515"/>
      <c r="BU272" s="515"/>
      <c r="BV272" s="515"/>
      <c r="BW272" s="515"/>
      <c r="BX272" s="515"/>
      <c r="BY272" s="515"/>
      <c r="BZ272" s="515"/>
      <c r="CA272" s="515"/>
      <c r="CB272" s="515"/>
      <c r="CC272" s="515"/>
      <c r="CD272" s="515"/>
      <c r="CE272" s="515"/>
      <c r="CF272" s="515"/>
      <c r="CG272" s="515"/>
      <c r="CH272" s="515"/>
      <c r="CI272" s="515"/>
      <c r="CJ272" s="515"/>
      <c r="CK272" s="515"/>
      <c r="CL272" s="515"/>
      <c r="CM272" s="515"/>
      <c r="CN272" s="515"/>
      <c r="CO272" s="515"/>
      <c r="CP272" s="515"/>
      <c r="CQ272" s="515"/>
      <c r="CR272" s="515"/>
      <c r="CS272" s="515"/>
      <c r="CT272" s="515"/>
      <c r="CU272" s="515"/>
      <c r="CV272" s="515"/>
      <c r="CW272" s="515"/>
      <c r="CX272" s="515"/>
      <c r="CY272" s="515"/>
      <c r="CZ272" s="515"/>
      <c r="DA272" s="515"/>
      <c r="DB272" s="515"/>
      <c r="DC272" s="515"/>
      <c r="DD272" s="515"/>
      <c r="DE272" s="515"/>
      <c r="DF272" s="515"/>
      <c r="DG272" s="515"/>
      <c r="DH272" s="515"/>
      <c r="DI272" s="515"/>
      <c r="DJ272" s="515"/>
      <c r="DK272" s="515"/>
      <c r="DL272" s="515"/>
      <c r="DM272" s="515"/>
      <c r="DN272" s="515"/>
      <c r="DO272" s="515"/>
      <c r="DP272" s="515"/>
      <c r="DQ272" s="515"/>
      <c r="DR272" s="515"/>
      <c r="DS272" s="515"/>
      <c r="DT272" s="515"/>
      <c r="DU272" s="515"/>
      <c r="DV272" s="515"/>
      <c r="DW272" s="515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4"/>
      <c r="D273" s="544" t="str">
        <f>$D$82</f>
        <v xml:space="preserve">Option 2: </v>
      </c>
      <c r="E273" s="560" t="str">
        <f>E272</f>
        <v>To be determined by the AER</v>
      </c>
      <c r="F273" s="580"/>
      <c r="G273" s="582"/>
      <c r="H273" s="582"/>
      <c r="I273" s="582"/>
      <c r="J273" s="582"/>
      <c r="K273" s="582"/>
      <c r="L273" s="582"/>
      <c r="M273" s="582"/>
      <c r="N273" s="582"/>
      <c r="O273" s="582"/>
      <c r="P273" s="582"/>
      <c r="Q273" s="582"/>
      <c r="R273" s="582"/>
      <c r="S273" s="582"/>
      <c r="T273" s="582"/>
      <c r="U273" s="582"/>
      <c r="V273" s="582"/>
      <c r="W273" s="582"/>
      <c r="X273" s="582"/>
      <c r="Y273" s="582"/>
      <c r="Z273" s="582"/>
      <c r="AA273" s="446"/>
      <c r="AB273" s="447"/>
      <c r="AC273" s="515"/>
      <c r="AD273" s="515"/>
      <c r="AE273" s="515"/>
      <c r="AF273" s="515"/>
      <c r="AG273" s="515"/>
      <c r="AH273" s="515"/>
      <c r="AI273" s="515"/>
      <c r="AJ273" s="515"/>
      <c r="AK273" s="515"/>
      <c r="AL273" s="515"/>
      <c r="AM273" s="515"/>
      <c r="AN273" s="515"/>
      <c r="AO273" s="515"/>
      <c r="AP273" s="515"/>
      <c r="AQ273" s="515"/>
      <c r="AR273" s="515"/>
      <c r="AS273" s="515"/>
      <c r="AT273" s="515"/>
      <c r="AU273" s="515"/>
      <c r="AV273" s="515"/>
      <c r="AW273" s="515"/>
      <c r="AX273" s="515"/>
      <c r="AY273" s="515"/>
      <c r="AZ273" s="515"/>
      <c r="BA273" s="515"/>
      <c r="BB273" s="515"/>
      <c r="BC273" s="515"/>
      <c r="BD273" s="515"/>
      <c r="BE273" s="515"/>
      <c r="BF273" s="515"/>
      <c r="BG273" s="515"/>
      <c r="BH273" s="515"/>
      <c r="BI273" s="515"/>
      <c r="BJ273" s="515"/>
      <c r="BK273" s="515"/>
      <c r="BL273" s="515"/>
      <c r="BM273" s="515"/>
      <c r="BN273" s="515"/>
      <c r="BO273" s="515"/>
      <c r="BP273" s="515"/>
      <c r="BQ273" s="515"/>
      <c r="BR273" s="515"/>
      <c r="BS273" s="515"/>
      <c r="BT273" s="515"/>
      <c r="BU273" s="515"/>
      <c r="BV273" s="515"/>
      <c r="BW273" s="515"/>
      <c r="BX273" s="515"/>
      <c r="BY273" s="515"/>
      <c r="BZ273" s="515"/>
      <c r="CA273" s="515"/>
      <c r="CB273" s="515"/>
      <c r="CC273" s="515"/>
      <c r="CD273" s="515"/>
      <c r="CE273" s="515"/>
      <c r="CF273" s="515"/>
      <c r="CG273" s="515"/>
      <c r="CH273" s="515"/>
      <c r="CI273" s="515"/>
      <c r="CJ273" s="515"/>
      <c r="CK273" s="515"/>
      <c r="CL273" s="515"/>
      <c r="CM273" s="515"/>
      <c r="CN273" s="515"/>
      <c r="CO273" s="515"/>
      <c r="CP273" s="515"/>
      <c r="CQ273" s="515"/>
      <c r="CR273" s="515"/>
      <c r="CS273" s="515"/>
      <c r="CT273" s="515"/>
      <c r="CU273" s="515"/>
      <c r="CV273" s="515"/>
      <c r="CW273" s="515"/>
      <c r="CX273" s="515"/>
      <c r="CY273" s="515"/>
      <c r="CZ273" s="515"/>
      <c r="DA273" s="515"/>
      <c r="DB273" s="515"/>
      <c r="DC273" s="515"/>
      <c r="DD273" s="515"/>
      <c r="DE273" s="515"/>
      <c r="DF273" s="515"/>
      <c r="DG273" s="515"/>
      <c r="DH273" s="515"/>
      <c r="DI273" s="515"/>
      <c r="DJ273" s="515"/>
      <c r="DK273" s="515"/>
      <c r="DL273" s="515"/>
      <c r="DM273" s="515"/>
      <c r="DN273" s="515"/>
      <c r="DO273" s="515"/>
      <c r="DP273" s="515"/>
      <c r="DQ273" s="515"/>
      <c r="DR273" s="515"/>
      <c r="DS273" s="515"/>
      <c r="DT273" s="515"/>
      <c r="DU273" s="515"/>
      <c r="DV273" s="515"/>
      <c r="DW273" s="515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4"/>
      <c r="D274" s="544" t="str">
        <f>$D$111</f>
        <v xml:space="preserve">Option 3: </v>
      </c>
      <c r="E274" s="560" t="str">
        <f>E273</f>
        <v>To be determined by the AER</v>
      </c>
      <c r="F274" s="580"/>
      <c r="G274" s="582"/>
      <c r="H274" s="582"/>
      <c r="I274" s="582"/>
      <c r="J274" s="582"/>
      <c r="K274" s="582"/>
      <c r="L274" s="582"/>
      <c r="M274" s="582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446"/>
      <c r="AB274" s="447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R274" s="515"/>
      <c r="AS274" s="515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5"/>
      <c r="BJ274" s="515"/>
      <c r="BK274" s="515"/>
      <c r="BL274" s="515"/>
      <c r="BM274" s="515"/>
      <c r="BN274" s="515"/>
      <c r="BO274" s="515"/>
      <c r="BP274" s="515"/>
      <c r="BQ274" s="515"/>
      <c r="BR274" s="515"/>
      <c r="BS274" s="515"/>
      <c r="BT274" s="515"/>
      <c r="BU274" s="515"/>
      <c r="BV274" s="515"/>
      <c r="BW274" s="515"/>
      <c r="BX274" s="515"/>
      <c r="BY274" s="515"/>
      <c r="BZ274" s="515"/>
      <c r="CA274" s="515"/>
      <c r="CB274" s="515"/>
      <c r="CC274" s="515"/>
      <c r="CD274" s="515"/>
      <c r="CE274" s="515"/>
      <c r="CF274" s="515"/>
      <c r="CG274" s="515"/>
      <c r="CH274" s="515"/>
      <c r="CI274" s="515"/>
      <c r="CJ274" s="515"/>
      <c r="CK274" s="515"/>
      <c r="CL274" s="515"/>
      <c r="CM274" s="515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5"/>
      <c r="DD274" s="515"/>
      <c r="DE274" s="515"/>
      <c r="DF274" s="515"/>
      <c r="DG274" s="515"/>
      <c r="DH274" s="515"/>
      <c r="DI274" s="515"/>
      <c r="DJ274" s="515"/>
      <c r="DK274" s="515"/>
      <c r="DL274" s="515"/>
      <c r="DM274" s="515"/>
      <c r="DN274" s="515"/>
      <c r="DO274" s="515"/>
      <c r="DP274" s="515"/>
      <c r="DQ274" s="515"/>
      <c r="DR274" s="515"/>
      <c r="DS274" s="515"/>
      <c r="DT274" s="515"/>
      <c r="DU274" s="515"/>
      <c r="DV274" s="515"/>
      <c r="DW274" s="515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4"/>
      <c r="D275" s="544" t="str">
        <f>$D$140</f>
        <v xml:space="preserve">Option 4: </v>
      </c>
      <c r="E275" s="560" t="str">
        <f>E274</f>
        <v>To be determined by the AER</v>
      </c>
      <c r="F275" s="580"/>
      <c r="G275" s="582"/>
      <c r="H275" s="582"/>
      <c r="I275" s="582"/>
      <c r="J275" s="582"/>
      <c r="K275" s="582"/>
      <c r="L275" s="582"/>
      <c r="M275" s="582"/>
      <c r="N275" s="582"/>
      <c r="O275" s="582"/>
      <c r="P275" s="582"/>
      <c r="Q275" s="582"/>
      <c r="R275" s="582"/>
      <c r="S275" s="582"/>
      <c r="T275" s="582"/>
      <c r="U275" s="582"/>
      <c r="V275" s="582"/>
      <c r="W275" s="582"/>
      <c r="X275" s="582"/>
      <c r="Y275" s="582"/>
      <c r="Z275" s="582"/>
      <c r="AA275" s="446"/>
      <c r="AB275" s="447"/>
      <c r="AC275" s="515"/>
      <c r="AD275" s="515"/>
      <c r="AE275" s="515"/>
      <c r="AF275" s="515"/>
      <c r="AG275" s="515"/>
      <c r="AH275" s="515"/>
      <c r="AI275" s="515"/>
      <c r="AJ275" s="515"/>
      <c r="AK275" s="515"/>
      <c r="AL275" s="515"/>
      <c r="AM275" s="515"/>
      <c r="AN275" s="515"/>
      <c r="AO275" s="515"/>
      <c r="AP275" s="515"/>
      <c r="AQ275" s="515"/>
      <c r="AR275" s="515"/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  <c r="CR275" s="515"/>
      <c r="CS275" s="515"/>
      <c r="CT275" s="515"/>
      <c r="CU275" s="515"/>
      <c r="CV275" s="515"/>
      <c r="CW275" s="515"/>
      <c r="CX275" s="515"/>
      <c r="CY275" s="515"/>
      <c r="CZ275" s="515"/>
      <c r="DA275" s="515"/>
      <c r="DB275" s="515"/>
      <c r="DC275" s="515"/>
      <c r="DD275" s="515"/>
      <c r="DE275" s="515"/>
      <c r="DF275" s="515"/>
      <c r="DG275" s="515"/>
      <c r="DH275" s="515"/>
      <c r="DI275" s="515"/>
      <c r="DJ275" s="515"/>
      <c r="DK275" s="515"/>
      <c r="DL275" s="515"/>
      <c r="DM275" s="515"/>
      <c r="DN275" s="515"/>
      <c r="DO275" s="515"/>
      <c r="DP275" s="515"/>
      <c r="DQ275" s="515"/>
      <c r="DR275" s="515"/>
      <c r="DS275" s="515"/>
      <c r="DT275" s="515"/>
      <c r="DU275" s="515"/>
      <c r="DV275" s="515"/>
      <c r="DW275" s="515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4"/>
      <c r="D276" s="544" t="str">
        <f>$D$169</f>
        <v xml:space="preserve">Option 5: </v>
      </c>
      <c r="E276" s="560" t="str">
        <f>E275</f>
        <v>To be determined by the AER</v>
      </c>
      <c r="F276" s="580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446"/>
      <c r="AB276" s="447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  <c r="CR276" s="515"/>
      <c r="CS276" s="515"/>
      <c r="CT276" s="515"/>
      <c r="CU276" s="515"/>
      <c r="CV276" s="515"/>
      <c r="CW276" s="515"/>
      <c r="CX276" s="515"/>
      <c r="CY276" s="515"/>
      <c r="CZ276" s="515"/>
      <c r="DA276" s="515"/>
      <c r="DB276" s="515"/>
      <c r="DC276" s="515"/>
      <c r="DD276" s="515"/>
      <c r="DE276" s="515"/>
      <c r="DF276" s="515"/>
      <c r="DG276" s="515"/>
      <c r="DH276" s="515"/>
      <c r="DI276" s="515"/>
      <c r="DJ276" s="515"/>
      <c r="DK276" s="515"/>
      <c r="DL276" s="515"/>
      <c r="DM276" s="515"/>
      <c r="DN276" s="515"/>
      <c r="DO276" s="515"/>
      <c r="DP276" s="515"/>
      <c r="DQ276" s="515"/>
      <c r="DR276" s="515"/>
      <c r="DS276" s="515"/>
      <c r="DT276" s="515"/>
      <c r="DU276" s="515"/>
      <c r="DV276" s="515"/>
      <c r="DW276" s="515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9"/>
      <c r="C277" s="534"/>
      <c r="D277" s="564"/>
      <c r="E277" s="570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5"/>
    </row>
    <row r="278" spans="1:257" ht="13.5" thickBot="1" x14ac:dyDescent="0.25">
      <c r="B278" s="445"/>
      <c r="C278" s="574"/>
      <c r="D278" s="575"/>
      <c r="E278" s="576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1"/>
      <c r="D279" s="572"/>
      <c r="E279" s="573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1"/>
      <c r="D280" s="492" t="s">
        <v>252</v>
      </c>
      <c r="E280" s="577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1"/>
      <c r="D281" s="516" t="s">
        <v>253</v>
      </c>
      <c r="E281" s="573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3" customFormat="1" x14ac:dyDescent="0.2">
      <c r="A282" s="433"/>
      <c r="B282" s="445"/>
      <c r="C282" s="446"/>
      <c r="D282" s="487"/>
      <c r="E282" s="516"/>
      <c r="F282" s="44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446"/>
      <c r="AB282" s="447"/>
    </row>
    <row r="283" spans="1:257" x14ac:dyDescent="0.2">
      <c r="B283" s="445"/>
      <c r="C283" s="534"/>
      <c r="D283" s="559" t="s">
        <v>171</v>
      </c>
      <c r="E283" s="562"/>
      <c r="F283" s="563"/>
      <c r="G283" s="563">
        <f t="shared" ref="G283:Z283" si="48">G$186</f>
        <v>2018</v>
      </c>
      <c r="H283" s="563">
        <f t="shared" si="48"/>
        <v>2019</v>
      </c>
      <c r="I283" s="563">
        <f t="shared" si="48"/>
        <v>2020</v>
      </c>
      <c r="J283" s="563">
        <f t="shared" si="48"/>
        <v>2021</v>
      </c>
      <c r="K283" s="563">
        <f t="shared" si="48"/>
        <v>2022</v>
      </c>
      <c r="L283" s="563">
        <f t="shared" si="48"/>
        <v>2023</v>
      </c>
      <c r="M283" s="563">
        <f t="shared" si="48"/>
        <v>2024</v>
      </c>
      <c r="N283" s="563">
        <f t="shared" si="48"/>
        <v>2025</v>
      </c>
      <c r="O283" s="563">
        <f t="shared" si="48"/>
        <v>2026</v>
      </c>
      <c r="P283" s="563">
        <f t="shared" si="48"/>
        <v>2027</v>
      </c>
      <c r="Q283" s="563">
        <f t="shared" si="48"/>
        <v>2028</v>
      </c>
      <c r="R283" s="563">
        <f t="shared" si="48"/>
        <v>2029</v>
      </c>
      <c r="S283" s="563">
        <f t="shared" si="48"/>
        <v>2030</v>
      </c>
      <c r="T283" s="563">
        <f t="shared" si="48"/>
        <v>2031</v>
      </c>
      <c r="U283" s="563">
        <f t="shared" si="48"/>
        <v>2032</v>
      </c>
      <c r="V283" s="563">
        <f t="shared" si="48"/>
        <v>2033</v>
      </c>
      <c r="W283" s="563">
        <f t="shared" si="48"/>
        <v>2034</v>
      </c>
      <c r="X283" s="563">
        <f t="shared" si="48"/>
        <v>2035</v>
      </c>
      <c r="Y283" s="563">
        <f t="shared" si="48"/>
        <v>2036</v>
      </c>
      <c r="Z283" s="563">
        <f t="shared" si="48"/>
        <v>2037</v>
      </c>
      <c r="AA283" s="446"/>
      <c r="AB283" s="447"/>
    </row>
    <row r="284" spans="1:257" x14ac:dyDescent="0.2">
      <c r="B284" s="445"/>
      <c r="C284" s="534"/>
      <c r="D284" s="544" t="str">
        <f>$D$24</f>
        <v>"Status Quo" Reference Case</v>
      </c>
      <c r="E284" s="560" t="s">
        <v>104</v>
      </c>
      <c r="F284" s="561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446"/>
      <c r="AB284" s="447"/>
    </row>
    <row r="285" spans="1:257" x14ac:dyDescent="0.2">
      <c r="B285" s="445"/>
      <c r="C285" s="534"/>
      <c r="D285" s="544" t="str">
        <f>$D$53</f>
        <v>Option 1: Animal Proofing</v>
      </c>
      <c r="E285" s="560" t="s">
        <v>104</v>
      </c>
      <c r="F285" s="561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446"/>
      <c r="AB285" s="447"/>
    </row>
    <row r="286" spans="1:257" x14ac:dyDescent="0.2">
      <c r="B286" s="445"/>
      <c r="C286" s="534"/>
      <c r="D286" s="544" t="str">
        <f>$D$82</f>
        <v xml:space="preserve">Option 2: </v>
      </c>
      <c r="E286" s="560" t="s">
        <v>104</v>
      </c>
      <c r="F286" s="561"/>
      <c r="G286" s="579"/>
      <c r="H286" s="579"/>
      <c r="I286" s="579"/>
      <c r="J286" s="579"/>
      <c r="K286" s="579"/>
      <c r="L286" s="579"/>
      <c r="M286" s="579"/>
      <c r="N286" s="579"/>
      <c r="O286" s="579"/>
      <c r="P286" s="579"/>
      <c r="Q286" s="579"/>
      <c r="R286" s="579"/>
      <c r="S286" s="579"/>
      <c r="T286" s="579"/>
      <c r="U286" s="579"/>
      <c r="V286" s="579"/>
      <c r="W286" s="579"/>
      <c r="X286" s="579"/>
      <c r="Y286" s="579"/>
      <c r="Z286" s="579"/>
      <c r="AA286" s="446"/>
      <c r="AB286" s="447"/>
    </row>
    <row r="287" spans="1:257" x14ac:dyDescent="0.2">
      <c r="B287" s="445"/>
      <c r="C287" s="534"/>
      <c r="D287" s="544" t="str">
        <f>$D$111</f>
        <v xml:space="preserve">Option 3: </v>
      </c>
      <c r="E287" s="560" t="s">
        <v>104</v>
      </c>
      <c r="F287" s="561"/>
      <c r="G287" s="579"/>
      <c r="H287" s="579"/>
      <c r="I287" s="579"/>
      <c r="J287" s="579"/>
      <c r="K287" s="579"/>
      <c r="L287" s="579"/>
      <c r="M287" s="579"/>
      <c r="N287" s="579"/>
      <c r="O287" s="579"/>
      <c r="P287" s="579"/>
      <c r="Q287" s="579"/>
      <c r="R287" s="579"/>
      <c r="S287" s="579"/>
      <c r="T287" s="579"/>
      <c r="U287" s="579"/>
      <c r="V287" s="579"/>
      <c r="W287" s="579"/>
      <c r="X287" s="579"/>
      <c r="Y287" s="579"/>
      <c r="Z287" s="579"/>
      <c r="AA287" s="446"/>
      <c r="AB287" s="447"/>
    </row>
    <row r="288" spans="1:257" x14ac:dyDescent="0.2">
      <c r="B288" s="445"/>
      <c r="C288" s="534"/>
      <c r="D288" s="544" t="str">
        <f>$D$140</f>
        <v xml:space="preserve">Option 4: </v>
      </c>
      <c r="E288" s="560" t="s">
        <v>104</v>
      </c>
      <c r="F288" s="561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446"/>
      <c r="AB288" s="447"/>
    </row>
    <row r="289" spans="2:28" x14ac:dyDescent="0.2">
      <c r="B289" s="445"/>
      <c r="C289" s="534"/>
      <c r="D289" s="544" t="str">
        <f>$D$169</f>
        <v xml:space="preserve">Option 5: </v>
      </c>
      <c r="E289" s="560" t="s">
        <v>104</v>
      </c>
      <c r="F289" s="561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446"/>
      <c r="AB289" s="447"/>
    </row>
    <row r="290" spans="2:28" x14ac:dyDescent="0.2">
      <c r="B290" s="569"/>
      <c r="C290" s="534"/>
      <c r="D290" s="564"/>
      <c r="E290" s="570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5"/>
    </row>
    <row r="291" spans="2:28" x14ac:dyDescent="0.2">
      <c r="B291" s="445"/>
      <c r="C291" s="534"/>
      <c r="D291" s="559" t="s">
        <v>172</v>
      </c>
      <c r="E291" s="562"/>
      <c r="F291" s="563"/>
      <c r="G291" s="563">
        <f t="shared" ref="G291:Z291" si="49">G$186</f>
        <v>2018</v>
      </c>
      <c r="H291" s="563">
        <f t="shared" si="49"/>
        <v>2019</v>
      </c>
      <c r="I291" s="563">
        <f t="shared" si="49"/>
        <v>2020</v>
      </c>
      <c r="J291" s="563">
        <f t="shared" si="49"/>
        <v>2021</v>
      </c>
      <c r="K291" s="563">
        <f t="shared" si="49"/>
        <v>2022</v>
      </c>
      <c r="L291" s="563">
        <f t="shared" si="49"/>
        <v>2023</v>
      </c>
      <c r="M291" s="563">
        <f t="shared" si="49"/>
        <v>2024</v>
      </c>
      <c r="N291" s="563">
        <f t="shared" si="49"/>
        <v>2025</v>
      </c>
      <c r="O291" s="563">
        <f t="shared" si="49"/>
        <v>2026</v>
      </c>
      <c r="P291" s="563">
        <f t="shared" si="49"/>
        <v>2027</v>
      </c>
      <c r="Q291" s="563">
        <f t="shared" si="49"/>
        <v>2028</v>
      </c>
      <c r="R291" s="563">
        <f t="shared" si="49"/>
        <v>2029</v>
      </c>
      <c r="S291" s="563">
        <f t="shared" si="49"/>
        <v>2030</v>
      </c>
      <c r="T291" s="563">
        <f t="shared" si="49"/>
        <v>2031</v>
      </c>
      <c r="U291" s="563">
        <f t="shared" si="49"/>
        <v>2032</v>
      </c>
      <c r="V291" s="563">
        <f t="shared" si="49"/>
        <v>2033</v>
      </c>
      <c r="W291" s="563">
        <f t="shared" si="49"/>
        <v>2034</v>
      </c>
      <c r="X291" s="563">
        <f t="shared" si="49"/>
        <v>2035</v>
      </c>
      <c r="Y291" s="563">
        <f t="shared" si="49"/>
        <v>2036</v>
      </c>
      <c r="Z291" s="563">
        <f t="shared" si="49"/>
        <v>2037</v>
      </c>
      <c r="AA291" s="446"/>
      <c r="AB291" s="447"/>
    </row>
    <row r="292" spans="2:28" x14ac:dyDescent="0.2">
      <c r="B292" s="445"/>
      <c r="C292" s="534"/>
      <c r="D292" s="544" t="str">
        <f>$D$24</f>
        <v>"Status Quo" Reference Case</v>
      </c>
      <c r="E292" s="560" t="s">
        <v>104</v>
      </c>
      <c r="F292" s="561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446"/>
      <c r="AB292" s="447"/>
    </row>
    <row r="293" spans="2:28" x14ac:dyDescent="0.2">
      <c r="B293" s="445"/>
      <c r="C293" s="534"/>
      <c r="D293" s="544" t="str">
        <f>$D$53</f>
        <v>Option 1: Animal Proofing</v>
      </c>
      <c r="E293" s="560" t="s">
        <v>104</v>
      </c>
      <c r="F293" s="561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446"/>
      <c r="AB293" s="447"/>
    </row>
    <row r="294" spans="2:28" x14ac:dyDescent="0.2">
      <c r="B294" s="445"/>
      <c r="C294" s="534"/>
      <c r="D294" s="544" t="str">
        <f>$D$82</f>
        <v xml:space="preserve">Option 2: </v>
      </c>
      <c r="E294" s="560" t="s">
        <v>104</v>
      </c>
      <c r="F294" s="561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446"/>
      <c r="AB294" s="447"/>
    </row>
    <row r="295" spans="2:28" x14ac:dyDescent="0.2">
      <c r="B295" s="445"/>
      <c r="C295" s="534"/>
      <c r="D295" s="544" t="str">
        <f>$D$111</f>
        <v xml:space="preserve">Option 3: </v>
      </c>
      <c r="E295" s="560" t="s">
        <v>104</v>
      </c>
      <c r="F295" s="561"/>
      <c r="G295" s="579"/>
      <c r="H295" s="579"/>
      <c r="I295" s="579"/>
      <c r="J295" s="579"/>
      <c r="K295" s="579"/>
      <c r="L295" s="579"/>
      <c r="M295" s="579"/>
      <c r="N295" s="579"/>
      <c r="O295" s="579"/>
      <c r="P295" s="579"/>
      <c r="Q295" s="579"/>
      <c r="R295" s="579"/>
      <c r="S295" s="579"/>
      <c r="T295" s="579"/>
      <c r="U295" s="579"/>
      <c r="V295" s="579"/>
      <c r="W295" s="579"/>
      <c r="X295" s="579"/>
      <c r="Y295" s="579"/>
      <c r="Z295" s="579"/>
      <c r="AA295" s="446"/>
      <c r="AB295" s="447"/>
    </row>
    <row r="296" spans="2:28" x14ac:dyDescent="0.2">
      <c r="B296" s="445"/>
      <c r="C296" s="534"/>
      <c r="D296" s="544" t="str">
        <f>$D$140</f>
        <v xml:space="preserve">Option 4: </v>
      </c>
      <c r="E296" s="560" t="s">
        <v>104</v>
      </c>
      <c r="F296" s="561"/>
      <c r="G296" s="579"/>
      <c r="H296" s="579"/>
      <c r="I296" s="579"/>
      <c r="J296" s="579"/>
      <c r="K296" s="579"/>
      <c r="L296" s="579"/>
      <c r="M296" s="579"/>
      <c r="N296" s="579"/>
      <c r="O296" s="579"/>
      <c r="P296" s="579"/>
      <c r="Q296" s="579"/>
      <c r="R296" s="579"/>
      <c r="S296" s="579"/>
      <c r="T296" s="579"/>
      <c r="U296" s="579"/>
      <c r="V296" s="579"/>
      <c r="W296" s="579"/>
      <c r="X296" s="579"/>
      <c r="Y296" s="579"/>
      <c r="Z296" s="579"/>
      <c r="AA296" s="446"/>
      <c r="AB296" s="447"/>
    </row>
    <row r="297" spans="2:28" x14ac:dyDescent="0.2">
      <c r="B297" s="445"/>
      <c r="C297" s="534"/>
      <c r="D297" s="544" t="str">
        <f>$D$169</f>
        <v xml:space="preserve">Option 5: </v>
      </c>
      <c r="E297" s="560" t="s">
        <v>104</v>
      </c>
      <c r="F297" s="561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446"/>
      <c r="AB297" s="447"/>
    </row>
    <row r="298" spans="2:28" x14ac:dyDescent="0.2">
      <c r="B298" s="569"/>
      <c r="C298" s="534"/>
      <c r="D298" s="564"/>
      <c r="E298" s="570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5"/>
    </row>
    <row r="299" spans="2:28" x14ac:dyDescent="0.2">
      <c r="B299" s="445"/>
      <c r="C299" s="534"/>
      <c r="D299" s="559" t="s">
        <v>175</v>
      </c>
      <c r="E299" s="562"/>
      <c r="F299" s="563"/>
      <c r="G299" s="563">
        <f t="shared" ref="G299:Z299" si="50">G$186</f>
        <v>2018</v>
      </c>
      <c r="H299" s="563">
        <f t="shared" si="50"/>
        <v>2019</v>
      </c>
      <c r="I299" s="563">
        <f t="shared" si="50"/>
        <v>2020</v>
      </c>
      <c r="J299" s="563">
        <f t="shared" si="50"/>
        <v>2021</v>
      </c>
      <c r="K299" s="563">
        <f t="shared" si="50"/>
        <v>2022</v>
      </c>
      <c r="L299" s="563">
        <f t="shared" si="50"/>
        <v>2023</v>
      </c>
      <c r="M299" s="563">
        <f t="shared" si="50"/>
        <v>2024</v>
      </c>
      <c r="N299" s="563">
        <f t="shared" si="50"/>
        <v>2025</v>
      </c>
      <c r="O299" s="563">
        <f t="shared" si="50"/>
        <v>2026</v>
      </c>
      <c r="P299" s="563">
        <f t="shared" si="50"/>
        <v>2027</v>
      </c>
      <c r="Q299" s="563">
        <f t="shared" si="50"/>
        <v>2028</v>
      </c>
      <c r="R299" s="563">
        <f t="shared" si="50"/>
        <v>2029</v>
      </c>
      <c r="S299" s="563">
        <f t="shared" si="50"/>
        <v>2030</v>
      </c>
      <c r="T299" s="563">
        <f t="shared" si="50"/>
        <v>2031</v>
      </c>
      <c r="U299" s="563">
        <f t="shared" si="50"/>
        <v>2032</v>
      </c>
      <c r="V299" s="563">
        <f t="shared" si="50"/>
        <v>2033</v>
      </c>
      <c r="W299" s="563">
        <f t="shared" si="50"/>
        <v>2034</v>
      </c>
      <c r="X299" s="563">
        <f t="shared" si="50"/>
        <v>2035</v>
      </c>
      <c r="Y299" s="563">
        <f t="shared" si="50"/>
        <v>2036</v>
      </c>
      <c r="Z299" s="563">
        <f t="shared" si="50"/>
        <v>2037</v>
      </c>
      <c r="AA299" s="446"/>
      <c r="AB299" s="447"/>
    </row>
    <row r="300" spans="2:28" x14ac:dyDescent="0.2">
      <c r="B300" s="445"/>
      <c r="C300" s="534"/>
      <c r="D300" s="544" t="str">
        <f>$D$24</f>
        <v>"Status Quo" Reference Case</v>
      </c>
      <c r="E300" s="560" t="s">
        <v>104</v>
      </c>
      <c r="F300" s="561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446"/>
      <c r="AB300" s="447"/>
    </row>
    <row r="301" spans="2:28" x14ac:dyDescent="0.2">
      <c r="B301" s="445"/>
      <c r="C301" s="534"/>
      <c r="D301" s="544" t="str">
        <f>$D$53</f>
        <v>Option 1: Animal Proofing</v>
      </c>
      <c r="E301" s="560" t="s">
        <v>104</v>
      </c>
      <c r="F301" s="561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446"/>
      <c r="AB301" s="447"/>
    </row>
    <row r="302" spans="2:28" x14ac:dyDescent="0.2">
      <c r="B302" s="445"/>
      <c r="C302" s="534"/>
      <c r="D302" s="544" t="str">
        <f>$D$82</f>
        <v xml:space="preserve">Option 2: </v>
      </c>
      <c r="E302" s="560" t="s">
        <v>104</v>
      </c>
      <c r="F302" s="561"/>
      <c r="G302" s="579"/>
      <c r="H302" s="579"/>
      <c r="I302" s="579"/>
      <c r="J302" s="579"/>
      <c r="K302" s="579"/>
      <c r="L302" s="579"/>
      <c r="M302" s="579"/>
      <c r="N302" s="579"/>
      <c r="O302" s="579"/>
      <c r="P302" s="579"/>
      <c r="Q302" s="579"/>
      <c r="R302" s="579"/>
      <c r="S302" s="579"/>
      <c r="T302" s="579"/>
      <c r="U302" s="579"/>
      <c r="V302" s="579"/>
      <c r="W302" s="579"/>
      <c r="X302" s="579"/>
      <c r="Y302" s="579"/>
      <c r="Z302" s="579"/>
      <c r="AA302" s="446"/>
      <c r="AB302" s="447"/>
    </row>
    <row r="303" spans="2:28" x14ac:dyDescent="0.2">
      <c r="B303" s="445"/>
      <c r="C303" s="534"/>
      <c r="D303" s="544" t="str">
        <f>$D$111</f>
        <v xml:space="preserve">Option 3: </v>
      </c>
      <c r="E303" s="560" t="s">
        <v>104</v>
      </c>
      <c r="F303" s="561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446"/>
      <c r="AB303" s="447"/>
    </row>
    <row r="304" spans="2:28" x14ac:dyDescent="0.2">
      <c r="B304" s="445"/>
      <c r="C304" s="534"/>
      <c r="D304" s="544" t="str">
        <f>$D$140</f>
        <v xml:space="preserve">Option 4: </v>
      </c>
      <c r="E304" s="560" t="s">
        <v>104</v>
      </c>
      <c r="F304" s="561"/>
      <c r="G304" s="579"/>
      <c r="H304" s="579"/>
      <c r="I304" s="579"/>
      <c r="J304" s="579"/>
      <c r="K304" s="579"/>
      <c r="L304" s="579"/>
      <c r="M304" s="579"/>
      <c r="N304" s="579"/>
      <c r="O304" s="579"/>
      <c r="P304" s="579"/>
      <c r="Q304" s="579"/>
      <c r="R304" s="579"/>
      <c r="S304" s="579"/>
      <c r="T304" s="579"/>
      <c r="U304" s="579"/>
      <c r="V304" s="579"/>
      <c r="W304" s="579"/>
      <c r="X304" s="579"/>
      <c r="Y304" s="579"/>
      <c r="Z304" s="579"/>
      <c r="AA304" s="446"/>
      <c r="AB304" s="447"/>
    </row>
    <row r="305" spans="2:28" x14ac:dyDescent="0.2">
      <c r="B305" s="445"/>
      <c r="C305" s="534"/>
      <c r="D305" s="544" t="str">
        <f>$D$169</f>
        <v xml:space="preserve">Option 5: </v>
      </c>
      <c r="E305" s="560" t="s">
        <v>104</v>
      </c>
      <c r="F305" s="561"/>
      <c r="G305" s="578"/>
      <c r="H305" s="578"/>
      <c r="I305" s="578"/>
      <c r="J305" s="578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446"/>
      <c r="AB305" s="447"/>
    </row>
    <row r="306" spans="2:28" x14ac:dyDescent="0.2">
      <c r="B306" s="569"/>
      <c r="C306" s="534"/>
      <c r="D306" s="564"/>
      <c r="E306" s="570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5"/>
    </row>
    <row r="307" spans="2:28" x14ac:dyDescent="0.2">
      <c r="B307" s="445"/>
      <c r="C307" s="446"/>
      <c r="D307" s="487"/>
      <c r="E307" s="51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2" t="s">
        <v>116</v>
      </c>
      <c r="E308" s="51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4"/>
      <c r="D310" s="559" t="s">
        <v>181</v>
      </c>
      <c r="E310" s="562" t="s">
        <v>227</v>
      </c>
      <c r="F310" s="563">
        <f t="shared" ref="F310:K310" si="51">F12</f>
        <v>2016</v>
      </c>
      <c r="G310" s="563">
        <f t="shared" si="51"/>
        <v>2017</v>
      </c>
      <c r="H310" s="563">
        <f t="shared" si="51"/>
        <v>2018</v>
      </c>
      <c r="I310" s="563">
        <f t="shared" si="51"/>
        <v>2019</v>
      </c>
      <c r="J310" s="563">
        <f t="shared" si="51"/>
        <v>2020</v>
      </c>
      <c r="K310" s="563">
        <f t="shared" si="51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4"/>
      <c r="D311" s="544" t="str">
        <f>$D$24</f>
        <v>"Status Quo" Reference Case</v>
      </c>
      <c r="E311" s="560" t="s">
        <v>166</v>
      </c>
      <c r="F311" s="561"/>
      <c r="G311" s="578"/>
      <c r="H311" s="578"/>
      <c r="I311" s="578"/>
      <c r="J311" s="578"/>
      <c r="K311" s="578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4"/>
      <c r="D312" s="544" t="str">
        <f>$D$53</f>
        <v>Option 1: Animal Proofing</v>
      </c>
      <c r="E312" s="560" t="s">
        <v>166</v>
      </c>
      <c r="F312" s="561"/>
      <c r="G312" s="578"/>
      <c r="H312" s="578"/>
      <c r="I312" s="578"/>
      <c r="J312" s="578"/>
      <c r="K312" s="578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4"/>
      <c r="D313" s="544" t="str">
        <f>$D$82</f>
        <v xml:space="preserve">Option 2: </v>
      </c>
      <c r="E313" s="560" t="s">
        <v>166</v>
      </c>
      <c r="F313" s="561"/>
      <c r="G313" s="579"/>
      <c r="H313" s="579"/>
      <c r="I313" s="579"/>
      <c r="J313" s="579"/>
      <c r="K313" s="579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4"/>
      <c r="D314" s="544" t="str">
        <f>$D$111</f>
        <v xml:space="preserve">Option 3: </v>
      </c>
      <c r="E314" s="560" t="s">
        <v>166</v>
      </c>
      <c r="F314" s="561"/>
      <c r="G314" s="579"/>
      <c r="H314" s="579"/>
      <c r="I314" s="579"/>
      <c r="J314" s="579"/>
      <c r="K314" s="579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4"/>
      <c r="D315" s="544" t="str">
        <f>$D$140</f>
        <v xml:space="preserve">Option 4: </v>
      </c>
      <c r="E315" s="560" t="s">
        <v>166</v>
      </c>
      <c r="F315" s="561"/>
      <c r="G315" s="579"/>
      <c r="H315" s="579"/>
      <c r="I315" s="579"/>
      <c r="J315" s="579"/>
      <c r="K315" s="579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4"/>
      <c r="D316" s="544" t="str">
        <f>$D$169</f>
        <v xml:space="preserve">Option 5: </v>
      </c>
      <c r="E316" s="560" t="s">
        <v>166</v>
      </c>
      <c r="F316" s="561"/>
      <c r="G316" s="578"/>
      <c r="H316" s="578"/>
      <c r="I316" s="578"/>
      <c r="J316" s="578"/>
      <c r="K316" s="578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6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3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3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4"/>
      <c r="D321" s="559" t="s">
        <v>187</v>
      </c>
      <c r="E321" s="562" t="s">
        <v>228</v>
      </c>
      <c r="F321" s="563"/>
      <c r="G321" s="563">
        <f t="shared" ref="G321:Z321" si="52">G12</f>
        <v>2017</v>
      </c>
      <c r="H321" s="563">
        <f t="shared" si="52"/>
        <v>2018</v>
      </c>
      <c r="I321" s="563">
        <f t="shared" si="52"/>
        <v>2019</v>
      </c>
      <c r="J321" s="563">
        <f t="shared" si="52"/>
        <v>2020</v>
      </c>
      <c r="K321" s="563">
        <f t="shared" si="52"/>
        <v>2021</v>
      </c>
      <c r="L321" s="563">
        <f t="shared" si="52"/>
        <v>2022</v>
      </c>
      <c r="M321" s="563">
        <f t="shared" si="52"/>
        <v>2023</v>
      </c>
      <c r="N321" s="563">
        <f t="shared" si="52"/>
        <v>2024</v>
      </c>
      <c r="O321" s="563">
        <f t="shared" si="52"/>
        <v>2025</v>
      </c>
      <c r="P321" s="563">
        <f t="shared" si="52"/>
        <v>2026</v>
      </c>
      <c r="Q321" s="563">
        <f t="shared" si="52"/>
        <v>2027</v>
      </c>
      <c r="R321" s="563">
        <f t="shared" si="52"/>
        <v>2028</v>
      </c>
      <c r="S321" s="563">
        <f t="shared" si="52"/>
        <v>2029</v>
      </c>
      <c r="T321" s="563">
        <f t="shared" si="52"/>
        <v>2030</v>
      </c>
      <c r="U321" s="563">
        <f t="shared" si="52"/>
        <v>2031</v>
      </c>
      <c r="V321" s="563">
        <f t="shared" si="52"/>
        <v>2032</v>
      </c>
      <c r="W321" s="563">
        <f t="shared" si="52"/>
        <v>2033</v>
      </c>
      <c r="X321" s="563">
        <f t="shared" si="52"/>
        <v>2034</v>
      </c>
      <c r="Y321" s="563">
        <f t="shared" si="52"/>
        <v>2035</v>
      </c>
      <c r="Z321" s="563">
        <f t="shared" si="52"/>
        <v>2036</v>
      </c>
      <c r="AA321" s="446"/>
      <c r="AB321" s="447"/>
    </row>
    <row r="322" spans="2:28" x14ac:dyDescent="0.2">
      <c r="B322" s="445"/>
      <c r="C322" s="534"/>
      <c r="D322" s="544" t="str">
        <f>$D$24</f>
        <v>"Status Quo" Reference Case</v>
      </c>
      <c r="E322" s="560" t="s">
        <v>188</v>
      </c>
      <c r="F322" s="580"/>
      <c r="G322" s="578"/>
      <c r="H322" s="578"/>
      <c r="I322" s="578"/>
      <c r="J322" s="578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446"/>
      <c r="AB322" s="447"/>
    </row>
    <row r="323" spans="2:28" x14ac:dyDescent="0.2">
      <c r="B323" s="445"/>
      <c r="C323" s="534"/>
      <c r="D323" s="544" t="str">
        <f>$D$53</f>
        <v>Option 1: Animal Proofing</v>
      </c>
      <c r="E323" s="560" t="s">
        <v>188</v>
      </c>
      <c r="F323" s="580"/>
      <c r="G323" s="578"/>
      <c r="H323" s="578"/>
      <c r="I323" s="578"/>
      <c r="J323" s="578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446"/>
      <c r="AB323" s="447"/>
    </row>
    <row r="324" spans="2:28" x14ac:dyDescent="0.2">
      <c r="B324" s="445"/>
      <c r="C324" s="534"/>
      <c r="D324" s="544" t="str">
        <f>$D$82</f>
        <v xml:space="preserve">Option 2: </v>
      </c>
      <c r="E324" s="560" t="s">
        <v>188</v>
      </c>
      <c r="F324" s="580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446"/>
      <c r="AB324" s="447"/>
    </row>
    <row r="325" spans="2:28" x14ac:dyDescent="0.2">
      <c r="B325" s="445"/>
      <c r="C325" s="534"/>
      <c r="D325" s="544" t="str">
        <f>$D$111</f>
        <v xml:space="preserve">Option 3: </v>
      </c>
      <c r="E325" s="560" t="s">
        <v>188</v>
      </c>
      <c r="F325" s="580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446"/>
      <c r="AB325" s="447"/>
    </row>
    <row r="326" spans="2:28" x14ac:dyDescent="0.2">
      <c r="B326" s="445"/>
      <c r="C326" s="534"/>
      <c r="D326" s="544" t="str">
        <f>$D$140</f>
        <v xml:space="preserve">Option 4: </v>
      </c>
      <c r="E326" s="560" t="s">
        <v>188</v>
      </c>
      <c r="F326" s="580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446"/>
      <c r="AB326" s="447"/>
    </row>
    <row r="327" spans="2:28" x14ac:dyDescent="0.2">
      <c r="B327" s="445"/>
      <c r="C327" s="534"/>
      <c r="D327" s="544" t="str">
        <f>$D$169</f>
        <v xml:space="preserve">Option 5: </v>
      </c>
      <c r="E327" s="560" t="s">
        <v>188</v>
      </c>
      <c r="F327" s="580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4"/>
      <c r="D329" s="559" t="s">
        <v>189</v>
      </c>
      <c r="E329" s="562" t="s">
        <v>229</v>
      </c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446"/>
      <c r="AB329" s="447"/>
    </row>
    <row r="330" spans="2:28" x14ac:dyDescent="0.2">
      <c r="B330" s="445"/>
      <c r="C330" s="534"/>
      <c r="D330" s="544" t="str">
        <f>$D$24</f>
        <v>"Status Quo" Reference Case</v>
      </c>
      <c r="E330" s="560" t="s">
        <v>104</v>
      </c>
      <c r="F330" s="580"/>
      <c r="G330" s="578"/>
      <c r="H330" s="578"/>
      <c r="I330" s="578"/>
      <c r="J330" s="578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446"/>
      <c r="AB330" s="447"/>
    </row>
    <row r="331" spans="2:28" x14ac:dyDescent="0.2">
      <c r="B331" s="445"/>
      <c r="C331" s="534"/>
      <c r="D331" s="544" t="str">
        <f>$D$53</f>
        <v>Option 1: Animal Proofing</v>
      </c>
      <c r="E331" s="560" t="s">
        <v>104</v>
      </c>
      <c r="F331" s="580"/>
      <c r="G331" s="578"/>
      <c r="H331" s="578"/>
      <c r="I331" s="578"/>
      <c r="J331" s="578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446"/>
      <c r="AB331" s="447"/>
    </row>
    <row r="332" spans="2:28" x14ac:dyDescent="0.2">
      <c r="B332" s="445"/>
      <c r="C332" s="534"/>
      <c r="D332" s="544" t="str">
        <f>$D$82</f>
        <v xml:space="preserve">Option 2: </v>
      </c>
      <c r="E332" s="560" t="s">
        <v>104</v>
      </c>
      <c r="F332" s="580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446"/>
      <c r="AB332" s="447"/>
    </row>
    <row r="333" spans="2:28" x14ac:dyDescent="0.2">
      <c r="B333" s="445"/>
      <c r="C333" s="534"/>
      <c r="D333" s="544" t="str">
        <f>$D$111</f>
        <v xml:space="preserve">Option 3: </v>
      </c>
      <c r="E333" s="560" t="s">
        <v>104</v>
      </c>
      <c r="F333" s="580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446"/>
      <c r="AB333" s="447"/>
    </row>
    <row r="334" spans="2:28" x14ac:dyDescent="0.2">
      <c r="B334" s="445"/>
      <c r="C334" s="534"/>
      <c r="D334" s="544" t="str">
        <f>$D$140</f>
        <v xml:space="preserve">Option 4: </v>
      </c>
      <c r="E334" s="560" t="s">
        <v>104</v>
      </c>
      <c r="F334" s="580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446"/>
      <c r="AB334" s="447"/>
    </row>
    <row r="335" spans="2:28" x14ac:dyDescent="0.2">
      <c r="B335" s="445"/>
      <c r="C335" s="534"/>
      <c r="D335" s="544" t="str">
        <f>$D$169</f>
        <v xml:space="preserve">Option 5: </v>
      </c>
      <c r="E335" s="560" t="s">
        <v>104</v>
      </c>
      <c r="F335" s="580"/>
      <c r="G335" s="578"/>
      <c r="H335" s="578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4"/>
      <c r="D337" s="559" t="s">
        <v>190</v>
      </c>
      <c r="E337" s="562" t="s">
        <v>230</v>
      </c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446"/>
      <c r="AB337" s="447"/>
    </row>
    <row r="338" spans="2:257" x14ac:dyDescent="0.2">
      <c r="B338" s="445"/>
      <c r="C338" s="534"/>
      <c r="D338" s="544" t="str">
        <f>$D$24</f>
        <v>"Status Quo" Reference Case</v>
      </c>
      <c r="E338" s="560" t="s">
        <v>226</v>
      </c>
      <c r="F338" s="580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446"/>
      <c r="AB338" s="447"/>
      <c r="AC338" s="515"/>
      <c r="AD338" s="515"/>
      <c r="AE338" s="515"/>
      <c r="AF338" s="515"/>
      <c r="AG338" s="515"/>
      <c r="AH338" s="515"/>
      <c r="AI338" s="515"/>
      <c r="AJ338" s="515"/>
      <c r="AK338" s="515"/>
      <c r="AL338" s="515"/>
      <c r="AM338" s="515"/>
      <c r="AN338" s="515"/>
      <c r="AO338" s="515"/>
      <c r="AP338" s="515"/>
      <c r="AQ338" s="515"/>
      <c r="AR338" s="515"/>
      <c r="AS338" s="515"/>
      <c r="AT338" s="515"/>
      <c r="AU338" s="515"/>
      <c r="AV338" s="515"/>
      <c r="AW338" s="515"/>
      <c r="AX338" s="515"/>
      <c r="AY338" s="515"/>
      <c r="AZ338" s="515"/>
      <c r="BA338" s="515"/>
      <c r="BB338" s="515"/>
      <c r="BC338" s="515"/>
      <c r="BD338" s="515"/>
      <c r="BE338" s="515"/>
      <c r="BF338" s="515"/>
      <c r="BG338" s="515"/>
      <c r="BH338" s="515"/>
      <c r="BI338" s="515"/>
      <c r="BJ338" s="515"/>
      <c r="BK338" s="515"/>
      <c r="BL338" s="515"/>
      <c r="BM338" s="515"/>
      <c r="BN338" s="515"/>
      <c r="BO338" s="515"/>
      <c r="BP338" s="515"/>
      <c r="BQ338" s="515"/>
      <c r="BR338" s="515"/>
      <c r="BS338" s="515"/>
      <c r="BT338" s="515"/>
      <c r="BU338" s="515"/>
      <c r="BV338" s="515"/>
      <c r="BW338" s="515"/>
      <c r="BX338" s="515"/>
      <c r="BY338" s="515"/>
      <c r="BZ338" s="515"/>
      <c r="CA338" s="515"/>
      <c r="CB338" s="515"/>
      <c r="CC338" s="515"/>
      <c r="CD338" s="515"/>
      <c r="CE338" s="515"/>
      <c r="CF338" s="515"/>
      <c r="CG338" s="515"/>
      <c r="CH338" s="515"/>
      <c r="CI338" s="515"/>
      <c r="CJ338" s="515"/>
      <c r="CK338" s="515"/>
      <c r="CL338" s="515"/>
      <c r="CM338" s="515"/>
      <c r="CN338" s="515"/>
      <c r="CO338" s="515"/>
      <c r="CP338" s="515"/>
      <c r="CQ338" s="515"/>
      <c r="CR338" s="515"/>
      <c r="CS338" s="515"/>
      <c r="CT338" s="515"/>
      <c r="CU338" s="515"/>
      <c r="CV338" s="515"/>
      <c r="CW338" s="515"/>
      <c r="CX338" s="515"/>
      <c r="CY338" s="515"/>
      <c r="CZ338" s="515"/>
      <c r="DA338" s="515"/>
      <c r="DB338" s="515"/>
      <c r="DC338" s="515"/>
      <c r="DD338" s="515"/>
      <c r="DE338" s="515"/>
      <c r="DF338" s="515"/>
      <c r="DG338" s="515"/>
      <c r="DH338" s="515"/>
      <c r="DI338" s="515"/>
      <c r="DJ338" s="515"/>
      <c r="DK338" s="515"/>
      <c r="DL338" s="515"/>
      <c r="DM338" s="515"/>
      <c r="DN338" s="515"/>
      <c r="DO338" s="515"/>
      <c r="DP338" s="515"/>
      <c r="DQ338" s="515"/>
      <c r="DR338" s="515"/>
      <c r="DS338" s="515"/>
      <c r="DT338" s="515"/>
      <c r="DU338" s="515"/>
      <c r="DV338" s="515"/>
      <c r="DW338" s="515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4"/>
      <c r="D339" s="544" t="str">
        <f>$D$53</f>
        <v>Option 1: Animal Proofing</v>
      </c>
      <c r="E339" s="560" t="str">
        <f>E338</f>
        <v>To be determined by the AER</v>
      </c>
      <c r="F339" s="580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446"/>
      <c r="AB339" s="447"/>
      <c r="AC339" s="515"/>
      <c r="AD339" s="515"/>
      <c r="AE339" s="515"/>
      <c r="AF339" s="515"/>
      <c r="AG339" s="515"/>
      <c r="AH339" s="515"/>
      <c r="AI339" s="515"/>
      <c r="AJ339" s="515"/>
      <c r="AK339" s="515"/>
      <c r="AL339" s="515"/>
      <c r="AM339" s="515"/>
      <c r="AN339" s="515"/>
      <c r="AO339" s="515"/>
      <c r="AP339" s="515"/>
      <c r="AQ339" s="515"/>
      <c r="AR339" s="515"/>
      <c r="AS339" s="515"/>
      <c r="AT339" s="515"/>
      <c r="AU339" s="515"/>
      <c r="AV339" s="515"/>
      <c r="AW339" s="515"/>
      <c r="AX339" s="515"/>
      <c r="AY339" s="515"/>
      <c r="AZ339" s="515"/>
      <c r="BA339" s="515"/>
      <c r="BB339" s="515"/>
      <c r="BC339" s="515"/>
      <c r="BD339" s="515"/>
      <c r="BE339" s="515"/>
      <c r="BF339" s="515"/>
      <c r="BG339" s="515"/>
      <c r="BH339" s="515"/>
      <c r="BI339" s="515"/>
      <c r="BJ339" s="515"/>
      <c r="BK339" s="515"/>
      <c r="BL339" s="515"/>
      <c r="BM339" s="515"/>
      <c r="BN339" s="515"/>
      <c r="BO339" s="515"/>
      <c r="BP339" s="515"/>
      <c r="BQ339" s="515"/>
      <c r="BR339" s="515"/>
      <c r="BS339" s="515"/>
      <c r="BT339" s="515"/>
      <c r="BU339" s="515"/>
      <c r="BV339" s="515"/>
      <c r="BW339" s="515"/>
      <c r="BX339" s="515"/>
      <c r="BY339" s="515"/>
      <c r="BZ339" s="515"/>
      <c r="CA339" s="515"/>
      <c r="CB339" s="515"/>
      <c r="CC339" s="515"/>
      <c r="CD339" s="515"/>
      <c r="CE339" s="515"/>
      <c r="CF339" s="515"/>
      <c r="CG339" s="515"/>
      <c r="CH339" s="515"/>
      <c r="CI339" s="515"/>
      <c r="CJ339" s="515"/>
      <c r="CK339" s="515"/>
      <c r="CL339" s="515"/>
      <c r="CM339" s="515"/>
      <c r="CN339" s="515"/>
      <c r="CO339" s="515"/>
      <c r="CP339" s="515"/>
      <c r="CQ339" s="515"/>
      <c r="CR339" s="515"/>
      <c r="CS339" s="515"/>
      <c r="CT339" s="515"/>
      <c r="CU339" s="515"/>
      <c r="CV339" s="515"/>
      <c r="CW339" s="515"/>
      <c r="CX339" s="515"/>
      <c r="CY339" s="515"/>
      <c r="CZ339" s="515"/>
      <c r="DA339" s="515"/>
      <c r="DB339" s="515"/>
      <c r="DC339" s="515"/>
      <c r="DD339" s="515"/>
      <c r="DE339" s="515"/>
      <c r="DF339" s="515"/>
      <c r="DG339" s="515"/>
      <c r="DH339" s="515"/>
      <c r="DI339" s="515"/>
      <c r="DJ339" s="515"/>
      <c r="DK339" s="515"/>
      <c r="DL339" s="515"/>
      <c r="DM339" s="515"/>
      <c r="DN339" s="515"/>
      <c r="DO339" s="515"/>
      <c r="DP339" s="515"/>
      <c r="DQ339" s="515"/>
      <c r="DR339" s="515"/>
      <c r="DS339" s="515"/>
      <c r="DT339" s="515"/>
      <c r="DU339" s="515"/>
      <c r="DV339" s="515"/>
      <c r="DW339" s="515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4"/>
      <c r="D340" s="544" t="str">
        <f>$D$82</f>
        <v xml:space="preserve">Option 2: </v>
      </c>
      <c r="E340" s="560" t="str">
        <f>E339</f>
        <v>To be determined by the AER</v>
      </c>
      <c r="F340" s="580"/>
      <c r="G340" s="582"/>
      <c r="H340" s="582"/>
      <c r="I340" s="582"/>
      <c r="J340" s="582"/>
      <c r="K340" s="582"/>
      <c r="L340" s="582"/>
      <c r="M340" s="582"/>
      <c r="N340" s="582"/>
      <c r="O340" s="582"/>
      <c r="P340" s="582"/>
      <c r="Q340" s="582"/>
      <c r="R340" s="582"/>
      <c r="S340" s="582"/>
      <c r="T340" s="582"/>
      <c r="U340" s="582"/>
      <c r="V340" s="582"/>
      <c r="W340" s="582"/>
      <c r="X340" s="582"/>
      <c r="Y340" s="582"/>
      <c r="Z340" s="582"/>
      <c r="AA340" s="446"/>
      <c r="AB340" s="447"/>
      <c r="AC340" s="515"/>
      <c r="AD340" s="515"/>
      <c r="AE340" s="515"/>
      <c r="AF340" s="515"/>
      <c r="AG340" s="515"/>
      <c r="AH340" s="515"/>
      <c r="AI340" s="515"/>
      <c r="AJ340" s="515"/>
      <c r="AK340" s="515"/>
      <c r="AL340" s="515"/>
      <c r="AM340" s="515"/>
      <c r="AN340" s="515"/>
      <c r="AO340" s="515"/>
      <c r="AP340" s="515"/>
      <c r="AQ340" s="515"/>
      <c r="AR340" s="515"/>
      <c r="AS340" s="515"/>
      <c r="AT340" s="515"/>
      <c r="AU340" s="515"/>
      <c r="AV340" s="515"/>
      <c r="AW340" s="515"/>
      <c r="AX340" s="515"/>
      <c r="AY340" s="515"/>
      <c r="AZ340" s="515"/>
      <c r="BA340" s="515"/>
      <c r="BB340" s="515"/>
      <c r="BC340" s="515"/>
      <c r="BD340" s="515"/>
      <c r="BE340" s="515"/>
      <c r="BF340" s="515"/>
      <c r="BG340" s="515"/>
      <c r="BH340" s="515"/>
      <c r="BI340" s="515"/>
      <c r="BJ340" s="515"/>
      <c r="BK340" s="515"/>
      <c r="BL340" s="515"/>
      <c r="BM340" s="515"/>
      <c r="BN340" s="515"/>
      <c r="BO340" s="515"/>
      <c r="BP340" s="515"/>
      <c r="BQ340" s="515"/>
      <c r="BR340" s="515"/>
      <c r="BS340" s="515"/>
      <c r="BT340" s="515"/>
      <c r="BU340" s="515"/>
      <c r="BV340" s="515"/>
      <c r="BW340" s="515"/>
      <c r="BX340" s="515"/>
      <c r="BY340" s="515"/>
      <c r="BZ340" s="515"/>
      <c r="CA340" s="515"/>
      <c r="CB340" s="515"/>
      <c r="CC340" s="515"/>
      <c r="CD340" s="515"/>
      <c r="CE340" s="515"/>
      <c r="CF340" s="515"/>
      <c r="CG340" s="515"/>
      <c r="CH340" s="515"/>
      <c r="CI340" s="515"/>
      <c r="CJ340" s="515"/>
      <c r="CK340" s="515"/>
      <c r="CL340" s="515"/>
      <c r="CM340" s="515"/>
      <c r="CN340" s="515"/>
      <c r="CO340" s="515"/>
      <c r="CP340" s="515"/>
      <c r="CQ340" s="515"/>
      <c r="CR340" s="515"/>
      <c r="CS340" s="515"/>
      <c r="CT340" s="515"/>
      <c r="CU340" s="515"/>
      <c r="CV340" s="515"/>
      <c r="CW340" s="515"/>
      <c r="CX340" s="515"/>
      <c r="CY340" s="515"/>
      <c r="CZ340" s="515"/>
      <c r="DA340" s="515"/>
      <c r="DB340" s="515"/>
      <c r="DC340" s="515"/>
      <c r="DD340" s="515"/>
      <c r="DE340" s="515"/>
      <c r="DF340" s="515"/>
      <c r="DG340" s="515"/>
      <c r="DH340" s="515"/>
      <c r="DI340" s="515"/>
      <c r="DJ340" s="515"/>
      <c r="DK340" s="515"/>
      <c r="DL340" s="515"/>
      <c r="DM340" s="515"/>
      <c r="DN340" s="515"/>
      <c r="DO340" s="515"/>
      <c r="DP340" s="515"/>
      <c r="DQ340" s="515"/>
      <c r="DR340" s="515"/>
      <c r="DS340" s="515"/>
      <c r="DT340" s="515"/>
      <c r="DU340" s="515"/>
      <c r="DV340" s="515"/>
      <c r="DW340" s="515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4"/>
      <c r="D341" s="544" t="str">
        <f>$D$111</f>
        <v xml:space="preserve">Option 3: </v>
      </c>
      <c r="E341" s="560" t="str">
        <f>E340</f>
        <v>To be determined by the AER</v>
      </c>
      <c r="F341" s="580"/>
      <c r="G341" s="582"/>
      <c r="H341" s="582"/>
      <c r="I341" s="582"/>
      <c r="J341" s="582"/>
      <c r="K341" s="582"/>
      <c r="L341" s="582"/>
      <c r="M341" s="582"/>
      <c r="N341" s="582"/>
      <c r="O341" s="582"/>
      <c r="P341" s="582"/>
      <c r="Q341" s="582"/>
      <c r="R341" s="582"/>
      <c r="S341" s="582"/>
      <c r="T341" s="582"/>
      <c r="U341" s="582"/>
      <c r="V341" s="582"/>
      <c r="W341" s="582"/>
      <c r="X341" s="582"/>
      <c r="Y341" s="582"/>
      <c r="Z341" s="582"/>
      <c r="AA341" s="446"/>
      <c r="AB341" s="447"/>
      <c r="AC341" s="515"/>
      <c r="AD341" s="515"/>
      <c r="AE341" s="515"/>
      <c r="AF341" s="515"/>
      <c r="AG341" s="515"/>
      <c r="AH341" s="515"/>
      <c r="AI341" s="515"/>
      <c r="AJ341" s="515"/>
      <c r="AK341" s="515"/>
      <c r="AL341" s="515"/>
      <c r="AM341" s="515"/>
      <c r="AN341" s="515"/>
      <c r="AO341" s="515"/>
      <c r="AP341" s="515"/>
      <c r="AQ341" s="515"/>
      <c r="AR341" s="515"/>
      <c r="AS341" s="515"/>
      <c r="AT341" s="515"/>
      <c r="AU341" s="515"/>
      <c r="AV341" s="515"/>
      <c r="AW341" s="515"/>
      <c r="AX341" s="515"/>
      <c r="AY341" s="515"/>
      <c r="AZ341" s="515"/>
      <c r="BA341" s="515"/>
      <c r="BB341" s="515"/>
      <c r="BC341" s="515"/>
      <c r="BD341" s="515"/>
      <c r="BE341" s="515"/>
      <c r="BF341" s="515"/>
      <c r="BG341" s="515"/>
      <c r="BH341" s="515"/>
      <c r="BI341" s="515"/>
      <c r="BJ341" s="515"/>
      <c r="BK341" s="515"/>
      <c r="BL341" s="515"/>
      <c r="BM341" s="515"/>
      <c r="BN341" s="515"/>
      <c r="BO341" s="515"/>
      <c r="BP341" s="515"/>
      <c r="BQ341" s="515"/>
      <c r="BR341" s="515"/>
      <c r="BS341" s="515"/>
      <c r="BT341" s="515"/>
      <c r="BU341" s="515"/>
      <c r="BV341" s="515"/>
      <c r="BW341" s="515"/>
      <c r="BX341" s="515"/>
      <c r="BY341" s="515"/>
      <c r="BZ341" s="515"/>
      <c r="CA341" s="515"/>
      <c r="CB341" s="515"/>
      <c r="CC341" s="515"/>
      <c r="CD341" s="515"/>
      <c r="CE341" s="515"/>
      <c r="CF341" s="515"/>
      <c r="CG341" s="515"/>
      <c r="CH341" s="515"/>
      <c r="CI341" s="515"/>
      <c r="CJ341" s="515"/>
      <c r="CK341" s="515"/>
      <c r="CL341" s="515"/>
      <c r="CM341" s="515"/>
      <c r="CN341" s="515"/>
      <c r="CO341" s="515"/>
      <c r="CP341" s="515"/>
      <c r="CQ341" s="515"/>
      <c r="CR341" s="515"/>
      <c r="CS341" s="515"/>
      <c r="CT341" s="515"/>
      <c r="CU341" s="515"/>
      <c r="CV341" s="515"/>
      <c r="CW341" s="515"/>
      <c r="CX341" s="515"/>
      <c r="CY341" s="515"/>
      <c r="CZ341" s="515"/>
      <c r="DA341" s="515"/>
      <c r="DB341" s="515"/>
      <c r="DC341" s="515"/>
      <c r="DD341" s="515"/>
      <c r="DE341" s="515"/>
      <c r="DF341" s="515"/>
      <c r="DG341" s="515"/>
      <c r="DH341" s="515"/>
      <c r="DI341" s="515"/>
      <c r="DJ341" s="515"/>
      <c r="DK341" s="515"/>
      <c r="DL341" s="515"/>
      <c r="DM341" s="515"/>
      <c r="DN341" s="515"/>
      <c r="DO341" s="515"/>
      <c r="DP341" s="515"/>
      <c r="DQ341" s="515"/>
      <c r="DR341" s="515"/>
      <c r="DS341" s="515"/>
      <c r="DT341" s="515"/>
      <c r="DU341" s="515"/>
      <c r="DV341" s="515"/>
      <c r="DW341" s="515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4"/>
      <c r="D342" s="544" t="str">
        <f>$D$140</f>
        <v xml:space="preserve">Option 4: </v>
      </c>
      <c r="E342" s="560" t="str">
        <f>E341</f>
        <v>To be determined by the AER</v>
      </c>
      <c r="F342" s="580"/>
      <c r="G342" s="582"/>
      <c r="H342" s="582"/>
      <c r="I342" s="582"/>
      <c r="J342" s="582"/>
      <c r="K342" s="582"/>
      <c r="L342" s="582"/>
      <c r="M342" s="582"/>
      <c r="N342" s="582"/>
      <c r="O342" s="582"/>
      <c r="P342" s="582"/>
      <c r="Q342" s="582"/>
      <c r="R342" s="582"/>
      <c r="S342" s="582"/>
      <c r="T342" s="582"/>
      <c r="U342" s="582"/>
      <c r="V342" s="582"/>
      <c r="W342" s="582"/>
      <c r="X342" s="582"/>
      <c r="Y342" s="582"/>
      <c r="Z342" s="582"/>
      <c r="AA342" s="446"/>
      <c r="AB342" s="447"/>
      <c r="AC342" s="515"/>
      <c r="AD342" s="515"/>
      <c r="AE342" s="515"/>
      <c r="AF342" s="515"/>
      <c r="AG342" s="515"/>
      <c r="AH342" s="515"/>
      <c r="AI342" s="515"/>
      <c r="AJ342" s="515"/>
      <c r="AK342" s="515"/>
      <c r="AL342" s="515"/>
      <c r="AM342" s="515"/>
      <c r="AN342" s="515"/>
      <c r="AO342" s="515"/>
      <c r="AP342" s="515"/>
      <c r="AQ342" s="515"/>
      <c r="AR342" s="515"/>
      <c r="AS342" s="515"/>
      <c r="AT342" s="515"/>
      <c r="AU342" s="515"/>
      <c r="AV342" s="515"/>
      <c r="AW342" s="515"/>
      <c r="AX342" s="515"/>
      <c r="AY342" s="515"/>
      <c r="AZ342" s="515"/>
      <c r="BA342" s="515"/>
      <c r="BB342" s="515"/>
      <c r="BC342" s="515"/>
      <c r="BD342" s="515"/>
      <c r="BE342" s="515"/>
      <c r="BF342" s="515"/>
      <c r="BG342" s="515"/>
      <c r="BH342" s="515"/>
      <c r="BI342" s="515"/>
      <c r="BJ342" s="515"/>
      <c r="BK342" s="515"/>
      <c r="BL342" s="515"/>
      <c r="BM342" s="515"/>
      <c r="BN342" s="515"/>
      <c r="BO342" s="515"/>
      <c r="BP342" s="515"/>
      <c r="BQ342" s="515"/>
      <c r="BR342" s="515"/>
      <c r="BS342" s="515"/>
      <c r="BT342" s="515"/>
      <c r="BU342" s="515"/>
      <c r="BV342" s="515"/>
      <c r="BW342" s="515"/>
      <c r="BX342" s="515"/>
      <c r="BY342" s="515"/>
      <c r="BZ342" s="515"/>
      <c r="CA342" s="515"/>
      <c r="CB342" s="515"/>
      <c r="CC342" s="515"/>
      <c r="CD342" s="515"/>
      <c r="CE342" s="515"/>
      <c r="CF342" s="515"/>
      <c r="CG342" s="515"/>
      <c r="CH342" s="515"/>
      <c r="CI342" s="515"/>
      <c r="CJ342" s="515"/>
      <c r="CK342" s="515"/>
      <c r="CL342" s="515"/>
      <c r="CM342" s="515"/>
      <c r="CN342" s="515"/>
      <c r="CO342" s="515"/>
      <c r="CP342" s="515"/>
      <c r="CQ342" s="515"/>
      <c r="CR342" s="515"/>
      <c r="CS342" s="515"/>
      <c r="CT342" s="515"/>
      <c r="CU342" s="515"/>
      <c r="CV342" s="515"/>
      <c r="CW342" s="515"/>
      <c r="CX342" s="515"/>
      <c r="CY342" s="515"/>
      <c r="CZ342" s="515"/>
      <c r="DA342" s="515"/>
      <c r="DB342" s="515"/>
      <c r="DC342" s="515"/>
      <c r="DD342" s="515"/>
      <c r="DE342" s="515"/>
      <c r="DF342" s="515"/>
      <c r="DG342" s="515"/>
      <c r="DH342" s="515"/>
      <c r="DI342" s="515"/>
      <c r="DJ342" s="515"/>
      <c r="DK342" s="515"/>
      <c r="DL342" s="515"/>
      <c r="DM342" s="515"/>
      <c r="DN342" s="515"/>
      <c r="DO342" s="515"/>
      <c r="DP342" s="515"/>
      <c r="DQ342" s="515"/>
      <c r="DR342" s="515"/>
      <c r="DS342" s="515"/>
      <c r="DT342" s="515"/>
      <c r="DU342" s="515"/>
      <c r="DV342" s="515"/>
      <c r="DW342" s="515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4"/>
      <c r="D343" s="544" t="str">
        <f>$D$169</f>
        <v xml:space="preserve">Option 5: </v>
      </c>
      <c r="E343" s="560" t="str">
        <f>E342</f>
        <v>To be determined by the AER</v>
      </c>
      <c r="F343" s="580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446"/>
      <c r="AB343" s="447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446"/>
      <c r="AA345" s="446"/>
      <c r="AB345" s="447"/>
    </row>
    <row r="346" spans="2:257" ht="16.5" thickBot="1" x14ac:dyDescent="0.3">
      <c r="B346" s="445"/>
      <c r="C346" s="500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446"/>
      <c r="AA347" s="446"/>
      <c r="AB347" s="447"/>
    </row>
    <row r="348" spans="2:257" ht="13.5" thickBot="1" x14ac:dyDescent="0.25">
      <c r="B348" s="445"/>
      <c r="C348" s="446"/>
      <c r="D348" s="494" t="s">
        <v>203</v>
      </c>
      <c r="E348" s="494">
        <v>2</v>
      </c>
      <c r="F348" s="566"/>
      <c r="G348" s="566"/>
      <c r="H348" s="566"/>
      <c r="I348" s="566"/>
      <c r="J348" s="566"/>
      <c r="K348" s="566"/>
      <c r="L348" s="681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6"/>
      <c r="G350" s="584" t="str">
        <f>'Administrator Input'!F69</f>
        <v>Capex</v>
      </c>
      <c r="H350" s="584" t="str">
        <f>'Administrator Input'!G69</f>
        <v>Opex</v>
      </c>
      <c r="I350" s="584" t="str">
        <f>'Administrator Input'!H69</f>
        <v>Discount Rate</v>
      </c>
      <c r="J350" s="584" t="s">
        <v>284</v>
      </c>
      <c r="K350" s="584" t="s">
        <v>285</v>
      </c>
      <c r="L350" s="584" t="s">
        <v>286</v>
      </c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5" t="str">
        <f>'Administrator Input'!D68</f>
        <v>Best Case Scenario</v>
      </c>
      <c r="G351" s="586">
        <f>IF($E$348=1,'Administrator Input'!F70,IF($E$348=2,'Administrator Input'!F71,IF($E$348=3,'Administrator Input'!F72,0)))</f>
        <v>-0.1</v>
      </c>
      <c r="H351" s="586">
        <f>IF($E$348=1,'Administrator Input'!G70,IF($E$348=2,'Administrator Input'!G71,IF($E$348=3,'Administrator Input'!G72,0)))</f>
        <v>-0.1</v>
      </c>
      <c r="I351" s="586">
        <f>IF($E$348=1,'Administrator Input'!H70,IF($E$348=2,'Administrator Input'!H71,IF($E$348=3,'Administrator Input'!H72,0)))</f>
        <v>-0.01</v>
      </c>
      <c r="J351" s="586">
        <f>IF($E$348=1,'Administrator Input'!I70,IF($E$348=2,'Administrator Input'!I71,IF($E$348=3,'Administrator Input'!I72,0)))</f>
        <v>-0.1</v>
      </c>
      <c r="K351" s="586">
        <f>IF($E$348=1,'Administrator Input'!J70,IF($E$348=2,'Administrator Input'!J71,IF($E$348=3,'Administrator Input'!J72,0)))</f>
        <v>-0.1</v>
      </c>
      <c r="L351" s="586">
        <f>IF($E$348=1,'Administrator Input'!K70,IF($E$348=2,'Administrator Input'!K71,IF($E$348=3,'Administrator Input'!K72,0)))</f>
        <v>-0.1</v>
      </c>
      <c r="M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7" t="str">
        <f>'Administrator Input'!D73</f>
        <v>Worst Case Scenario</v>
      </c>
      <c r="G352" s="586">
        <f>IF($E$348=1,'Administrator Input'!F75,IF($E$348=2,'Administrator Input'!F76,IF($E$348=3,'Administrator Input'!F77,0)))</f>
        <v>0.1</v>
      </c>
      <c r="H352" s="586">
        <f>IF($E$348=1,'Administrator Input'!G75,IF($E$348=2,'Administrator Input'!G76,IF($E$348=3,'Administrator Input'!G77,0)))</f>
        <v>0.1</v>
      </c>
      <c r="I352" s="586">
        <f>IF($E$348=1,'Administrator Input'!H75,IF($E$348=2,'Administrator Input'!H76,IF($E$348=3,'Administrator Input'!H77,0)))</f>
        <v>0.01</v>
      </c>
      <c r="J352" s="586">
        <f>IF($E$348=1,'Administrator Input'!I75,IF($E$348=2,'Administrator Input'!I76,IF($E$348=3,'Administrator Input'!I77,0)))</f>
        <v>-0.1</v>
      </c>
      <c r="K352" s="586">
        <f>IF($E$348=1,'Administrator Input'!J75,IF($E$348=2,'Administrator Input'!J76,IF($E$348=3,'Administrator Input'!J77,0)))</f>
        <v>-0.1</v>
      </c>
      <c r="L352" s="586">
        <f>IF($E$348=1,'Administrator Input'!K75,IF($E$348=2,'Administrator Input'!K76,IF($E$348=3,'Administrator Input'!K77,0)))</f>
        <v>-0.1</v>
      </c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7"/>
      <c r="G353" s="586"/>
      <c r="H353" s="586"/>
      <c r="I353" s="586"/>
      <c r="J353" s="586"/>
      <c r="K353" s="586"/>
      <c r="L353" s="58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8" t="s">
        <v>303</v>
      </c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446"/>
      <c r="AA354" s="446"/>
      <c r="AB354" s="447"/>
    </row>
    <row r="355" spans="1:127" x14ac:dyDescent="0.2">
      <c r="B355" s="445"/>
      <c r="C355" s="446"/>
      <c r="D355" s="446"/>
      <c r="F355" s="538" t="s">
        <v>304</v>
      </c>
      <c r="G355" s="566"/>
      <c r="H355" s="566"/>
      <c r="I355" s="566"/>
      <c r="J355" s="566"/>
      <c r="K355" s="566"/>
      <c r="L355" s="566"/>
      <c r="M355" s="566"/>
      <c r="N355" s="566"/>
      <c r="O355" s="566"/>
      <c r="P355" s="566"/>
      <c r="Q355" s="566"/>
      <c r="R355" s="566"/>
      <c r="S355" s="566"/>
      <c r="T355" s="566"/>
      <c r="U355" s="566"/>
      <c r="V355" s="566"/>
      <c r="W355" s="566"/>
      <c r="X355" s="566"/>
      <c r="Y355" s="566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8" t="str">
        <f>"Version "&amp;+'Version Control'!B14</f>
        <v>Version 1.3</v>
      </c>
      <c r="D357" s="459"/>
      <c r="E357" s="589" t="str">
        <f>"Date Issued"</f>
        <v>Date Issued</v>
      </c>
      <c r="F357" s="590">
        <f>'Version Control'!E3</f>
        <v>41956</v>
      </c>
      <c r="G357" s="588"/>
      <c r="H357" s="459"/>
      <c r="I357" s="589" t="s">
        <v>246</v>
      </c>
      <c r="J357" s="590">
        <f>F357+365</f>
        <v>42321</v>
      </c>
      <c r="K357" s="459"/>
      <c r="L357" s="591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287</v>
      </c>
    </row>
    <row r="4" spans="2:18" x14ac:dyDescent="0.2">
      <c r="D4" s="686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7" t="e">
        <f>1/#REF!</f>
        <v>#REF!</v>
      </c>
      <c r="D7" s="687" t="e">
        <f>C7*(1+$D$4)</f>
        <v>#REF!</v>
      </c>
      <c r="E7" s="687" t="e">
        <f t="shared" ref="E7:M7" si="0">D7*(1+$D$4)</f>
        <v>#REF!</v>
      </c>
      <c r="F7" s="687" t="e">
        <f t="shared" si="0"/>
        <v>#REF!</v>
      </c>
      <c r="G7" s="687" t="e">
        <f t="shared" si="0"/>
        <v>#REF!</v>
      </c>
      <c r="H7" s="687" t="e">
        <f t="shared" si="0"/>
        <v>#REF!</v>
      </c>
      <c r="I7" s="687" t="e">
        <f t="shared" si="0"/>
        <v>#REF!</v>
      </c>
      <c r="J7" s="687" t="e">
        <f t="shared" si="0"/>
        <v>#REF!</v>
      </c>
      <c r="K7" s="687" t="e">
        <f t="shared" si="0"/>
        <v>#REF!</v>
      </c>
      <c r="L7" s="687" t="e">
        <f t="shared" si="0"/>
        <v>#REF!</v>
      </c>
      <c r="M7" s="687" t="e">
        <f t="shared" si="0"/>
        <v>#REF!</v>
      </c>
      <c r="N7" s="687"/>
      <c r="O7" s="687"/>
      <c r="P7" s="687"/>
      <c r="Q7" s="687"/>
      <c r="R7" s="687"/>
    </row>
    <row r="10" spans="2:18" ht="13.5" thickBot="1" x14ac:dyDescent="0.25"/>
    <row r="11" spans="2:18" ht="13.5" thickBot="1" x14ac:dyDescent="0.25">
      <c r="B11" s="685" t="s">
        <v>288</v>
      </c>
    </row>
    <row r="12" spans="2:18" x14ac:dyDescent="0.2">
      <c r="D12" s="686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7" t="e">
        <f>1/#REF!</f>
        <v>#REF!</v>
      </c>
      <c r="D15" s="687" t="e">
        <f>C15*(1+$D$12)</f>
        <v>#REF!</v>
      </c>
      <c r="E15" s="687" t="e">
        <f t="shared" ref="E15:M15" si="1">D15*(1+$D$12)</f>
        <v>#REF!</v>
      </c>
      <c r="F15" s="687" t="e">
        <f t="shared" si="1"/>
        <v>#REF!</v>
      </c>
      <c r="G15" s="687" t="e">
        <f t="shared" si="1"/>
        <v>#REF!</v>
      </c>
      <c r="H15" s="687" t="e">
        <f t="shared" si="1"/>
        <v>#REF!</v>
      </c>
      <c r="I15" s="687" t="e">
        <f t="shared" si="1"/>
        <v>#REF!</v>
      </c>
      <c r="J15" s="687" t="e">
        <f t="shared" si="1"/>
        <v>#REF!</v>
      </c>
      <c r="K15" s="687" t="e">
        <f t="shared" si="1"/>
        <v>#REF!</v>
      </c>
      <c r="L15" s="687" t="e">
        <f t="shared" si="1"/>
        <v>#REF!</v>
      </c>
      <c r="M15" s="687" t="e">
        <f t="shared" si="1"/>
        <v>#REF!</v>
      </c>
      <c r="N15" s="687"/>
      <c r="O15" s="687"/>
      <c r="P15" s="687"/>
      <c r="Q15" s="687"/>
      <c r="R15" s="687"/>
    </row>
    <row r="20" spans="2:18" ht="13.5" thickBot="1" x14ac:dyDescent="0.25"/>
    <row r="21" spans="2:18" ht="13.5" thickBot="1" x14ac:dyDescent="0.25">
      <c r="B21" s="685" t="s">
        <v>289</v>
      </c>
    </row>
    <row r="22" spans="2:18" x14ac:dyDescent="0.2">
      <c r="D22" s="686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7" t="e">
        <f>1/#REF!</f>
        <v>#REF!</v>
      </c>
      <c r="D25" s="687" t="e">
        <f>C25*(1+$D$22)</f>
        <v>#REF!</v>
      </c>
      <c r="E25" s="687" t="e">
        <f t="shared" ref="E25:M25" si="2">D25*(1+$D$22)</f>
        <v>#REF!</v>
      </c>
      <c r="F25" s="687" t="e">
        <f t="shared" si="2"/>
        <v>#REF!</v>
      </c>
      <c r="G25" s="687" t="e">
        <f t="shared" si="2"/>
        <v>#REF!</v>
      </c>
      <c r="H25" s="687" t="e">
        <f t="shared" si="2"/>
        <v>#REF!</v>
      </c>
      <c r="I25" s="687" t="e">
        <f t="shared" si="2"/>
        <v>#REF!</v>
      </c>
      <c r="J25" s="687" t="e">
        <f t="shared" si="2"/>
        <v>#REF!</v>
      </c>
      <c r="K25" s="687" t="e">
        <f t="shared" si="2"/>
        <v>#REF!</v>
      </c>
      <c r="L25" s="687" t="e">
        <f t="shared" si="2"/>
        <v>#REF!</v>
      </c>
      <c r="M25" s="687" t="e">
        <f t="shared" si="2"/>
        <v>#REF!</v>
      </c>
      <c r="N25" s="687"/>
      <c r="O25" s="687"/>
      <c r="P25" s="687"/>
      <c r="Q25" s="687"/>
      <c r="R25" s="687"/>
    </row>
    <row r="30" spans="2:18" ht="13.5" thickBot="1" x14ac:dyDescent="0.25"/>
    <row r="31" spans="2:18" ht="13.5" thickBot="1" x14ac:dyDescent="0.25">
      <c r="B31" s="685" t="s">
        <v>283</v>
      </c>
    </row>
    <row r="32" spans="2:18" x14ac:dyDescent="0.2">
      <c r="D32" s="686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7" t="e">
        <f>1/#REF!</f>
        <v>#REF!</v>
      </c>
      <c r="D35" s="687" t="e">
        <f>C35*(1+$D$32)</f>
        <v>#REF!</v>
      </c>
      <c r="E35" s="687" t="e">
        <f t="shared" ref="E35:M35" si="3">D35*(1+$D$32)</f>
        <v>#REF!</v>
      </c>
      <c r="F35" s="687" t="e">
        <f t="shared" si="3"/>
        <v>#REF!</v>
      </c>
      <c r="G35" s="687" t="e">
        <f t="shared" si="3"/>
        <v>#REF!</v>
      </c>
      <c r="H35" s="687" t="e">
        <f t="shared" si="3"/>
        <v>#REF!</v>
      </c>
      <c r="I35" s="687" t="e">
        <f t="shared" si="3"/>
        <v>#REF!</v>
      </c>
      <c r="J35" s="687" t="e">
        <f t="shared" si="3"/>
        <v>#REF!</v>
      </c>
      <c r="K35" s="687" t="e">
        <f t="shared" si="3"/>
        <v>#REF!</v>
      </c>
      <c r="L35" s="687" t="e">
        <f t="shared" si="3"/>
        <v>#REF!</v>
      </c>
      <c r="M35" s="687" t="e">
        <f t="shared" si="3"/>
        <v>#REF!</v>
      </c>
      <c r="N35" s="687"/>
      <c r="O35" s="687"/>
      <c r="P35" s="687"/>
      <c r="Q35" s="687"/>
      <c r="R35" s="687"/>
    </row>
    <row r="40" spans="2:43" ht="13.5" thickBot="1" x14ac:dyDescent="0.25"/>
    <row r="41" spans="2:43" ht="13.5" thickBot="1" x14ac:dyDescent="0.25">
      <c r="B41" s="685"/>
    </row>
    <row r="42" spans="2:43" x14ac:dyDescent="0.2">
      <c r="D42" s="686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>
        <f t="shared" ref="Z45:AB45" si="4">Y45*(1+$D$42)</f>
        <v>0</v>
      </c>
      <c r="AA45" s="687">
        <f t="shared" si="4"/>
        <v>0</v>
      </c>
      <c r="AB45" s="687">
        <f t="shared" si="4"/>
        <v>0</v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321</v>
      </c>
      <c r="D3" s="182"/>
      <c r="E3" s="183" t="str">
        <f>'User Input'!E4</f>
        <v>Animal Proofing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1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2">
        <f>'Administrator Input'!F35</f>
        <v>1.9400000000000001E-2</v>
      </c>
      <c r="E8" s="703">
        <f>D8</f>
        <v>1.9400000000000001E-2</v>
      </c>
      <c r="F8" s="703">
        <f t="shared" ref="F8:Z8" si="2">E8</f>
        <v>1.9400000000000001E-2</v>
      </c>
      <c r="G8" s="703">
        <f t="shared" si="2"/>
        <v>1.9400000000000001E-2</v>
      </c>
      <c r="H8" s="703">
        <f t="shared" si="2"/>
        <v>1.9400000000000001E-2</v>
      </c>
      <c r="I8" s="703">
        <f t="shared" si="2"/>
        <v>1.9400000000000001E-2</v>
      </c>
      <c r="J8" s="703">
        <f t="shared" si="2"/>
        <v>1.9400000000000001E-2</v>
      </c>
      <c r="K8" s="703">
        <f t="shared" si="2"/>
        <v>1.9400000000000001E-2</v>
      </c>
      <c r="L8" s="703">
        <f t="shared" si="2"/>
        <v>1.9400000000000001E-2</v>
      </c>
      <c r="M8" s="703">
        <f t="shared" si="2"/>
        <v>1.9400000000000001E-2</v>
      </c>
      <c r="N8" s="703">
        <f t="shared" si="2"/>
        <v>1.9400000000000001E-2</v>
      </c>
      <c r="O8" s="703">
        <f t="shared" si="2"/>
        <v>1.9400000000000001E-2</v>
      </c>
      <c r="P8" s="703">
        <f t="shared" si="2"/>
        <v>1.9400000000000001E-2</v>
      </c>
      <c r="Q8" s="703">
        <f t="shared" si="2"/>
        <v>1.9400000000000001E-2</v>
      </c>
      <c r="R8" s="703">
        <f t="shared" si="2"/>
        <v>1.9400000000000001E-2</v>
      </c>
      <c r="S8" s="703">
        <f t="shared" si="2"/>
        <v>1.9400000000000001E-2</v>
      </c>
      <c r="T8" s="703">
        <f t="shared" si="2"/>
        <v>1.9400000000000001E-2</v>
      </c>
      <c r="U8" s="703">
        <f t="shared" si="2"/>
        <v>1.9400000000000001E-2</v>
      </c>
      <c r="V8" s="703">
        <f t="shared" si="2"/>
        <v>1.9400000000000001E-2</v>
      </c>
      <c r="W8" s="703">
        <f t="shared" si="2"/>
        <v>1.9400000000000001E-2</v>
      </c>
      <c r="X8" s="703">
        <f t="shared" si="2"/>
        <v>1.9400000000000001E-2</v>
      </c>
      <c r="Y8" s="703">
        <f t="shared" si="2"/>
        <v>1.9400000000000001E-2</v>
      </c>
      <c r="Z8" s="703">
        <f t="shared" si="2"/>
        <v>1.9400000000000001E-2</v>
      </c>
    </row>
    <row r="9" spans="2:26" x14ac:dyDescent="0.2">
      <c r="B9" s="107" t="s">
        <v>322</v>
      </c>
      <c r="E9" s="700">
        <f>+(1+$D$4)^(E5-'User Input'!$E$9)</f>
        <v>1.0867</v>
      </c>
      <c r="F9" s="700">
        <f>+(1+$D$4)^(F5-'User Input'!$E$9)</f>
        <v>1.18091689</v>
      </c>
      <c r="G9" s="700">
        <f>+(1+$D$4)^(G5-'User Input'!$E$9)</f>
        <v>1.283302384363</v>
      </c>
      <c r="H9" s="700">
        <f>+(1+$D$4)^(H5-'User Input'!$E$9)</f>
        <v>1.3945647010872722</v>
      </c>
      <c r="I9" s="700">
        <f>+(1+$D$4)^(I5-'User Input'!$E$9)</f>
        <v>1.5154734606715385</v>
      </c>
      <c r="J9" s="700">
        <f>+(1+$D$4)^(J5-'User Input'!$E$9)</f>
        <v>1.646865009711761</v>
      </c>
      <c r="K9" s="700">
        <f>+(1+$D$4)^(K5-'User Input'!$E$9)</f>
        <v>1.7896482060537708</v>
      </c>
      <c r="L9" s="700">
        <f>+(1+$D$4)^(L5-'User Input'!$E$9)</f>
        <v>1.9448107055186328</v>
      </c>
      <c r="M9" s="700">
        <f>+(1+$D$4)^(M5-'User Input'!$E$9)</f>
        <v>2.1134257936870982</v>
      </c>
      <c r="N9" s="700">
        <f>+(1+$D$4)^(N5-'User Input'!$E$9)</f>
        <v>2.2966598099997695</v>
      </c>
      <c r="O9" s="700">
        <f>+(1+$D$4)^(O5-'User Input'!$E$9)</f>
        <v>2.4957802155267497</v>
      </c>
      <c r="P9" s="700">
        <f>+(1+$D$4)^(P5-'User Input'!$E$9)</f>
        <v>2.7121643602129191</v>
      </c>
      <c r="Q9" s="700">
        <f>+(1+$D$4)^(Q5-'User Input'!$E$9)</f>
        <v>2.9473090102433788</v>
      </c>
      <c r="R9" s="700">
        <f>+(1+$D$4)^(R5-'User Input'!$E$9)</f>
        <v>3.2028407014314797</v>
      </c>
      <c r="S9" s="700">
        <f>+(1+$D$4)^(S5-'User Input'!$E$9)</f>
        <v>3.4805269902455898</v>
      </c>
      <c r="T9" s="700">
        <f>+(1+$D$4)^(T5-'User Input'!$E$9)</f>
        <v>3.7822886802998821</v>
      </c>
      <c r="U9" s="700">
        <f>+(1+$D$4)^(U5-'User Input'!$E$9)</f>
        <v>4.1102131088818821</v>
      </c>
      <c r="V9" s="700">
        <f>+(1+$D$4)^(V5-'User Input'!$E$9)</f>
        <v>4.4665685854219408</v>
      </c>
      <c r="W9" s="700">
        <f>+(1+$D$4)^(W5-'User Input'!$E$9)</f>
        <v>4.8538200817780233</v>
      </c>
      <c r="X9" s="700">
        <f>+(1+$D$4)^(X5-'User Input'!$E$9)</f>
        <v>5.2746462828681784</v>
      </c>
      <c r="Y9" s="700">
        <f>+(1+$D$4)^(Y5-'User Input'!$E$9)</f>
        <v>5.7319581155928487</v>
      </c>
      <c r="Z9" s="700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7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12883.004142925978</v>
      </c>
      <c r="E17" s="259">
        <v>0</v>
      </c>
      <c r="F17" s="259">
        <v>0</v>
      </c>
      <c r="G17" s="697">
        <v>0</v>
      </c>
      <c r="H17" s="64">
        <f>IF('User Input'!$I$8=1,'User Input'!F30*'Administrator Input'!$F$41*H10,0)</f>
        <v>604.86659052325774</v>
      </c>
      <c r="I17" s="64">
        <f>IF('User Input'!$I$8=1,'User Input'!G30*'Administrator Input'!$F$41*I10,0)</f>
        <v>616.6010023794089</v>
      </c>
      <c r="J17" s="64">
        <f>IF('User Input'!$I$8=1,'User Input'!H30*'Administrator Input'!$F$41*J10,0)</f>
        <v>628.56306182556943</v>
      </c>
      <c r="K17" s="64">
        <f>IF('User Input'!$I$8=1,'User Input'!I30*'Administrator Input'!$F$41*K10,0)</f>
        <v>640.75718522498551</v>
      </c>
      <c r="L17" s="64">
        <f>IF('User Input'!$I$8=1,'User Input'!J30*'Administrator Input'!$F$41*L10,0)</f>
        <v>653.18787461835018</v>
      </c>
      <c r="M17" s="64">
        <f>IF('User Input'!$I$8=1,'User Input'!K30*'Administrator Input'!$F$41*M10,0)</f>
        <v>665.85971938594616</v>
      </c>
      <c r="N17" s="64">
        <f>IF('User Input'!$I$8=1,'User Input'!L30*'Administrator Input'!$F$41*N10,0)</f>
        <v>678.77739794203353</v>
      </c>
      <c r="O17" s="64">
        <f>IF('User Input'!$I$8=1,'User Input'!M30*'Administrator Input'!$F$41*O10,0)</f>
        <v>691.94567946210896</v>
      </c>
      <c r="P17" s="64">
        <f>IF('User Input'!$I$8=1,'User Input'!N30*'Administrator Input'!$F$41*P10,0)</f>
        <v>705.36942564367394</v>
      </c>
      <c r="Q17" s="64">
        <f>IF('User Input'!$I$8=1,'User Input'!O30*'Administrator Input'!$F$41*Q10,0)</f>
        <v>719.05359250116112</v>
      </c>
      <c r="R17" s="64">
        <f>IF('User Input'!$I$8=1,'User Input'!P30*'Administrator Input'!$F$41*R10,0)</f>
        <v>733.00323219568361</v>
      </c>
      <c r="S17" s="64">
        <f>IF('User Input'!$I$8=1,'User Input'!Q30*'Administrator Input'!$F$41*S10,0)</f>
        <v>747.22349490027989</v>
      </c>
      <c r="T17" s="64">
        <f>IF('User Input'!$I$8=1,'User Input'!R30*'Administrator Input'!$F$41*T10,0)</f>
        <v>761.7196307013453</v>
      </c>
      <c r="U17" s="64">
        <f>IF('User Input'!$I$8=1,'User Input'!S30*'Administrator Input'!$F$41*U10,0)</f>
        <v>776.49699153695144</v>
      </c>
      <c r="V17" s="64">
        <f>IF('User Input'!$I$8=1,'User Input'!T30*'Administrator Input'!$F$41*V10,0)</f>
        <v>791.56103317276813</v>
      </c>
      <c r="W17" s="64">
        <f>IF('User Input'!$I$8=1,'User Input'!U30*'Administrator Input'!$F$41*W10,0)</f>
        <v>806.91731721631982</v>
      </c>
      <c r="X17" s="64">
        <f>IF('User Input'!$I$8=1,'User Input'!V30*'Administrator Input'!$F$41*X10,0)</f>
        <v>822.57151317031639</v>
      </c>
      <c r="Y17" s="64">
        <f>IF('User Input'!$I$8=1,'User Input'!W30*'Administrator Input'!$F$41*Y10,0)</f>
        <v>838.52940052582051</v>
      </c>
      <c r="Z17" s="64">
        <f>IF('User Input'!$I$8=1,'User Input'!X30*'Administrator Input'!$F$41*Z10,0)</f>
        <v>854.79687089602146</v>
      </c>
    </row>
    <row r="18" spans="2:26" ht="13.5" thickBot="1" x14ac:dyDescent="0.25">
      <c r="B18" s="13"/>
      <c r="C18" s="140" t="s">
        <v>129</v>
      </c>
      <c r="D18" s="67">
        <f t="shared" si="5"/>
        <v>42532.406022100127</v>
      </c>
      <c r="E18" s="259">
        <v>0</v>
      </c>
      <c r="F18" s="259">
        <v>0</v>
      </c>
      <c r="G18" s="697">
        <v>0</v>
      </c>
      <c r="H18" s="64">
        <f>IF('User Input'!$I$8=1,'User Input'!F31*'Administrator Input'!$F$42*H10,0)</f>
        <v>1996.9279782825256</v>
      </c>
      <c r="I18" s="64">
        <f>IF('User Input'!$I$8=1,'User Input'!G31*'Administrator Input'!$F$42*I10,0)</f>
        <v>2035.6683810612064</v>
      </c>
      <c r="J18" s="64">
        <f>IF('User Input'!$I$8=1,'User Input'!H31*'Administrator Input'!$F$42*J10,0)</f>
        <v>2075.1603476537939</v>
      </c>
      <c r="K18" s="64">
        <f>IF('User Input'!$I$8=1,'User Input'!I31*'Administrator Input'!$F$42*K10,0)</f>
        <v>2115.4184583982778</v>
      </c>
      <c r="L18" s="64">
        <f>IF('User Input'!$I$8=1,'User Input'!J31*'Administrator Input'!$F$42*L10,0)</f>
        <v>2156.4575764912042</v>
      </c>
      <c r="M18" s="64">
        <f>IF('User Input'!$I$8=1,'User Input'!K31*'Administrator Input'!$F$42*M10,0)</f>
        <v>2198.2928534751336</v>
      </c>
      <c r="N18" s="64">
        <f>IF('User Input'!$I$8=1,'User Input'!L31*'Administrator Input'!$F$42*N10,0)</f>
        <v>2240.939734832551</v>
      </c>
      <c r="O18" s="64">
        <f>IF('User Input'!$I$8=1,'User Input'!M31*'Administrator Input'!$F$42*O10,0)</f>
        <v>2284.4139656883026</v>
      </c>
      <c r="P18" s="64">
        <f>IF('User Input'!$I$8=1,'User Input'!N31*'Administrator Input'!$F$42*P10,0)</f>
        <v>2328.7315966226556</v>
      </c>
      <c r="Q18" s="64">
        <f>IF('User Input'!$I$8=1,'User Input'!O31*'Administrator Input'!$F$42*Q10,0)</f>
        <v>2373.9089895971351</v>
      </c>
      <c r="R18" s="64">
        <f>IF('User Input'!$I$8=1,'User Input'!P31*'Administrator Input'!$F$42*R10,0)</f>
        <v>2419.9628239953195</v>
      </c>
      <c r="S18" s="64">
        <f>IF('User Input'!$I$8=1,'User Input'!Q31*'Administrator Input'!$F$42*S10,0)</f>
        <v>2466.9101027808283</v>
      </c>
      <c r="T18" s="64">
        <f>IF('User Input'!$I$8=1,'User Input'!R31*'Administrator Input'!$F$42*T10,0)</f>
        <v>2514.7681587747766</v>
      </c>
      <c r="U18" s="64">
        <f>IF('User Input'!$I$8=1,'User Input'!S31*'Administrator Input'!$F$42*U10,0)</f>
        <v>2563.5546610550073</v>
      </c>
      <c r="V18" s="64">
        <f>IF('User Input'!$I$8=1,'User Input'!T31*'Administrator Input'!$F$42*V10,0)</f>
        <v>2613.2876214794742</v>
      </c>
      <c r="W18" s="64">
        <f>IF('User Input'!$I$8=1,'User Input'!U31*'Administrator Input'!$F$42*W10,0)</f>
        <v>2663.985401336176</v>
      </c>
      <c r="X18" s="64">
        <f>IF('User Input'!$I$8=1,'User Input'!V31*'Administrator Input'!$F$42*X10,0)</f>
        <v>2715.6667181220973</v>
      </c>
      <c r="Y18" s="64">
        <f>IF('User Input'!$I$8=1,'User Input'!W31*'Administrator Input'!$F$42*Y10,0)</f>
        <v>2768.350652453666</v>
      </c>
      <c r="Z18" s="64">
        <f>IF('User Input'!$I$8=1,'User Input'!X31*'Administrator Input'!$F$42*Z10,0)</f>
        <v>2822.0566551112674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7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7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7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7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7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7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7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7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7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7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7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7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7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7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55415.410165026115</v>
      </c>
      <c r="E33" s="65">
        <f>SUM(E14:E32)</f>
        <v>0</v>
      </c>
      <c r="F33" s="66">
        <f t="shared" ref="F33:Y33" si="6">SUM(F14:F32)</f>
        <v>0</v>
      </c>
      <c r="G33" s="66">
        <f t="shared" si="6"/>
        <v>0</v>
      </c>
      <c r="H33" s="66">
        <f t="shared" si="6"/>
        <v>2601.7945688057835</v>
      </c>
      <c r="I33" s="66">
        <f t="shared" si="6"/>
        <v>2652.2693834406155</v>
      </c>
      <c r="J33" s="66">
        <f>SUM(J14:J32)</f>
        <v>2703.7234094793635</v>
      </c>
      <c r="K33" s="66">
        <f t="shared" si="6"/>
        <v>2756.1756436232636</v>
      </c>
      <c r="L33" s="66">
        <f t="shared" si="6"/>
        <v>2809.6454511095544</v>
      </c>
      <c r="M33" s="66">
        <f t="shared" si="6"/>
        <v>2864.1525728610795</v>
      </c>
      <c r="N33" s="66">
        <f t="shared" si="6"/>
        <v>2919.7171327745846</v>
      </c>
      <c r="O33" s="66">
        <f t="shared" si="6"/>
        <v>2976.3596451504118</v>
      </c>
      <c r="P33" s="66">
        <f t="shared" si="6"/>
        <v>3034.1010222663294</v>
      </c>
      <c r="Q33" s="66">
        <f t="shared" si="6"/>
        <v>3092.9625820982965</v>
      </c>
      <c r="R33" s="66">
        <f t="shared" si="6"/>
        <v>3152.9660561910032</v>
      </c>
      <c r="S33" s="66">
        <f t="shared" si="6"/>
        <v>3214.1335976811083</v>
      </c>
      <c r="T33" s="66">
        <f t="shared" si="6"/>
        <v>3276.4877894761221</v>
      </c>
      <c r="U33" s="66">
        <f t="shared" si="6"/>
        <v>3340.0516525919588</v>
      </c>
      <c r="V33" s="66">
        <f t="shared" si="6"/>
        <v>3404.8486546522422</v>
      </c>
      <c r="W33" s="66">
        <f t="shared" si="6"/>
        <v>3470.9027185524956</v>
      </c>
      <c r="X33" s="66">
        <f t="shared" si="6"/>
        <v>3538.2382312924137</v>
      </c>
      <c r="Y33" s="148">
        <f t="shared" si="6"/>
        <v>3606.8800529794867</v>
      </c>
      <c r="Z33" s="148">
        <f t="shared" ref="Z33" si="7">SUM(Z14:Z32)</f>
        <v>3676.853526007289</v>
      </c>
    </row>
    <row r="34" spans="1:26" ht="13.5" thickBot="1" x14ac:dyDescent="0.25">
      <c r="B34" s="13"/>
      <c r="C34" s="54" t="s">
        <v>50</v>
      </c>
      <c r="D34" s="67">
        <f>SUM(E34:Y34)</f>
        <v>20593.696270662516</v>
      </c>
      <c r="E34" s="77">
        <f>+E33/E$9</f>
        <v>0</v>
      </c>
      <c r="F34" s="77">
        <f t="shared" ref="F34:Z34" si="8">+F33/F$9</f>
        <v>0</v>
      </c>
      <c r="G34" s="77">
        <f t="shared" si="8"/>
        <v>0</v>
      </c>
      <c r="H34" s="77">
        <f t="shared" si="8"/>
        <v>1865.6678795736725</v>
      </c>
      <c r="I34" s="77">
        <f t="shared" si="8"/>
        <v>1750.1259192393502</v>
      </c>
      <c r="J34" s="77">
        <f t="shared" si="8"/>
        <v>1641.7395436390848</v>
      </c>
      <c r="K34" s="77">
        <f t="shared" si="8"/>
        <v>1540.0656030051377</v>
      </c>
      <c r="L34" s="77">
        <f t="shared" si="8"/>
        <v>1444.6883921076997</v>
      </c>
      <c r="M34" s="77">
        <f t="shared" si="8"/>
        <v>1355.2179505977629</v>
      </c>
      <c r="N34" s="77">
        <f t="shared" si="8"/>
        <v>1271.288468610803</v>
      </c>
      <c r="O34" s="77">
        <f t="shared" si="8"/>
        <v>1192.5567911124069</v>
      </c>
      <c r="P34" s="77">
        <f t="shared" si="8"/>
        <v>1118.7010148706979</v>
      </c>
      <c r="Q34" s="77">
        <f t="shared" si="8"/>
        <v>1049.4191723191218</v>
      </c>
      <c r="R34" s="77">
        <f t="shared" si="8"/>
        <v>984.42799692841868</v>
      </c>
      <c r="S34" s="77">
        <f t="shared" si="8"/>
        <v>923.46176503987272</v>
      </c>
      <c r="T34" s="77">
        <f t="shared" si="8"/>
        <v>866.27120942453894</v>
      </c>
      <c r="U34" s="77">
        <f t="shared" si="8"/>
        <v>812.62250012641471</v>
      </c>
      <c r="V34" s="77">
        <f t="shared" si="8"/>
        <v>762.29628842262548</v>
      </c>
      <c r="W34" s="77">
        <f t="shared" si="8"/>
        <v>715.08680999174044</v>
      </c>
      <c r="X34" s="77">
        <f t="shared" si="8"/>
        <v>670.80104362342888</v>
      </c>
      <c r="Y34" s="77">
        <f t="shared" si="8"/>
        <v>629.25792202974458</v>
      </c>
      <c r="Z34" s="77">
        <f t="shared" si="8"/>
        <v>590.28759153135343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Animal Proofing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10646.613600000001</v>
      </c>
      <c r="E38" s="64">
        <f>'User Input'!F16*E10</f>
        <v>10646.613600000001</v>
      </c>
      <c r="F38" s="64">
        <f>'User Input'!G16*F$10</f>
        <v>0</v>
      </c>
      <c r="G38" s="64">
        <f>'User Input'!H16*G$10</f>
        <v>0</v>
      </c>
      <c r="H38" s="64">
        <f>'User Input'!I16*H$10</f>
        <v>0</v>
      </c>
      <c r="I38" s="64">
        <f>'User Input'!J16*I$10</f>
        <v>0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7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7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7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7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7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7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7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Cost 1</v>
      </c>
      <c r="D47" s="67">
        <f t="shared" si="9"/>
        <v>0</v>
      </c>
      <c r="E47" s="697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7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7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7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7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7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7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7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7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7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10646.613600000001</v>
      </c>
      <c r="E57" s="68">
        <f>SUM(E38:E56)</f>
        <v>10646.613600000001</v>
      </c>
      <c r="F57" s="69">
        <f t="shared" ref="F57:Y57" si="10">SUM(F38:F56)</f>
        <v>0</v>
      </c>
      <c r="G57" s="69">
        <f t="shared" si="10"/>
        <v>0</v>
      </c>
      <c r="H57" s="69">
        <f t="shared" si="10"/>
        <v>0</v>
      </c>
      <c r="I57" s="69">
        <f t="shared" si="10"/>
        <v>0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9797.196650409498</v>
      </c>
      <c r="E58" s="77">
        <f>+E57/E$9</f>
        <v>9797.196650409498</v>
      </c>
      <c r="F58" s="77">
        <f t="shared" ref="F58:Z58" si="12">+F57/F$9</f>
        <v>0</v>
      </c>
      <c r="G58" s="77">
        <f t="shared" si="12"/>
        <v>0</v>
      </c>
      <c r="H58" s="77">
        <f t="shared" si="12"/>
        <v>0</v>
      </c>
      <c r="I58" s="77">
        <f t="shared" si="12"/>
        <v>0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 xml:space="preserve">Option 2: 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0</v>
      </c>
      <c r="E62" s="64">
        <f>'User Input'!F17*E10</f>
        <v>0</v>
      </c>
      <c r="F62" s="64">
        <f>'User Input'!G17*F$10</f>
        <v>0</v>
      </c>
      <c r="G62" s="64">
        <f>'User Input'!H17*G$10</f>
        <v>0</v>
      </c>
      <c r="H62" s="64">
        <f>'User Input'!I17*H$10</f>
        <v>0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7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7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7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7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7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7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7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7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7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7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7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7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7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7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7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7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7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0</v>
      </c>
      <c r="E81" s="68">
        <f>SUM(E62:E80)</f>
        <v>0</v>
      </c>
      <c r="F81" s="69">
        <f t="shared" ref="F81:Y81" si="14">SUM(F62:F80)</f>
        <v>0</v>
      </c>
      <c r="G81" s="69">
        <f t="shared" si="14"/>
        <v>0</v>
      </c>
      <c r="H81" s="69">
        <f t="shared" si="14"/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0</v>
      </c>
      <c r="E82" s="77">
        <f>+E81/E$9</f>
        <v>0</v>
      </c>
      <c r="F82" s="77">
        <f t="shared" ref="F82" si="16">+F81/F$9</f>
        <v>0</v>
      </c>
      <c r="G82" s="77">
        <f t="shared" ref="G82" si="17">+G81/G$9</f>
        <v>0</v>
      </c>
      <c r="H82" s="77">
        <f t="shared" ref="H82" si="18">+H81/H$9</f>
        <v>0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7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7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7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7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7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7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7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Cost 1</v>
      </c>
      <c r="D95" s="67">
        <f t="shared" si="37"/>
        <v>0</v>
      </c>
      <c r="E95" s="697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7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7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7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7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7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7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7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7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7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7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7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7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7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7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7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7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7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7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7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7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7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7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7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7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7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7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7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7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7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7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7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7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7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7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7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7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7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7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7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7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7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7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7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0</v>
      </c>
      <c r="G161" s="81">
        <f t="shared" si="49"/>
        <v>0</v>
      </c>
      <c r="H161" s="81">
        <f t="shared" si="49"/>
        <v>2601.7945688057835</v>
      </c>
      <c r="I161" s="81">
        <f t="shared" si="49"/>
        <v>2652.2693834406155</v>
      </c>
      <c r="J161" s="81">
        <f t="shared" si="49"/>
        <v>2703.7234094793635</v>
      </c>
      <c r="K161" s="81">
        <f t="shared" si="49"/>
        <v>2756.1756436232636</v>
      </c>
      <c r="L161" s="81">
        <f t="shared" si="49"/>
        <v>2809.6454511095544</v>
      </c>
      <c r="M161" s="81">
        <f t="shared" si="49"/>
        <v>2864.1525728610795</v>
      </c>
      <c r="N161" s="81">
        <f t="shared" si="49"/>
        <v>2919.7171327745846</v>
      </c>
      <c r="O161" s="81">
        <f t="shared" ref="O161:Y161" si="50">O33</f>
        <v>2976.3596451504118</v>
      </c>
      <c r="P161" s="81">
        <f t="shared" si="50"/>
        <v>3034.1010222663294</v>
      </c>
      <c r="Q161" s="81">
        <f t="shared" si="50"/>
        <v>3092.9625820982965</v>
      </c>
      <c r="R161" s="81">
        <f t="shared" si="50"/>
        <v>3152.9660561910032</v>
      </c>
      <c r="S161" s="81">
        <f t="shared" si="50"/>
        <v>3214.1335976811083</v>
      </c>
      <c r="T161" s="81">
        <f t="shared" si="50"/>
        <v>3276.4877894761221</v>
      </c>
      <c r="U161" s="81">
        <f t="shared" si="50"/>
        <v>3340.0516525919588</v>
      </c>
      <c r="V161" s="81">
        <f t="shared" si="50"/>
        <v>3404.8486546522422</v>
      </c>
      <c r="W161" s="81">
        <f t="shared" si="50"/>
        <v>3470.9027185524956</v>
      </c>
      <c r="X161" s="81">
        <f t="shared" si="50"/>
        <v>3538.2382312924137</v>
      </c>
      <c r="Y161" s="81">
        <f t="shared" si="50"/>
        <v>3606.8800529794867</v>
      </c>
      <c r="Z161" s="81">
        <f t="shared" ref="Z161" si="51">Z33</f>
        <v>3676.853526007289</v>
      </c>
    </row>
    <row r="162" spans="1:26" s="3" customFormat="1" x14ac:dyDescent="0.2">
      <c r="A162" s="130">
        <v>2</v>
      </c>
      <c r="B162" s="13"/>
      <c r="C162" s="80" t="str">
        <f>B36</f>
        <v>Option 1: Animal Proofing</v>
      </c>
      <c r="D162" s="2"/>
      <c r="E162" s="84">
        <f>E57</f>
        <v>10646.613600000001</v>
      </c>
      <c r="F162" s="84">
        <f t="shared" ref="F162:N162" si="52">F57</f>
        <v>0</v>
      </c>
      <c r="G162" s="84">
        <f t="shared" si="52"/>
        <v>0</v>
      </c>
      <c r="H162" s="84">
        <f t="shared" si="52"/>
        <v>0</v>
      </c>
      <c r="I162" s="84">
        <f t="shared" si="52"/>
        <v>0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 xml:space="preserve">Option 2: </v>
      </c>
      <c r="D163" s="2"/>
      <c r="E163" s="84">
        <f>E81</f>
        <v>0</v>
      </c>
      <c r="F163" s="84">
        <f t="shared" ref="F163:N163" si="55">F81</f>
        <v>0</v>
      </c>
      <c r="G163" s="84">
        <f t="shared" si="55"/>
        <v>0</v>
      </c>
      <c r="H163" s="84">
        <f t="shared" si="55"/>
        <v>0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0</v>
      </c>
      <c r="G170" s="81">
        <f>G34</f>
        <v>0</v>
      </c>
      <c r="H170" s="81">
        <f>H34</f>
        <v>1865.6678795736725</v>
      </c>
      <c r="I170" s="81">
        <f>I34</f>
        <v>1750.1259192393502</v>
      </c>
      <c r="J170" s="81">
        <f t="shared" ref="J170:Y170" si="64">J34</f>
        <v>1641.7395436390848</v>
      </c>
      <c r="K170" s="81">
        <f t="shared" si="64"/>
        <v>1540.0656030051377</v>
      </c>
      <c r="L170" s="81">
        <f t="shared" si="64"/>
        <v>1444.6883921076997</v>
      </c>
      <c r="M170" s="81">
        <f t="shared" si="64"/>
        <v>1355.2179505977629</v>
      </c>
      <c r="N170" s="81">
        <f t="shared" si="64"/>
        <v>1271.288468610803</v>
      </c>
      <c r="O170" s="81">
        <f t="shared" si="64"/>
        <v>1192.5567911124069</v>
      </c>
      <c r="P170" s="81">
        <f t="shared" si="64"/>
        <v>1118.7010148706979</v>
      </c>
      <c r="Q170" s="81">
        <f t="shared" si="64"/>
        <v>1049.4191723191218</v>
      </c>
      <c r="R170" s="81">
        <f t="shared" si="64"/>
        <v>984.42799692841868</v>
      </c>
      <c r="S170" s="81">
        <f t="shared" si="64"/>
        <v>923.46176503987272</v>
      </c>
      <c r="T170" s="81">
        <f t="shared" si="64"/>
        <v>866.27120942453894</v>
      </c>
      <c r="U170" s="81">
        <f t="shared" si="64"/>
        <v>812.62250012641471</v>
      </c>
      <c r="V170" s="81">
        <f t="shared" si="64"/>
        <v>762.29628842262548</v>
      </c>
      <c r="W170" s="81">
        <f t="shared" si="64"/>
        <v>715.08680999174044</v>
      </c>
      <c r="X170" s="81">
        <f t="shared" si="64"/>
        <v>670.80104362342888</v>
      </c>
      <c r="Y170" s="81">
        <f t="shared" si="64"/>
        <v>629.25792202974458</v>
      </c>
      <c r="Z170" s="81">
        <f t="shared" ref="Z170" si="65">Z34</f>
        <v>590.28759153135343</v>
      </c>
    </row>
    <row r="171" spans="1:26" s="3" customFormat="1" x14ac:dyDescent="0.2">
      <c r="A171" s="130">
        <v>2</v>
      </c>
      <c r="B171" s="13"/>
      <c r="C171" s="80" t="str">
        <f>B36</f>
        <v>Option 1: Animal Proofing</v>
      </c>
      <c r="D171" s="2"/>
      <c r="E171" s="81">
        <f>E58</f>
        <v>9797.196650409498</v>
      </c>
      <c r="F171" s="81">
        <f>F58</f>
        <v>0</v>
      </c>
      <c r="G171" s="81">
        <f>G58</f>
        <v>0</v>
      </c>
      <c r="H171" s="81">
        <f>H58</f>
        <v>0</v>
      </c>
      <c r="I171" s="81">
        <f>I58</f>
        <v>0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 xml:space="preserve">Option 2: </v>
      </c>
      <c r="D172" s="2"/>
      <c r="E172" s="81">
        <f>E82</f>
        <v>0</v>
      </c>
      <c r="F172" s="81">
        <f>F82</f>
        <v>0</v>
      </c>
      <c r="G172" s="81">
        <f>G82</f>
        <v>0</v>
      </c>
      <c r="H172" s="81">
        <f>H82</f>
        <v>0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Animal Proofing</v>
      </c>
      <c r="D180" s="80"/>
      <c r="E180" s="302">
        <f>E38</f>
        <v>10646.613600000001</v>
      </c>
      <c r="F180" s="302">
        <f t="shared" ref="F180:Y180" si="78">F38</f>
        <v>0</v>
      </c>
      <c r="G180" s="302">
        <f t="shared" si="78"/>
        <v>0</v>
      </c>
      <c r="H180" s="302">
        <f t="shared" si="78"/>
        <v>0</v>
      </c>
      <c r="I180" s="302">
        <f t="shared" si="78"/>
        <v>0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 xml:space="preserve">Option 2: </v>
      </c>
      <c r="D181" s="80"/>
      <c r="E181" s="302">
        <f>E62</f>
        <v>0</v>
      </c>
      <c r="F181" s="302">
        <f t="shared" ref="F181:Y181" si="80">F62</f>
        <v>0</v>
      </c>
      <c r="G181" s="302">
        <f t="shared" si="80"/>
        <v>0</v>
      </c>
      <c r="H181" s="302">
        <f t="shared" si="80"/>
        <v>0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Animal Proofing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0</v>
      </c>
      <c r="G188" s="145">
        <f t="shared" si="88"/>
        <v>0</v>
      </c>
      <c r="H188" s="145">
        <f t="shared" si="88"/>
        <v>-2601.7945688057835</v>
      </c>
      <c r="I188" s="145">
        <f t="shared" si="88"/>
        <v>-2652.2693834406155</v>
      </c>
      <c r="J188" s="145">
        <f t="shared" si="88"/>
        <v>-2703.7234094793635</v>
      </c>
      <c r="K188" s="145">
        <f t="shared" si="88"/>
        <v>-2756.1756436232636</v>
      </c>
      <c r="L188" s="145">
        <f t="shared" si="88"/>
        <v>-2809.6454511095544</v>
      </c>
      <c r="M188" s="145">
        <f t="shared" si="88"/>
        <v>-2864.1525728610795</v>
      </c>
      <c r="N188" s="145">
        <f t="shared" si="88"/>
        <v>-2919.7171327745846</v>
      </c>
      <c r="O188" s="145">
        <f t="shared" si="88"/>
        <v>-2976.3596451504118</v>
      </c>
      <c r="P188" s="145">
        <f t="shared" si="88"/>
        <v>-3034.1010222663294</v>
      </c>
      <c r="Q188" s="145">
        <f t="shared" si="88"/>
        <v>-3092.9625820982965</v>
      </c>
      <c r="R188" s="145">
        <f t="shared" si="88"/>
        <v>-3152.9660561910032</v>
      </c>
      <c r="S188" s="145">
        <f t="shared" si="88"/>
        <v>-3214.1335976811083</v>
      </c>
      <c r="T188" s="145">
        <f t="shared" si="88"/>
        <v>-3276.4877894761221</v>
      </c>
      <c r="U188" s="145">
        <f t="shared" si="88"/>
        <v>-3340.0516525919588</v>
      </c>
      <c r="V188" s="145">
        <f>-V161</f>
        <v>-3404.8486546522422</v>
      </c>
      <c r="W188" s="145">
        <f>-W161</f>
        <v>-3470.9027185524956</v>
      </c>
      <c r="X188" s="145">
        <f>-X161</f>
        <v>-3538.2382312924137</v>
      </c>
      <c r="Y188" s="145">
        <f>-Y161</f>
        <v>-3606.8800529794867</v>
      </c>
      <c r="Z188" s="145">
        <f t="shared" ref="Z188" si="89">-Z161</f>
        <v>-3676.853526007289</v>
      </c>
    </row>
    <row r="189" spans="1:26" s="3" customFormat="1" x14ac:dyDescent="0.2">
      <c r="A189" s="2"/>
      <c r="B189" s="13"/>
      <c r="C189" s="80" t="str">
        <f>"Cashflow - "&amp;+D222</f>
        <v>Cashflow - Option 1: Animal Proofing</v>
      </c>
      <c r="D189" s="2"/>
      <c r="E189" s="145">
        <f>-E240-E242</f>
        <v>-10646.613600000001</v>
      </c>
      <c r="F189" s="145">
        <f>-F240+E240-F242</f>
        <v>0</v>
      </c>
      <c r="G189" s="145">
        <f t="shared" ref="G189:Y189" si="90">-G240+F240-G242</f>
        <v>0</v>
      </c>
      <c r="H189" s="145">
        <f t="shared" si="90"/>
        <v>0</v>
      </c>
      <c r="I189" s="145">
        <f t="shared" si="90"/>
        <v>0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-10646.613600000001</v>
      </c>
      <c r="F190" s="82">
        <f t="shared" si="92"/>
        <v>0</v>
      </c>
      <c r="G190" s="82">
        <f t="shared" si="92"/>
        <v>0</v>
      </c>
      <c r="H190" s="82">
        <f t="shared" si="92"/>
        <v>2601.7945688057835</v>
      </c>
      <c r="I190" s="82">
        <f t="shared" si="92"/>
        <v>2652.2693834406155</v>
      </c>
      <c r="J190" s="82">
        <f t="shared" si="92"/>
        <v>2703.7234094793635</v>
      </c>
      <c r="K190" s="82">
        <f t="shared" si="92"/>
        <v>2756.1756436232636</v>
      </c>
      <c r="L190" s="82">
        <f t="shared" si="92"/>
        <v>2809.6454511095544</v>
      </c>
      <c r="M190" s="82">
        <f t="shared" si="92"/>
        <v>2864.1525728610795</v>
      </c>
      <c r="N190" s="82">
        <f t="shared" si="92"/>
        <v>2919.7171327745846</v>
      </c>
      <c r="O190" s="82">
        <f t="shared" si="92"/>
        <v>2976.3596451504118</v>
      </c>
      <c r="P190" s="82">
        <f t="shared" si="92"/>
        <v>3034.1010222663294</v>
      </c>
      <c r="Q190" s="82">
        <f t="shared" si="92"/>
        <v>3092.9625820982965</v>
      </c>
      <c r="R190" s="82">
        <f t="shared" si="92"/>
        <v>3152.9660561910032</v>
      </c>
      <c r="S190" s="82">
        <f t="shared" si="92"/>
        <v>3214.1335976811083</v>
      </c>
      <c r="T190" s="82">
        <f t="shared" si="92"/>
        <v>3276.4877894761221</v>
      </c>
      <c r="U190" s="82">
        <f t="shared" si="92"/>
        <v>3340.0516525919588</v>
      </c>
      <c r="V190" s="82">
        <f t="shared" si="92"/>
        <v>3404.8486546522422</v>
      </c>
      <c r="W190" s="82">
        <f t="shared" si="92"/>
        <v>3470.9027185524956</v>
      </c>
      <c r="X190" s="82">
        <f t="shared" si="92"/>
        <v>3538.2382312924137</v>
      </c>
      <c r="Y190" s="82">
        <f t="shared" si="92"/>
        <v>3606.8800529794867</v>
      </c>
      <c r="Z190" s="82">
        <f t="shared" ref="Z190" si="93">Z189-Z188</f>
        <v>3676.853526007289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0</v>
      </c>
      <c r="G192" s="81">
        <f t="shared" si="94"/>
        <v>0</v>
      </c>
      <c r="H192" s="81">
        <f t="shared" si="94"/>
        <v>-1865.6678795736725</v>
      </c>
      <c r="I192" s="81">
        <f t="shared" si="94"/>
        <v>-1750.1259192393502</v>
      </c>
      <c r="J192" s="81">
        <f t="shared" si="94"/>
        <v>-1641.7395436390848</v>
      </c>
      <c r="K192" s="81">
        <f t="shared" si="94"/>
        <v>-1540.0656030051377</v>
      </c>
      <c r="L192" s="81">
        <f t="shared" ref="L192:Y192" si="95">-L170</f>
        <v>-1444.6883921076997</v>
      </c>
      <c r="M192" s="81">
        <f t="shared" si="95"/>
        <v>-1355.2179505977629</v>
      </c>
      <c r="N192" s="81">
        <f t="shared" si="95"/>
        <v>-1271.288468610803</v>
      </c>
      <c r="O192" s="81">
        <f t="shared" si="95"/>
        <v>-1192.5567911124069</v>
      </c>
      <c r="P192" s="81">
        <f t="shared" si="95"/>
        <v>-1118.7010148706979</v>
      </c>
      <c r="Q192" s="81">
        <f t="shared" si="95"/>
        <v>-1049.4191723191218</v>
      </c>
      <c r="R192" s="81">
        <f t="shared" si="95"/>
        <v>-984.42799692841868</v>
      </c>
      <c r="S192" s="81">
        <f t="shared" si="95"/>
        <v>-923.46176503987272</v>
      </c>
      <c r="T192" s="81">
        <f t="shared" si="95"/>
        <v>-866.27120942453894</v>
      </c>
      <c r="U192" s="81">
        <f t="shared" si="95"/>
        <v>-812.62250012641471</v>
      </c>
      <c r="V192" s="81">
        <f t="shared" si="95"/>
        <v>-762.29628842262548</v>
      </c>
      <c r="W192" s="81">
        <f t="shared" si="95"/>
        <v>-715.08680999174044</v>
      </c>
      <c r="X192" s="81">
        <f t="shared" si="95"/>
        <v>-670.80104362342888</v>
      </c>
      <c r="Y192" s="81">
        <f t="shared" si="95"/>
        <v>-629.25792202974458</v>
      </c>
      <c r="Z192" s="81">
        <f t="shared" ref="Z192" si="96">-Z170</f>
        <v>-590.28759153135343</v>
      </c>
    </row>
    <row r="193" spans="1:26" s="3" customFormat="1" x14ac:dyDescent="0.2">
      <c r="A193" s="2"/>
      <c r="B193" s="13"/>
      <c r="C193" s="80" t="str">
        <f>"PV - "&amp;+D222</f>
        <v>PV - Option 1: Animal Proofing</v>
      </c>
      <c r="D193" s="2"/>
      <c r="E193" s="81">
        <f t="shared" ref="E193:Y193" si="97">-E231</f>
        <v>-9797.196650409498</v>
      </c>
      <c r="F193" s="81">
        <f t="shared" si="97"/>
        <v>0</v>
      </c>
      <c r="G193" s="81">
        <f t="shared" si="97"/>
        <v>0</v>
      </c>
      <c r="H193" s="81">
        <f t="shared" si="97"/>
        <v>0</v>
      </c>
      <c r="I193" s="81">
        <f t="shared" si="97"/>
        <v>0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-9797.196650409498</v>
      </c>
      <c r="F194" s="82">
        <f t="shared" si="99"/>
        <v>0</v>
      </c>
      <c r="G194" s="82">
        <f t="shared" si="99"/>
        <v>0</v>
      </c>
      <c r="H194" s="82">
        <f t="shared" si="99"/>
        <v>1865.6678795736725</v>
      </c>
      <c r="I194" s="82">
        <f t="shared" si="99"/>
        <v>1750.1259192393502</v>
      </c>
      <c r="J194" s="82">
        <f t="shared" si="99"/>
        <v>1641.7395436390848</v>
      </c>
      <c r="K194" s="82">
        <f t="shared" si="99"/>
        <v>1540.0656030051377</v>
      </c>
      <c r="L194" s="82">
        <f t="shared" si="99"/>
        <v>1444.6883921076997</v>
      </c>
      <c r="M194" s="82">
        <f t="shared" si="99"/>
        <v>1355.2179505977629</v>
      </c>
      <c r="N194" s="82">
        <f t="shared" si="99"/>
        <v>1271.288468610803</v>
      </c>
      <c r="O194" s="82">
        <f t="shared" si="99"/>
        <v>1192.5567911124069</v>
      </c>
      <c r="P194" s="82">
        <f t="shared" si="99"/>
        <v>1118.7010148706979</v>
      </c>
      <c r="Q194" s="82">
        <f t="shared" si="99"/>
        <v>1049.4191723191218</v>
      </c>
      <c r="R194" s="82">
        <f t="shared" si="99"/>
        <v>984.42799692841868</v>
      </c>
      <c r="S194" s="82">
        <f t="shared" si="99"/>
        <v>923.46176503987272</v>
      </c>
      <c r="T194" s="82">
        <f t="shared" si="99"/>
        <v>866.27120942453894</v>
      </c>
      <c r="U194" s="82">
        <f t="shared" si="99"/>
        <v>812.62250012641471</v>
      </c>
      <c r="V194" s="82">
        <f t="shared" si="99"/>
        <v>762.29628842262548</v>
      </c>
      <c r="W194" s="82">
        <f t="shared" si="99"/>
        <v>715.08680999174044</v>
      </c>
      <c r="X194" s="82">
        <f t="shared" si="99"/>
        <v>670.80104362342888</v>
      </c>
      <c r="Y194" s="82">
        <f t="shared" si="99"/>
        <v>629.25792202974458</v>
      </c>
      <c r="Z194" s="82">
        <f t="shared" ref="Z194" si="100">Z193-Z192</f>
        <v>590.28759153135343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-9797.196650409498</v>
      </c>
      <c r="F195" s="105">
        <f>E195+F194</f>
        <v>-9797.196650409498</v>
      </c>
      <c r="G195" s="105">
        <f t="shared" ref="G195:Y195" si="101">F195+G194</f>
        <v>-9797.196650409498</v>
      </c>
      <c r="H195" s="105">
        <f t="shared" si="101"/>
        <v>-7931.5287708358255</v>
      </c>
      <c r="I195" s="105">
        <f t="shared" si="101"/>
        <v>-6181.4028515964756</v>
      </c>
      <c r="J195" s="105">
        <f t="shared" si="101"/>
        <v>-4539.6633079573912</v>
      </c>
      <c r="K195" s="105">
        <f t="shared" si="101"/>
        <v>-2999.5977049522535</v>
      </c>
      <c r="L195" s="105">
        <f t="shared" si="101"/>
        <v>-1554.9093128445538</v>
      </c>
      <c r="M195" s="105">
        <f t="shared" si="101"/>
        <v>-199.69136224679096</v>
      </c>
      <c r="N195" s="105">
        <f t="shared" si="101"/>
        <v>1071.597106364012</v>
      </c>
      <c r="O195" s="105">
        <f t="shared" si="101"/>
        <v>2264.1538974764189</v>
      </c>
      <c r="P195" s="105">
        <f t="shared" si="101"/>
        <v>3382.8549123471166</v>
      </c>
      <c r="Q195" s="105">
        <f t="shared" si="101"/>
        <v>4432.2740846662382</v>
      </c>
      <c r="R195" s="105">
        <f t="shared" si="101"/>
        <v>5416.7020815946571</v>
      </c>
      <c r="S195" s="105">
        <f t="shared" si="101"/>
        <v>6340.1638466345303</v>
      </c>
      <c r="T195" s="105">
        <f t="shared" si="101"/>
        <v>7206.4350560590692</v>
      </c>
      <c r="U195" s="105">
        <f t="shared" si="101"/>
        <v>8019.0575561854839</v>
      </c>
      <c r="V195" s="105">
        <f t="shared" si="101"/>
        <v>8781.3538446081093</v>
      </c>
      <c r="W195" s="105">
        <f t="shared" si="101"/>
        <v>9496.4406545998499</v>
      </c>
      <c r="X195" s="105">
        <f t="shared" si="101"/>
        <v>10167.241698223279</v>
      </c>
      <c r="Y195" s="105">
        <f t="shared" si="101"/>
        <v>10796.499620253024</v>
      </c>
      <c r="Z195" s="105">
        <f t="shared" ref="Z195" si="102">Y195+Z194</f>
        <v>11386.787211784376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10796.499620253024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>
        <f>IRR(E190:Y190)</f>
        <v>0.18211678040836277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9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51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Animal Proofing</v>
      </c>
      <c r="F204" s="387" t="str">
        <f>B60</f>
        <v xml:space="preserve">Option 2: 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10646.613600000001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55415.410165026107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55415.410165026107</v>
      </c>
      <c r="E217" s="122">
        <f t="shared" si="109"/>
        <v>10646.613600000001</v>
      </c>
      <c r="F217" s="122">
        <f t="shared" si="109"/>
        <v>0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>
        <f>IF(D217=0," ",D34)</f>
        <v>20593.696270662516</v>
      </c>
      <c r="E219" s="123">
        <f>IF(E217=0," ",D58)</f>
        <v>9797.196650409498</v>
      </c>
      <c r="F219" s="128" t="str">
        <f>IF(F217=0," ",D82)</f>
        <v xml:space="preserve"> 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9797.196650409498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Animal Proofing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0</v>
      </c>
      <c r="G229" s="145">
        <f t="shared" si="111"/>
        <v>0</v>
      </c>
      <c r="H229" s="145">
        <f t="shared" si="111"/>
        <v>2601.7945688057835</v>
      </c>
      <c r="I229" s="145">
        <f t="shared" si="111"/>
        <v>2652.2693834406155</v>
      </c>
      <c r="J229" s="145">
        <f t="shared" si="111"/>
        <v>2703.7234094793635</v>
      </c>
      <c r="K229" s="145">
        <f t="shared" si="111"/>
        <v>2756.1756436232636</v>
      </c>
      <c r="L229" s="145">
        <f t="shared" si="111"/>
        <v>2809.6454511095544</v>
      </c>
      <c r="M229" s="145">
        <f t="shared" si="111"/>
        <v>2864.1525728610795</v>
      </c>
      <c r="N229" s="145">
        <f t="shared" si="111"/>
        <v>2919.7171327745846</v>
      </c>
      <c r="O229" s="145">
        <f t="shared" si="111"/>
        <v>2976.3596451504118</v>
      </c>
      <c r="P229" s="145">
        <f t="shared" si="111"/>
        <v>3034.1010222663294</v>
      </c>
      <c r="Q229" s="145">
        <f t="shared" si="111"/>
        <v>3092.9625820982965</v>
      </c>
      <c r="R229" s="145">
        <f t="shared" si="111"/>
        <v>3152.9660561910032</v>
      </c>
      <c r="S229" s="145">
        <f t="shared" si="111"/>
        <v>3214.1335976811083</v>
      </c>
      <c r="T229" s="145">
        <f t="shared" si="111"/>
        <v>3276.4877894761221</v>
      </c>
      <c r="U229" s="145">
        <f t="shared" si="111"/>
        <v>3340.0516525919588</v>
      </c>
      <c r="V229" s="145">
        <f t="shared" si="111"/>
        <v>3404.8486546522422</v>
      </c>
      <c r="W229" s="145">
        <f t="shared" si="111"/>
        <v>3470.9027185524956</v>
      </c>
      <c r="X229" s="145">
        <f t="shared" si="111"/>
        <v>3538.2382312924137</v>
      </c>
      <c r="Y229" s="145">
        <f t="shared" si="111"/>
        <v>3606.8800529794867</v>
      </c>
      <c r="Z229" s="145">
        <f t="shared" ref="Z229" si="112">Z237</f>
        <v>3676.853526007289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Animal Proofing annual costs</v>
      </c>
      <c r="E230" s="145">
        <f>E243</f>
        <v>923.06139912000003</v>
      </c>
      <c r="F230" s="145">
        <f t="shared" ref="F230:Y230" si="113">F243</f>
        <v>923.06139912000003</v>
      </c>
      <c r="G230" s="145">
        <f t="shared" si="113"/>
        <v>923.06139912000003</v>
      </c>
      <c r="H230" s="145">
        <f t="shared" si="113"/>
        <v>923.06139912000003</v>
      </c>
      <c r="I230" s="145">
        <f t="shared" si="113"/>
        <v>923.06139912000003</v>
      </c>
      <c r="J230" s="145">
        <f t="shared" si="113"/>
        <v>923.06139912000003</v>
      </c>
      <c r="K230" s="145">
        <f t="shared" si="113"/>
        <v>923.06139912000003</v>
      </c>
      <c r="L230" s="145">
        <f t="shared" si="113"/>
        <v>923.06139912000003</v>
      </c>
      <c r="M230" s="145">
        <f t="shared" si="113"/>
        <v>923.06139912000003</v>
      </c>
      <c r="N230" s="145">
        <f t="shared" si="113"/>
        <v>923.06139912000003</v>
      </c>
      <c r="O230" s="145">
        <f t="shared" si="113"/>
        <v>923.06139912000003</v>
      </c>
      <c r="P230" s="145">
        <f t="shared" si="113"/>
        <v>923.06139912000003</v>
      </c>
      <c r="Q230" s="145">
        <f t="shared" si="113"/>
        <v>923.06139912000003</v>
      </c>
      <c r="R230" s="145">
        <f t="shared" si="113"/>
        <v>923.06139912000003</v>
      </c>
      <c r="S230" s="145">
        <f t="shared" si="113"/>
        <v>923.06139912000003</v>
      </c>
      <c r="T230" s="145">
        <f t="shared" si="113"/>
        <v>923.06139912000003</v>
      </c>
      <c r="U230" s="145">
        <f t="shared" si="113"/>
        <v>923.06139912000003</v>
      </c>
      <c r="V230" s="145">
        <f t="shared" si="113"/>
        <v>923.06139912000003</v>
      </c>
      <c r="W230" s="145">
        <f t="shared" si="113"/>
        <v>923.06139912000003</v>
      </c>
      <c r="X230" s="145">
        <f t="shared" si="113"/>
        <v>923.06139912000003</v>
      </c>
      <c r="Y230" s="145">
        <f t="shared" si="113"/>
        <v>923.06139912000003</v>
      </c>
      <c r="Z230" s="145">
        <f t="shared" ref="Z230" si="114">Z243</f>
        <v>923.06139912000003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Animal Proofing PV of costs</v>
      </c>
      <c r="E231" s="145">
        <f>VLOOKUP($B$239,$A$170:$Y$175,5)</f>
        <v>9797.196650409498</v>
      </c>
      <c r="F231" s="145">
        <f>VLOOKUP($B$239,$A$170:$Y$175,6)</f>
        <v>0</v>
      </c>
      <c r="G231" s="145">
        <f>VLOOKUP($B$239,$A$170:$Y$175,7)</f>
        <v>0</v>
      </c>
      <c r="H231" s="145">
        <f>VLOOKUP($B$239,$A$170:$Y$175,8)</f>
        <v>0</v>
      </c>
      <c r="I231" s="145">
        <f>VLOOKUP($B$239,$A$170:$Y$175,9)</f>
        <v>0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2601.7945688057835</v>
      </c>
      <c r="I236" s="145">
        <f t="shared" si="116"/>
        <v>2652.2693834406155</v>
      </c>
      <c r="J236" s="145">
        <f t="shared" si="116"/>
        <v>2703.7234094793635</v>
      </c>
      <c r="K236" s="145">
        <f t="shared" si="116"/>
        <v>2756.1756436232636</v>
      </c>
      <c r="L236" s="145">
        <f t="shared" si="116"/>
        <v>2809.6454511095544</v>
      </c>
      <c r="M236" s="145">
        <f t="shared" si="116"/>
        <v>2864.1525728610795</v>
      </c>
      <c r="N236" s="145">
        <f t="shared" si="116"/>
        <v>2919.7171327745846</v>
      </c>
      <c r="O236" s="145">
        <f t="shared" si="116"/>
        <v>2976.3596451504118</v>
      </c>
      <c r="P236" s="145">
        <f t="shared" si="116"/>
        <v>3034.1010222663294</v>
      </c>
      <c r="Q236" s="145">
        <f t="shared" si="116"/>
        <v>3092.9625820982965</v>
      </c>
      <c r="R236" s="145">
        <f t="shared" si="116"/>
        <v>3152.9660561910032</v>
      </c>
      <c r="S236" s="145">
        <f t="shared" si="116"/>
        <v>3214.1335976811083</v>
      </c>
      <c r="T236" s="145">
        <f t="shared" si="116"/>
        <v>3276.4877894761221</v>
      </c>
      <c r="U236" s="145">
        <f t="shared" si="116"/>
        <v>3340.0516525919588</v>
      </c>
      <c r="V236" s="145">
        <f t="shared" si="116"/>
        <v>3404.8486546522422</v>
      </c>
      <c r="W236" s="145">
        <f t="shared" si="116"/>
        <v>3470.9027185524956</v>
      </c>
      <c r="X236" s="145">
        <f t="shared" si="116"/>
        <v>3538.2382312924137</v>
      </c>
      <c r="Y236" s="145">
        <f t="shared" si="116"/>
        <v>3606.8800529794867</v>
      </c>
      <c r="Z236" s="145">
        <f t="shared" ref="Z236" si="117">Z33-Z14</f>
        <v>3676.853526007289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0</v>
      </c>
      <c r="G237" s="145">
        <f t="shared" si="118"/>
        <v>0</v>
      </c>
      <c r="H237" s="145">
        <f t="shared" si="118"/>
        <v>2601.7945688057835</v>
      </c>
      <c r="I237" s="145">
        <f t="shared" si="118"/>
        <v>2652.2693834406155</v>
      </c>
      <c r="J237" s="145">
        <f t="shared" si="118"/>
        <v>2703.7234094793635</v>
      </c>
      <c r="K237" s="145">
        <f t="shared" si="118"/>
        <v>2756.1756436232636</v>
      </c>
      <c r="L237" s="145">
        <f t="shared" si="118"/>
        <v>2809.6454511095544</v>
      </c>
      <c r="M237" s="145">
        <f t="shared" si="118"/>
        <v>2864.1525728610795</v>
      </c>
      <c r="N237" s="145">
        <f t="shared" si="118"/>
        <v>2919.7171327745846</v>
      </c>
      <c r="O237" s="145">
        <f t="shared" si="118"/>
        <v>2976.3596451504118</v>
      </c>
      <c r="P237" s="145">
        <f t="shared" si="118"/>
        <v>3034.1010222663294</v>
      </c>
      <c r="Q237" s="145">
        <f t="shared" si="118"/>
        <v>3092.9625820982965</v>
      </c>
      <c r="R237" s="145">
        <f t="shared" si="118"/>
        <v>3152.9660561910032</v>
      </c>
      <c r="S237" s="145">
        <f t="shared" si="118"/>
        <v>3214.1335976811083</v>
      </c>
      <c r="T237" s="145">
        <f t="shared" si="118"/>
        <v>3276.4877894761221</v>
      </c>
      <c r="U237" s="145">
        <f t="shared" si="118"/>
        <v>3340.0516525919588</v>
      </c>
      <c r="V237" s="145">
        <f t="shared" si="118"/>
        <v>3404.8486546522422</v>
      </c>
      <c r="W237" s="145">
        <f t="shared" si="118"/>
        <v>3470.9027185524956</v>
      </c>
      <c r="X237" s="145">
        <f t="shared" si="118"/>
        <v>3538.2382312924137</v>
      </c>
      <c r="Y237" s="145">
        <f t="shared" si="118"/>
        <v>3606.8800529794867</v>
      </c>
      <c r="Z237" s="145">
        <f t="shared" ref="Z237" si="119">Z235+Z236</f>
        <v>3676.853526007289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Animal Proofing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10646.613600000001</v>
      </c>
      <c r="F240" s="145">
        <f>E240+VLOOKUP($B$239,$A$179:$Y$184,6)</f>
        <v>10646.613600000001</v>
      </c>
      <c r="G240" s="145">
        <f>F240+VLOOKUP($B$239,$A$179:$Y$184,7)</f>
        <v>10646.613600000001</v>
      </c>
      <c r="H240" s="145">
        <f>G240+VLOOKUP($B$239,$A$179:$Y$184,8)</f>
        <v>10646.613600000001</v>
      </c>
      <c r="I240" s="145">
        <f>H240+VLOOKUP($B$239,$A$179:$Y$184,9)</f>
        <v>10646.613600000001</v>
      </c>
      <c r="J240" s="145">
        <f>I240+VLOOKUP($B$239,$A$179:$Y$184,10)</f>
        <v>10646.613600000001</v>
      </c>
      <c r="K240" s="145">
        <f>J240+VLOOKUP($B$239,$A$179:$Y$184,11)</f>
        <v>10646.613600000001</v>
      </c>
      <c r="L240" s="145">
        <f>K240+VLOOKUP($B$239,$A$179:$Y$184,12)</f>
        <v>10646.613600000001</v>
      </c>
      <c r="M240" s="145">
        <f>L240+VLOOKUP($B$239,$A$179:$Y$184,13)</f>
        <v>10646.613600000001</v>
      </c>
      <c r="N240" s="145">
        <f>M240+VLOOKUP($B$239,$A$179:$Y$184,14)</f>
        <v>10646.613600000001</v>
      </c>
      <c r="O240" s="145">
        <f>N240+VLOOKUP($B$239,$A$179:$Y$184,15)</f>
        <v>10646.613600000001</v>
      </c>
      <c r="P240" s="145">
        <f>O240+VLOOKUP($B$239,$A$179:$Y$184,16)</f>
        <v>10646.613600000001</v>
      </c>
      <c r="Q240" s="145">
        <f>P240+VLOOKUP($B$239,$A$179:$Y$184,17)</f>
        <v>10646.613600000001</v>
      </c>
      <c r="R240" s="145">
        <f>Q240+VLOOKUP($B$239,$A$179:$Y$184,18)</f>
        <v>10646.613600000001</v>
      </c>
      <c r="S240" s="145">
        <f>R240+VLOOKUP($B$239,$A$179:$Y$184,19)</f>
        <v>10646.613600000001</v>
      </c>
      <c r="T240" s="145">
        <f>S240+VLOOKUP($B$239,$A$179:$Y$184,20)</f>
        <v>10646.613600000001</v>
      </c>
      <c r="U240" s="145">
        <f>T240+VLOOKUP($B$239,$A$179:$Y$184,21)</f>
        <v>10646.613600000001</v>
      </c>
      <c r="V240" s="145">
        <f>U240+VLOOKUP($B$239,$A$179:$Y$184,22)</f>
        <v>10646.613600000001</v>
      </c>
      <c r="W240" s="145">
        <f>V240+VLOOKUP($B$239,$A$179:$Y$184,23)</f>
        <v>10646.613600000001</v>
      </c>
      <c r="X240" s="145">
        <f>W240+VLOOKUP($B$239,$A$179:$Y$184,24)</f>
        <v>10646.613600000001</v>
      </c>
      <c r="Y240" s="145">
        <f>X240+VLOOKUP($B$239,$A$179:$Y$184,25)</f>
        <v>10646.613600000001</v>
      </c>
      <c r="Z240" s="145">
        <f t="shared" ref="Z240" si="120">Y240+VLOOKUP($B$239,$A$179:$Y$184,25)</f>
        <v>10646.613600000001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923.06139912000003</v>
      </c>
      <c r="F241" s="145">
        <f>F240*'Administrator Input'!$F$22</f>
        <v>923.06139912000003</v>
      </c>
      <c r="G241" s="145">
        <f>G240*'Administrator Input'!$F$22</f>
        <v>923.06139912000003</v>
      </c>
      <c r="H241" s="145">
        <f>H240*'Administrator Input'!$F$22</f>
        <v>923.06139912000003</v>
      </c>
      <c r="I241" s="145">
        <f>I240*'Administrator Input'!$F$22</f>
        <v>923.06139912000003</v>
      </c>
      <c r="J241" s="145">
        <f>J240*'Administrator Input'!$F$22</f>
        <v>923.06139912000003</v>
      </c>
      <c r="K241" s="145">
        <f>K240*'Administrator Input'!$F$22</f>
        <v>923.06139912000003</v>
      </c>
      <c r="L241" s="145">
        <f>L240*'Administrator Input'!$F$22</f>
        <v>923.06139912000003</v>
      </c>
      <c r="M241" s="145">
        <f>M240*'Administrator Input'!$F$22</f>
        <v>923.06139912000003</v>
      </c>
      <c r="N241" s="145">
        <f>N240*'Administrator Input'!$F$22</f>
        <v>923.06139912000003</v>
      </c>
      <c r="O241" s="145">
        <f>O240*'Administrator Input'!$F$22</f>
        <v>923.06139912000003</v>
      </c>
      <c r="P241" s="145">
        <f>P240*'Administrator Input'!$F$22</f>
        <v>923.06139912000003</v>
      </c>
      <c r="Q241" s="145">
        <f>Q240*'Administrator Input'!$F$22</f>
        <v>923.06139912000003</v>
      </c>
      <c r="R241" s="145">
        <f>R240*'Administrator Input'!$F$22</f>
        <v>923.06139912000003</v>
      </c>
      <c r="S241" s="145">
        <f>S240*'Administrator Input'!$F$22</f>
        <v>923.06139912000003</v>
      </c>
      <c r="T241" s="145">
        <f>T240*'Administrator Input'!$F$22</f>
        <v>923.06139912000003</v>
      </c>
      <c r="U241" s="145">
        <f>U240*'Administrator Input'!$F$22</f>
        <v>923.06139912000003</v>
      </c>
      <c r="V241" s="145">
        <f>V240*'Administrator Input'!$F$22</f>
        <v>923.06139912000003</v>
      </c>
      <c r="W241" s="145">
        <f>W240*'Administrator Input'!$F$22</f>
        <v>923.06139912000003</v>
      </c>
      <c r="X241" s="145">
        <f>X240*'Administrator Input'!$F$22</f>
        <v>923.06139912000003</v>
      </c>
      <c r="Y241" s="145">
        <f>Y240*'Administrator Input'!$F$22</f>
        <v>923.06139912000003</v>
      </c>
      <c r="Z241" s="145">
        <f>Z240*'Administrator Input'!$F$22</f>
        <v>923.06139912000003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923.06139912000003</v>
      </c>
      <c r="F243" s="145">
        <f t="shared" ref="F243:Y243" si="122">F241+F242</f>
        <v>923.06139912000003</v>
      </c>
      <c r="G243" s="145">
        <f t="shared" si="122"/>
        <v>923.06139912000003</v>
      </c>
      <c r="H243" s="145">
        <f t="shared" si="122"/>
        <v>923.06139912000003</v>
      </c>
      <c r="I243" s="145">
        <f t="shared" si="122"/>
        <v>923.06139912000003</v>
      </c>
      <c r="J243" s="145">
        <f t="shared" si="122"/>
        <v>923.06139912000003</v>
      </c>
      <c r="K243" s="145">
        <f t="shared" si="122"/>
        <v>923.06139912000003</v>
      </c>
      <c r="L243" s="145">
        <f t="shared" si="122"/>
        <v>923.06139912000003</v>
      </c>
      <c r="M243" s="145">
        <f t="shared" si="122"/>
        <v>923.06139912000003</v>
      </c>
      <c r="N243" s="145">
        <f t="shared" si="122"/>
        <v>923.06139912000003</v>
      </c>
      <c r="O243" s="145">
        <f t="shared" si="122"/>
        <v>923.06139912000003</v>
      </c>
      <c r="P243" s="145">
        <f t="shared" si="122"/>
        <v>923.06139912000003</v>
      </c>
      <c r="Q243" s="145">
        <f t="shared" si="122"/>
        <v>923.06139912000003</v>
      </c>
      <c r="R243" s="145">
        <f t="shared" si="122"/>
        <v>923.06139912000003</v>
      </c>
      <c r="S243" s="145">
        <f t="shared" si="122"/>
        <v>923.06139912000003</v>
      </c>
      <c r="T243" s="145">
        <f t="shared" si="122"/>
        <v>923.06139912000003</v>
      </c>
      <c r="U243" s="145">
        <f t="shared" si="122"/>
        <v>923.06139912000003</v>
      </c>
      <c r="V243" s="145">
        <f t="shared" si="122"/>
        <v>923.06139912000003</v>
      </c>
      <c r="W243" s="145">
        <f t="shared" si="122"/>
        <v>923.06139912000003</v>
      </c>
      <c r="X243" s="145">
        <f t="shared" si="122"/>
        <v>923.06139912000003</v>
      </c>
      <c r="Y243" s="145">
        <f t="shared" si="122"/>
        <v>923.06139912000003</v>
      </c>
      <c r="Z243" s="145">
        <f t="shared" ref="Z243" si="123">Z241+Z242</f>
        <v>923.06139912000003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325</v>
      </c>
      <c r="D7" s="182"/>
      <c r="E7" s="183" t="str">
        <f>'User Input'!E4</f>
        <v>Animal Proofing 2016-20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322</v>
      </c>
      <c r="E13" s="700">
        <f>+(1+$D$18)^(E9-'User Input'!$E$9)</f>
        <v>1.0767</v>
      </c>
      <c r="F13" s="700">
        <f>+(1+$D$18)^(F9-'User Input'!$E$9)</f>
        <v>1.1592828900000001</v>
      </c>
      <c r="G13" s="700">
        <f>+(1+$D$18)^(G9-'User Input'!$E$9)</f>
        <v>1.2481998876630001</v>
      </c>
      <c r="H13" s="700">
        <f>+(1+$D$18)^(H9-'User Input'!$E$9)</f>
        <v>1.3439368190467522</v>
      </c>
      <c r="I13" s="700">
        <f>+(1+$D$18)^(I9-'User Input'!$E$9)</f>
        <v>1.4470167730676382</v>
      </c>
      <c r="J13" s="700">
        <f>+(1+$D$18)^(J9-'User Input'!$E$9)</f>
        <v>1.558002959561926</v>
      </c>
      <c r="K13" s="700">
        <f>+(1+$D$18)^(K9-'User Input'!$E$9)</f>
        <v>1.6775017865603257</v>
      </c>
      <c r="L13" s="700">
        <f>+(1+$D$18)^(L9-'User Input'!$E$9)</f>
        <v>1.8061661735895027</v>
      </c>
      <c r="M13" s="700">
        <f>+(1+$D$18)^(M9-'User Input'!$E$9)</f>
        <v>1.9446991191038177</v>
      </c>
      <c r="N13" s="700">
        <f>+(1+$D$18)^(N9-'User Input'!$E$9)</f>
        <v>2.0938575415390805</v>
      </c>
      <c r="O13" s="700">
        <f>+(1+$D$18)^(O9-'User Input'!$E$9)</f>
        <v>2.2544564149751278</v>
      </c>
      <c r="P13" s="700">
        <f>+(1+$D$18)^(P9-'User Input'!$E$9)</f>
        <v>2.4273732220037205</v>
      </c>
      <c r="Q13" s="700">
        <f>+(1+$D$18)^(Q9-'User Input'!$E$9)</f>
        <v>2.613552748131406</v>
      </c>
      <c r="R13" s="700">
        <f>+(1+$D$18)^(R9-'User Input'!$E$9)</f>
        <v>2.8140122439130848</v>
      </c>
      <c r="S13" s="700">
        <f>+(1+$D$18)^(S9-'User Input'!$E$9)</f>
        <v>3.0298469830212182</v>
      </c>
      <c r="T13" s="700">
        <f>+(1+$D$18)^(T9-'User Input'!$E$9)</f>
        <v>3.2622362466189458</v>
      </c>
      <c r="U13" s="700">
        <f>+(1+$D$18)^(U9-'User Input'!$E$9)</f>
        <v>3.5124497667346191</v>
      </c>
      <c r="V13" s="700">
        <f>+(1+$D$18)^(V9-'User Input'!$E$9)</f>
        <v>3.7818546638431645</v>
      </c>
      <c r="W13" s="700">
        <f>+(1+$D$18)^(W9-'User Input'!$E$9)</f>
        <v>4.0719229165599353</v>
      </c>
      <c r="X13" s="700">
        <f>+(1+$D$18)^(X9-'User Input'!$E$9)</f>
        <v>4.3842394042600823</v>
      </c>
      <c r="Y13" s="700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11594.703728633382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544.37993147093198</v>
      </c>
      <c r="I30" s="64">
        <f>Calculations!I17*(1+$D$22)</f>
        <v>554.94090214146797</v>
      </c>
      <c r="J30" s="64">
        <f>Calculations!J17*(1+$D$22)</f>
        <v>565.70675564301246</v>
      </c>
      <c r="K30" s="64">
        <f>Calculations!K17*(1+$D$22)</f>
        <v>576.681466702487</v>
      </c>
      <c r="L30" s="64">
        <f>Calculations!L17*(1+$D$22)</f>
        <v>587.86908715651521</v>
      </c>
      <c r="M30" s="64">
        <f>Calculations!M17*(1+$D$22)</f>
        <v>599.27374744735152</v>
      </c>
      <c r="N30" s="64">
        <f>Calculations!N17*(1+$D$22)</f>
        <v>610.89965814783022</v>
      </c>
      <c r="O30" s="64">
        <f>Calculations!O17*(1+$D$22)</f>
        <v>622.75111151589806</v>
      </c>
      <c r="P30" s="64">
        <f>Calculations!P17*(1+$D$22)</f>
        <v>634.8324830793066</v>
      </c>
      <c r="Q30" s="64">
        <f>Calculations!Q17*(1+$D$22)</f>
        <v>647.14823325104499</v>
      </c>
      <c r="R30" s="64">
        <f>Calculations!R17*(1+$D$22)</f>
        <v>659.70290897611528</v>
      </c>
      <c r="S30" s="64">
        <f>Calculations!S17*(1+$D$22)</f>
        <v>672.50114541025187</v>
      </c>
      <c r="T30" s="64">
        <f>Calculations!T17*(1+$D$22)</f>
        <v>685.54766763121074</v>
      </c>
      <c r="U30" s="64">
        <f>Calculations!U17*(1+$D$22)</f>
        <v>698.84729238325633</v>
      </c>
      <c r="V30" s="64">
        <f>Calculations!V17*(1+$D$22)</f>
        <v>712.40492985549133</v>
      </c>
      <c r="W30" s="64">
        <f>Calculations!W17*(1+$D$22)</f>
        <v>726.22558549468783</v>
      </c>
      <c r="X30" s="64">
        <f>Calculations!X17*(1+$D$22)</f>
        <v>740.31436185328482</v>
      </c>
      <c r="Y30" s="64">
        <f>Calculations!Y17*(1+$D$22)</f>
        <v>754.67646047323842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38279.165419890116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1797.2351804542732</v>
      </c>
      <c r="I31" s="64">
        <f>Calculations!I18*(1+$D$21)</f>
        <v>1832.1015429550857</v>
      </c>
      <c r="J31" s="64">
        <f>Calculations!J18*(1+$D$21)</f>
        <v>1867.6443128884146</v>
      </c>
      <c r="K31" s="64">
        <f>Calculations!K18*(1+$D$21)</f>
        <v>1903.87661255845</v>
      </c>
      <c r="L31" s="64">
        <f>Calculations!L18*(1+$D$21)</f>
        <v>1940.8118188420838</v>
      </c>
      <c r="M31" s="64">
        <f>Calculations!M18*(1+$D$21)</f>
        <v>1978.4635681276202</v>
      </c>
      <c r="N31" s="64">
        <f>Calculations!N18*(1+$D$21)</f>
        <v>2016.845761349296</v>
      </c>
      <c r="O31" s="64">
        <f>Calculations!O18*(1+$D$21)</f>
        <v>2055.9725691194726</v>
      </c>
      <c r="P31" s="64">
        <f>Calculations!P18*(1+$D$21)</f>
        <v>2095.85843696039</v>
      </c>
      <c r="Q31" s="64">
        <f>Calculations!Q18*(1+$D$21)</f>
        <v>2136.5180906374217</v>
      </c>
      <c r="R31" s="64">
        <f>Calculations!R18*(1+$D$21)</f>
        <v>2177.9665415957875</v>
      </c>
      <c r="S31" s="64">
        <f>Calculations!S18*(1+$D$21)</f>
        <v>2220.2190925027458</v>
      </c>
      <c r="T31" s="64">
        <f>Calculations!T18*(1+$D$21)</f>
        <v>2263.2913428972988</v>
      </c>
      <c r="U31" s="64">
        <f>Calculations!U18*(1+$D$21)</f>
        <v>2307.1991949495068</v>
      </c>
      <c r="V31" s="64">
        <f>Calculations!V18*(1+$D$21)</f>
        <v>2351.958859331527</v>
      </c>
      <c r="W31" s="64">
        <f>Calculations!W18*(1+$D$21)</f>
        <v>2397.5868612025583</v>
      </c>
      <c r="X31" s="64">
        <f>Calculations!X18*(1+$D$21)</f>
        <v>2444.1000463098876</v>
      </c>
      <c r="Y31" s="64">
        <f>Calculations!Y18*(1+$D$21)</f>
        <v>2491.5155872082996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49873.869148523496</v>
      </c>
      <c r="E46" s="65">
        <f>SUM(E27:E45)</f>
        <v>0</v>
      </c>
      <c r="F46" s="66">
        <f t="shared" ref="F46:Y46" si="3">SUM(F27:F45)</f>
        <v>0</v>
      </c>
      <c r="G46" s="66">
        <f t="shared" si="3"/>
        <v>0</v>
      </c>
      <c r="H46" s="66">
        <f t="shared" si="3"/>
        <v>2341.6151119252054</v>
      </c>
      <c r="I46" s="66">
        <f t="shared" si="3"/>
        <v>2387.0424450965538</v>
      </c>
      <c r="J46" s="66">
        <f t="shared" si="3"/>
        <v>2433.3510685314268</v>
      </c>
      <c r="K46" s="66">
        <f t="shared" si="3"/>
        <v>2480.5580792609371</v>
      </c>
      <c r="L46" s="66">
        <f t="shared" si="3"/>
        <v>2528.680905998599</v>
      </c>
      <c r="M46" s="66">
        <f t="shared" si="3"/>
        <v>2577.7373155749719</v>
      </c>
      <c r="N46" s="66">
        <f t="shared" si="3"/>
        <v>2627.745419497126</v>
      </c>
      <c r="O46" s="66">
        <f t="shared" si="3"/>
        <v>2678.7236806353708</v>
      </c>
      <c r="P46" s="66">
        <f t="shared" si="3"/>
        <v>2730.6909200396967</v>
      </c>
      <c r="Q46" s="66">
        <f t="shared" si="3"/>
        <v>2783.6663238884666</v>
      </c>
      <c r="R46" s="66">
        <f t="shared" si="3"/>
        <v>2837.6694505719029</v>
      </c>
      <c r="S46" s="66">
        <f t="shared" si="3"/>
        <v>2892.7202379129976</v>
      </c>
      <c r="T46" s="66">
        <f t="shared" si="3"/>
        <v>2948.8390105285098</v>
      </c>
      <c r="U46" s="66">
        <f t="shared" si="3"/>
        <v>3006.0464873327633</v>
      </c>
      <c r="V46" s="66">
        <f t="shared" si="3"/>
        <v>3064.3637891870185</v>
      </c>
      <c r="W46" s="66">
        <f t="shared" si="3"/>
        <v>3123.8124466972463</v>
      </c>
      <c r="X46" s="66">
        <f t="shared" si="3"/>
        <v>3184.4144081631725</v>
      </c>
      <c r="Y46" s="148">
        <f t="shared" si="3"/>
        <v>3246.192047681538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20505.664344006651</v>
      </c>
      <c r="E47" s="77">
        <f>E46/E$13</f>
        <v>0</v>
      </c>
      <c r="F47" s="77">
        <f t="shared" ref="F47:Y47" si="4">F46/F$13</f>
        <v>0</v>
      </c>
      <c r="G47" s="77">
        <f t="shared" si="4"/>
        <v>0</v>
      </c>
      <c r="H47" s="77">
        <f t="shared" si="4"/>
        <v>1742.3550562340433</v>
      </c>
      <c r="I47" s="77">
        <f t="shared" si="4"/>
        <v>1649.630114539782</v>
      </c>
      <c r="J47" s="77">
        <f t="shared" si="4"/>
        <v>1561.8398242424573</v>
      </c>
      <c r="K47" s="77">
        <f t="shared" si="4"/>
        <v>1478.7215722418143</v>
      </c>
      <c r="L47" s="77">
        <f t="shared" si="4"/>
        <v>1400.0267212253229</v>
      </c>
      <c r="M47" s="77">
        <f t="shared" si="4"/>
        <v>1325.5198659023815</v>
      </c>
      <c r="N47" s="77">
        <f t="shared" si="4"/>
        <v>1254.9781288203656</v>
      </c>
      <c r="O47" s="77">
        <f t="shared" si="4"/>
        <v>1188.1904936560611</v>
      </c>
      <c r="P47" s="77">
        <f t="shared" si="4"/>
        <v>1124.957173988101</v>
      </c>
      <c r="Q47" s="77">
        <f t="shared" si="4"/>
        <v>1065.0890156621808</v>
      </c>
      <c r="R47" s="77">
        <f t="shared" si="4"/>
        <v>1008.4069309612956</v>
      </c>
      <c r="S47" s="77">
        <f t="shared" si="4"/>
        <v>954.74136288840418</v>
      </c>
      <c r="T47" s="77">
        <f t="shared" si="4"/>
        <v>903.93177795898509</v>
      </c>
      <c r="U47" s="77">
        <f t="shared" si="4"/>
        <v>855.82618598624447</v>
      </c>
      <c r="V47" s="77">
        <f t="shared" si="4"/>
        <v>810.28068542247377</v>
      </c>
      <c r="W47" s="77">
        <f t="shared" si="4"/>
        <v>767.15903289650748</v>
      </c>
      <c r="X47" s="77">
        <f t="shared" si="4"/>
        <v>726.33223565960782</v>
      </c>
      <c r="Y47" s="77">
        <f t="shared" si="4"/>
        <v>687.67816572063168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Animal Proofing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9581.9522400000005</v>
      </c>
      <c r="E51" s="141">
        <f>Calculations!E38*(1+$D$19)</f>
        <v>9581.9522400000005</v>
      </c>
      <c r="F51" s="141">
        <f>Calculations!F38*(1+$D$19)</f>
        <v>0</v>
      </c>
      <c r="G51" s="141">
        <f>Calculations!G38*(1+$D$19)</f>
        <v>0</v>
      </c>
      <c r="H51" s="141">
        <f>Calculations!H38*(1+$D$19)</f>
        <v>0</v>
      </c>
      <c r="I51" s="141">
        <f>Calculations!I38*(1+$D$19)</f>
        <v>0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Cost 1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9581.9522400000005</v>
      </c>
      <c r="E70" s="68">
        <f>SUM(E51:E69)</f>
        <v>9581.9522400000005</v>
      </c>
      <c r="F70" s="69">
        <f t="shared" ref="F70:Y70" si="6">SUM(F51:F69)</f>
        <v>0</v>
      </c>
      <c r="G70" s="69">
        <f t="shared" si="6"/>
        <v>0</v>
      </c>
      <c r="H70" s="69">
        <f t="shared" si="6"/>
        <v>0</v>
      </c>
      <c r="I70" s="69">
        <f t="shared" si="6"/>
        <v>0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8899.3705210365006</v>
      </c>
      <c r="E71" s="77">
        <f t="shared" ref="E71:Y71" si="7">E70/E$13</f>
        <v>8899.3705210365006</v>
      </c>
      <c r="F71" s="77">
        <f t="shared" si="7"/>
        <v>0</v>
      </c>
      <c r="G71" s="77">
        <f t="shared" si="7"/>
        <v>0</v>
      </c>
      <c r="H71" s="77">
        <f t="shared" si="7"/>
        <v>0</v>
      </c>
      <c r="I71" s="77">
        <f t="shared" si="7"/>
        <v>0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 xml:space="preserve">Option 2: 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0</v>
      </c>
      <c r="E75" s="141">
        <f>Calculations!E62*(1+$D$19)</f>
        <v>0</v>
      </c>
      <c r="F75" s="141">
        <f>Calculations!F62*(1+$D$19)</f>
        <v>0</v>
      </c>
      <c r="G75" s="141">
        <f>Calculations!G62*(1+$D$19)</f>
        <v>0</v>
      </c>
      <c r="H75" s="141">
        <f>Calculations!H62*(1+$D$19)</f>
        <v>0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0</v>
      </c>
      <c r="E94" s="68">
        <f>SUM(E75:E93)</f>
        <v>0</v>
      </c>
      <c r="F94" s="69">
        <f t="shared" ref="F94:Y94" si="9">SUM(F75:F93)</f>
        <v>0</v>
      </c>
      <c r="G94" s="69">
        <f t="shared" si="9"/>
        <v>0</v>
      </c>
      <c r="H94" s="69">
        <f t="shared" si="9"/>
        <v>0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0</v>
      </c>
      <c r="E95" s="77">
        <f t="shared" ref="E95:Y95" si="10">E94/E$13</f>
        <v>0</v>
      </c>
      <c r="F95" s="77">
        <f t="shared" si="10"/>
        <v>0</v>
      </c>
      <c r="G95" s="77">
        <f t="shared" si="10"/>
        <v>0</v>
      </c>
      <c r="H95" s="77">
        <f t="shared" si="10"/>
        <v>0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Cost 1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0</v>
      </c>
      <c r="G174" s="145">
        <f t="shared" si="20"/>
        <v>0</v>
      </c>
      <c r="H174" s="145">
        <f t="shared" si="20"/>
        <v>2341.6151119252054</v>
      </c>
      <c r="I174" s="145">
        <f t="shared" si="20"/>
        <v>2387.0424450965538</v>
      </c>
      <c r="J174" s="145">
        <f t="shared" si="20"/>
        <v>2433.3510685314268</v>
      </c>
      <c r="K174" s="145">
        <f t="shared" si="20"/>
        <v>2480.5580792609371</v>
      </c>
      <c r="L174" s="145">
        <f t="shared" si="20"/>
        <v>2528.680905998599</v>
      </c>
      <c r="M174" s="145">
        <f t="shared" si="20"/>
        <v>2577.7373155749719</v>
      </c>
      <c r="N174" s="145">
        <f t="shared" si="20"/>
        <v>2627.745419497126</v>
      </c>
      <c r="O174" s="145">
        <f t="shared" si="20"/>
        <v>2678.7236806353708</v>
      </c>
      <c r="P174" s="145">
        <f t="shared" si="20"/>
        <v>2730.6909200396967</v>
      </c>
      <c r="Q174" s="145">
        <f t="shared" si="20"/>
        <v>2783.6663238884666</v>
      </c>
      <c r="R174" s="145">
        <f t="shared" si="20"/>
        <v>2837.6694505719029</v>
      </c>
      <c r="S174" s="145">
        <f t="shared" si="20"/>
        <v>2892.7202379129976</v>
      </c>
      <c r="T174" s="145">
        <f t="shared" si="20"/>
        <v>2948.8390105285098</v>
      </c>
      <c r="U174" s="145">
        <f t="shared" si="20"/>
        <v>3006.0464873327633</v>
      </c>
      <c r="V174" s="145">
        <f t="shared" si="20"/>
        <v>3064.3637891870185</v>
      </c>
      <c r="W174" s="145">
        <f t="shared" si="20"/>
        <v>3123.8124466972463</v>
      </c>
      <c r="X174" s="145">
        <f t="shared" si="20"/>
        <v>3184.4144081631725</v>
      </c>
      <c r="Y174" s="145">
        <f t="shared" si="20"/>
        <v>3246.192047681538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Animal Proofing</v>
      </c>
      <c r="D175" s="80"/>
      <c r="E175" s="302">
        <f t="shared" ref="E175:Y175" si="21">E70</f>
        <v>9581.9522400000005</v>
      </c>
      <c r="F175" s="302">
        <f t="shared" si="21"/>
        <v>0</v>
      </c>
      <c r="G175" s="302">
        <f t="shared" si="21"/>
        <v>0</v>
      </c>
      <c r="H175" s="302">
        <f t="shared" si="21"/>
        <v>0</v>
      </c>
      <c r="I175" s="302">
        <f t="shared" si="21"/>
        <v>0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 xml:space="preserve">Option 2: </v>
      </c>
      <c r="D176" s="80"/>
      <c r="E176" s="302">
        <f t="shared" ref="E176:Y176" si="22">E94</f>
        <v>0</v>
      </c>
      <c r="F176" s="302">
        <f t="shared" si="22"/>
        <v>0</v>
      </c>
      <c r="G176" s="302">
        <f t="shared" si="22"/>
        <v>0</v>
      </c>
      <c r="H176" s="302">
        <f t="shared" si="22"/>
        <v>0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0</v>
      </c>
      <c r="G183" s="145">
        <f t="shared" si="26"/>
        <v>0</v>
      </c>
      <c r="H183" s="145">
        <f t="shared" si="26"/>
        <v>1742.3550562340433</v>
      </c>
      <c r="I183" s="145">
        <f t="shared" si="26"/>
        <v>1649.630114539782</v>
      </c>
      <c r="J183" s="145">
        <f t="shared" si="26"/>
        <v>1561.8398242424573</v>
      </c>
      <c r="K183" s="145">
        <f t="shared" si="26"/>
        <v>1478.7215722418143</v>
      </c>
      <c r="L183" s="145">
        <f t="shared" si="26"/>
        <v>1400.0267212253229</v>
      </c>
      <c r="M183" s="145">
        <f t="shared" si="26"/>
        <v>1325.5198659023815</v>
      </c>
      <c r="N183" s="145">
        <f t="shared" si="26"/>
        <v>1254.9781288203656</v>
      </c>
      <c r="O183" s="145">
        <f t="shared" si="26"/>
        <v>1188.1904936560611</v>
      </c>
      <c r="P183" s="145">
        <f t="shared" si="26"/>
        <v>1124.957173988101</v>
      </c>
      <c r="Q183" s="145">
        <f t="shared" si="26"/>
        <v>1065.0890156621808</v>
      </c>
      <c r="R183" s="145">
        <f t="shared" si="26"/>
        <v>1008.4069309612956</v>
      </c>
      <c r="S183" s="145">
        <f t="shared" si="26"/>
        <v>954.74136288840418</v>
      </c>
      <c r="T183" s="145">
        <f t="shared" si="26"/>
        <v>903.93177795898509</v>
      </c>
      <c r="U183" s="145">
        <f t="shared" si="26"/>
        <v>855.82618598624447</v>
      </c>
      <c r="V183" s="145">
        <f t="shared" si="26"/>
        <v>810.28068542247377</v>
      </c>
      <c r="W183" s="145">
        <f t="shared" si="26"/>
        <v>767.15903289650748</v>
      </c>
      <c r="X183" s="145">
        <f t="shared" si="26"/>
        <v>726.33223565960782</v>
      </c>
      <c r="Y183" s="145">
        <f t="shared" si="26"/>
        <v>687.67816572063168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Animal Proofing</v>
      </c>
      <c r="D184" s="80"/>
      <c r="E184" s="145">
        <f t="shared" ref="E184:Y184" si="27">E71</f>
        <v>8899.3705210365006</v>
      </c>
      <c r="F184" s="145">
        <f t="shared" si="27"/>
        <v>0</v>
      </c>
      <c r="G184" s="145">
        <f t="shared" si="27"/>
        <v>0</v>
      </c>
      <c r="H184" s="145">
        <f t="shared" si="27"/>
        <v>0</v>
      </c>
      <c r="I184" s="145">
        <f t="shared" si="27"/>
        <v>0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 xml:space="preserve">Option 2: </v>
      </c>
      <c r="D185" s="80"/>
      <c r="E185" s="145">
        <f t="shared" ref="E185:Y185" si="28">E95</f>
        <v>0</v>
      </c>
      <c r="F185" s="145">
        <f t="shared" si="28"/>
        <v>0</v>
      </c>
      <c r="G185" s="145">
        <f t="shared" si="28"/>
        <v>0</v>
      </c>
      <c r="H185" s="145">
        <f t="shared" si="28"/>
        <v>0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51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Animal Proofing</v>
      </c>
      <c r="F191" s="387" t="str">
        <f>B73</f>
        <v xml:space="preserve">Option 2: 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9581.9522400000005</v>
      </c>
      <c r="F193" s="305">
        <f>D75</f>
        <v>0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49873.869148523496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49873.869148523496</v>
      </c>
      <c r="E204" s="122">
        <f t="shared" si="38"/>
        <v>9581.9522400000005</v>
      </c>
      <c r="F204" s="122">
        <f t="shared" si="38"/>
        <v>0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>
        <f>IF(D204=0," ",D47)</f>
        <v>20505.664344006651</v>
      </c>
      <c r="E206" s="123">
        <f>IF(E204=0," ",D71)</f>
        <v>8899.3705210365006</v>
      </c>
      <c r="F206" s="128" t="str">
        <f>IF(F204=0," ",D95)</f>
        <v xml:space="preserve"> 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8899.3705210365006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Animal Proofing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0</v>
      </c>
      <c r="G216" s="313">
        <f t="shared" si="40"/>
        <v>0</v>
      </c>
      <c r="H216" s="313">
        <f t="shared" si="40"/>
        <v>203.01803020391532</v>
      </c>
      <c r="I216" s="313">
        <f t="shared" si="40"/>
        <v>409.97461019378653</v>
      </c>
      <c r="J216" s="313">
        <f t="shared" si="40"/>
        <v>620.94614783546126</v>
      </c>
      <c r="K216" s="313">
        <f t="shared" si="40"/>
        <v>836.01053330738443</v>
      </c>
      <c r="L216" s="313">
        <f t="shared" si="40"/>
        <v>1055.247167857463</v>
      </c>
      <c r="M216" s="313">
        <f t="shared" si="40"/>
        <v>1278.736993117813</v>
      </c>
      <c r="N216" s="313">
        <f t="shared" si="40"/>
        <v>1506.5625209882137</v>
      </c>
      <c r="O216" s="313">
        <f t="shared" si="40"/>
        <v>1738.8078640993006</v>
      </c>
      <c r="P216" s="313">
        <f t="shared" si="40"/>
        <v>1975.558766866742</v>
      </c>
      <c r="Q216" s="313">
        <f t="shared" si="40"/>
        <v>2216.9026371478722</v>
      </c>
      <c r="R216" s="313">
        <f t="shared" si="40"/>
        <v>2462.9285785124557</v>
      </c>
      <c r="S216" s="313">
        <f t="shared" si="40"/>
        <v>2713.7274231395131</v>
      </c>
      <c r="T216" s="313">
        <f t="shared" si="40"/>
        <v>2969.3917653523345</v>
      </c>
      <c r="U216" s="313">
        <f t="shared" si="40"/>
        <v>3230.0159958040854</v>
      </c>
      <c r="V216" s="313">
        <f t="shared" si="40"/>
        <v>3495.6963363265995</v>
      </c>
      <c r="W216" s="313">
        <f t="shared" si="40"/>
        <v>3766.5308754552507</v>
      </c>
      <c r="X216" s="313">
        <f t="shared" si="40"/>
        <v>4042.6196046429977</v>
      </c>
      <c r="Y216" s="313">
        <f t="shared" si="40"/>
        <v>4324.0644551769874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Animal Proofing annual carrying costs</v>
      </c>
      <c r="E217" s="313">
        <f t="shared" ref="E217:Y217" si="41">E228</f>
        <v>830.75525920799998</v>
      </c>
      <c r="F217" s="313">
        <f t="shared" si="41"/>
        <v>830.75525920799998</v>
      </c>
      <c r="G217" s="313">
        <f t="shared" si="41"/>
        <v>830.75525920799998</v>
      </c>
      <c r="H217" s="313">
        <f t="shared" si="41"/>
        <v>830.75525920799998</v>
      </c>
      <c r="I217" s="313">
        <f t="shared" si="41"/>
        <v>830.75525920799998</v>
      </c>
      <c r="J217" s="313">
        <f t="shared" si="41"/>
        <v>830.75525920799998</v>
      </c>
      <c r="K217" s="313">
        <f t="shared" si="41"/>
        <v>830.75525920799998</v>
      </c>
      <c r="L217" s="313">
        <f t="shared" si="41"/>
        <v>830.75525920799998</v>
      </c>
      <c r="M217" s="313">
        <f t="shared" si="41"/>
        <v>830.75525920799998</v>
      </c>
      <c r="N217" s="313">
        <f t="shared" si="41"/>
        <v>830.75525920799998</v>
      </c>
      <c r="O217" s="313">
        <f t="shared" si="41"/>
        <v>830.75525920799998</v>
      </c>
      <c r="P217" s="313">
        <f t="shared" si="41"/>
        <v>830.75525920799998</v>
      </c>
      <c r="Q217" s="313">
        <f t="shared" si="41"/>
        <v>830.75525920799998</v>
      </c>
      <c r="R217" s="313">
        <f t="shared" si="41"/>
        <v>830.75525920799998</v>
      </c>
      <c r="S217" s="313">
        <f t="shared" si="41"/>
        <v>830.75525920799998</v>
      </c>
      <c r="T217" s="313">
        <f t="shared" si="41"/>
        <v>830.75525920799998</v>
      </c>
      <c r="U217" s="313">
        <f t="shared" si="41"/>
        <v>830.75525920799998</v>
      </c>
      <c r="V217" s="313">
        <f t="shared" si="41"/>
        <v>830.75525920799998</v>
      </c>
      <c r="W217" s="313">
        <f t="shared" si="41"/>
        <v>830.75525920799998</v>
      </c>
      <c r="X217" s="313">
        <f t="shared" si="41"/>
        <v>830.75525920799998</v>
      </c>
      <c r="Y217" s="313">
        <f t="shared" si="41"/>
        <v>830.75525920799998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Animal Proofing PV of costs</v>
      </c>
      <c r="E218" s="313">
        <f>VLOOKUP($B$225,$A$183:$Y$188,5)</f>
        <v>8899.3705210365006</v>
      </c>
      <c r="F218" s="313">
        <f>VLOOKUP($B$225,$A$183:$Y$188,6)</f>
        <v>0</v>
      </c>
      <c r="G218" s="313">
        <f>VLOOKUP($B$225,$A$183:$Y$188,7)</f>
        <v>0</v>
      </c>
      <c r="H218" s="313">
        <f>VLOOKUP($B$225,$A$183:$Y$188,8)</f>
        <v>0</v>
      </c>
      <c r="I218" s="313">
        <f>VLOOKUP($B$225,$A$183:$Y$188,9)</f>
        <v>0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0</v>
      </c>
      <c r="G221" s="313">
        <f t="shared" si="42"/>
        <v>0</v>
      </c>
      <c r="H221" s="313">
        <f t="shared" si="42"/>
        <v>2341.6151119252054</v>
      </c>
      <c r="I221" s="313">
        <f t="shared" si="42"/>
        <v>2387.0424450965538</v>
      </c>
      <c r="J221" s="313">
        <f t="shared" si="42"/>
        <v>2433.3510685314268</v>
      </c>
      <c r="K221" s="313">
        <f t="shared" si="42"/>
        <v>2480.5580792609371</v>
      </c>
      <c r="L221" s="313">
        <f t="shared" si="42"/>
        <v>2528.680905998599</v>
      </c>
      <c r="M221" s="313">
        <f t="shared" si="42"/>
        <v>2577.7373155749719</v>
      </c>
      <c r="N221" s="313">
        <f t="shared" si="42"/>
        <v>2627.745419497126</v>
      </c>
      <c r="O221" s="313">
        <f t="shared" si="42"/>
        <v>2678.7236806353708</v>
      </c>
      <c r="P221" s="313">
        <f t="shared" si="42"/>
        <v>2730.6909200396967</v>
      </c>
      <c r="Q221" s="313">
        <f t="shared" si="42"/>
        <v>2783.6663238884666</v>
      </c>
      <c r="R221" s="313">
        <f t="shared" si="42"/>
        <v>2837.6694505719029</v>
      </c>
      <c r="S221" s="313">
        <f t="shared" si="42"/>
        <v>2892.7202379129976</v>
      </c>
      <c r="T221" s="313">
        <f t="shared" si="42"/>
        <v>2948.8390105285098</v>
      </c>
      <c r="U221" s="313">
        <f t="shared" si="42"/>
        <v>3006.0464873327633</v>
      </c>
      <c r="V221" s="313">
        <f t="shared" si="42"/>
        <v>3064.3637891870185</v>
      </c>
      <c r="W221" s="313">
        <f t="shared" si="42"/>
        <v>3123.8124466972463</v>
      </c>
      <c r="X221" s="313">
        <f t="shared" si="42"/>
        <v>3184.4144081631725</v>
      </c>
      <c r="Y221" s="313">
        <f t="shared" si="42"/>
        <v>3246.192047681538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0</v>
      </c>
      <c r="G222" s="313">
        <f t="shared" si="43"/>
        <v>0</v>
      </c>
      <c r="H222" s="313">
        <f t="shared" si="43"/>
        <v>2341.6151119252054</v>
      </c>
      <c r="I222" s="313">
        <f t="shared" si="43"/>
        <v>4728.6575570217592</v>
      </c>
      <c r="J222" s="313">
        <f t="shared" si="43"/>
        <v>7162.008625553186</v>
      </c>
      <c r="K222" s="313">
        <f t="shared" si="43"/>
        <v>9642.5667048141222</v>
      </c>
      <c r="L222" s="313">
        <f t="shared" si="43"/>
        <v>12171.247610812721</v>
      </c>
      <c r="M222" s="313">
        <f t="shared" si="43"/>
        <v>14748.984926387693</v>
      </c>
      <c r="N222" s="313">
        <f t="shared" si="43"/>
        <v>17376.730345884818</v>
      </c>
      <c r="O222" s="313">
        <f t="shared" si="43"/>
        <v>20055.45402652019</v>
      </c>
      <c r="P222" s="313">
        <f t="shared" si="43"/>
        <v>22786.144946559885</v>
      </c>
      <c r="Q222" s="313">
        <f t="shared" si="43"/>
        <v>25569.81127044835</v>
      </c>
      <c r="R222" s="313">
        <f t="shared" si="43"/>
        <v>28407.480721020253</v>
      </c>
      <c r="S222" s="313">
        <f t="shared" si="43"/>
        <v>31300.200958933252</v>
      </c>
      <c r="T222" s="313">
        <f t="shared" si="43"/>
        <v>34249.039969461759</v>
      </c>
      <c r="U222" s="313">
        <f t="shared" si="43"/>
        <v>37255.086456794525</v>
      </c>
      <c r="V222" s="313">
        <f t="shared" si="43"/>
        <v>40319.450245981541</v>
      </c>
      <c r="W222" s="313">
        <f t="shared" si="43"/>
        <v>43443.262692678785</v>
      </c>
      <c r="X222" s="313">
        <f t="shared" si="43"/>
        <v>46627.67710084196</v>
      </c>
      <c r="Y222" s="313">
        <f t="shared" si="43"/>
        <v>49873.869148523496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0</v>
      </c>
      <c r="G223" s="326">
        <f>G222*'Administrator Input'!$F$22</f>
        <v>0</v>
      </c>
      <c r="H223" s="326">
        <f>H222*'Administrator Input'!$F$22</f>
        <v>203.01803020391532</v>
      </c>
      <c r="I223" s="326">
        <f>I222*'Administrator Input'!$F$22</f>
        <v>409.97461019378653</v>
      </c>
      <c r="J223" s="326">
        <f>J222*'Administrator Input'!$F$22</f>
        <v>620.94614783546126</v>
      </c>
      <c r="K223" s="326">
        <f>K222*'Administrator Input'!$F$22</f>
        <v>836.01053330738443</v>
      </c>
      <c r="L223" s="326">
        <f>L222*'Administrator Input'!$F$22</f>
        <v>1055.247167857463</v>
      </c>
      <c r="M223" s="326">
        <f>M222*'Administrator Input'!$F$22</f>
        <v>1278.736993117813</v>
      </c>
      <c r="N223" s="326">
        <f>N222*'Administrator Input'!$F$22</f>
        <v>1506.5625209882137</v>
      </c>
      <c r="O223" s="326">
        <f>O222*'Administrator Input'!$F$22</f>
        <v>1738.8078640993006</v>
      </c>
      <c r="P223" s="326">
        <f>P222*'Administrator Input'!$F$22</f>
        <v>1975.558766866742</v>
      </c>
      <c r="Q223" s="326">
        <f>Q222*'Administrator Input'!$F$22</f>
        <v>2216.9026371478722</v>
      </c>
      <c r="R223" s="326">
        <f>R222*'Administrator Input'!$F$22</f>
        <v>2462.9285785124557</v>
      </c>
      <c r="S223" s="326">
        <f>S222*'Administrator Input'!$F$22</f>
        <v>2713.7274231395131</v>
      </c>
      <c r="T223" s="326">
        <f>T222*'Administrator Input'!$F$22</f>
        <v>2969.3917653523345</v>
      </c>
      <c r="U223" s="326">
        <f>U222*'Administrator Input'!$F$22</f>
        <v>3230.0159958040854</v>
      </c>
      <c r="V223" s="326">
        <f>V222*'Administrator Input'!$F$22</f>
        <v>3495.6963363265995</v>
      </c>
      <c r="W223" s="326">
        <f>W222*'Administrator Input'!$F$22</f>
        <v>3766.5308754552507</v>
      </c>
      <c r="X223" s="326">
        <f>X222*'Administrator Input'!$F$22</f>
        <v>4042.6196046429977</v>
      </c>
      <c r="Y223" s="326">
        <f>Y222*'Administrator Input'!$F$22</f>
        <v>4324.0644551769874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Animal Proofing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9581.9522400000005</v>
      </c>
      <c r="F226" s="313">
        <f>VLOOKUP($B$225,$A$174:$Y$179,6)</f>
        <v>0</v>
      </c>
      <c r="G226" s="313">
        <f>VLOOKUP($B$225,$A$174:$Y$179,7)</f>
        <v>0</v>
      </c>
      <c r="H226" s="313">
        <f>VLOOKUP($B$225,$A$174:$Y$179,8)</f>
        <v>0</v>
      </c>
      <c r="I226" s="313">
        <f>VLOOKUP($B$225,$A$174:$Y$179,9)</f>
        <v>0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9581.9522400000005</v>
      </c>
      <c r="F227" s="313">
        <f t="shared" ref="F227:Y227" si="44">E227+F226</f>
        <v>9581.9522400000005</v>
      </c>
      <c r="G227" s="313">
        <f t="shared" si="44"/>
        <v>9581.9522400000005</v>
      </c>
      <c r="H227" s="313">
        <f t="shared" si="44"/>
        <v>9581.9522400000005</v>
      </c>
      <c r="I227" s="313">
        <f t="shared" si="44"/>
        <v>9581.9522400000005</v>
      </c>
      <c r="J227" s="313">
        <f t="shared" si="44"/>
        <v>9581.9522400000005</v>
      </c>
      <c r="K227" s="313">
        <f t="shared" si="44"/>
        <v>9581.9522400000005</v>
      </c>
      <c r="L227" s="313">
        <f t="shared" si="44"/>
        <v>9581.9522400000005</v>
      </c>
      <c r="M227" s="313">
        <f t="shared" si="44"/>
        <v>9581.9522400000005</v>
      </c>
      <c r="N227" s="313">
        <f t="shared" si="44"/>
        <v>9581.9522400000005</v>
      </c>
      <c r="O227" s="313">
        <f t="shared" si="44"/>
        <v>9581.9522400000005</v>
      </c>
      <c r="P227" s="313">
        <f t="shared" si="44"/>
        <v>9581.9522400000005</v>
      </c>
      <c r="Q227" s="313">
        <f t="shared" si="44"/>
        <v>9581.9522400000005</v>
      </c>
      <c r="R227" s="313">
        <f t="shared" si="44"/>
        <v>9581.9522400000005</v>
      </c>
      <c r="S227" s="313">
        <f t="shared" si="44"/>
        <v>9581.9522400000005</v>
      </c>
      <c r="T227" s="313">
        <f t="shared" si="44"/>
        <v>9581.9522400000005</v>
      </c>
      <c r="U227" s="313">
        <f t="shared" si="44"/>
        <v>9581.9522400000005</v>
      </c>
      <c r="V227" s="313">
        <f t="shared" si="44"/>
        <v>9581.9522400000005</v>
      </c>
      <c r="W227" s="313">
        <f t="shared" si="44"/>
        <v>9581.9522400000005</v>
      </c>
      <c r="X227" s="313">
        <f t="shared" si="44"/>
        <v>9581.9522400000005</v>
      </c>
      <c r="Y227" s="313">
        <f t="shared" si="44"/>
        <v>9581.9522400000005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830.75525920799998</v>
      </c>
      <c r="F228" s="326">
        <f>F227*'Administrator Input'!$F$22</f>
        <v>830.75525920799998</v>
      </c>
      <c r="G228" s="326">
        <f>G227*'Administrator Input'!$F$22</f>
        <v>830.75525920799998</v>
      </c>
      <c r="H228" s="326">
        <f>H227*'Administrator Input'!$F$22</f>
        <v>830.75525920799998</v>
      </c>
      <c r="I228" s="326">
        <f>I227*'Administrator Input'!$F$22</f>
        <v>830.75525920799998</v>
      </c>
      <c r="J228" s="326">
        <f>J227*'Administrator Input'!$F$22</f>
        <v>830.75525920799998</v>
      </c>
      <c r="K228" s="326">
        <f>K227*'Administrator Input'!$F$22</f>
        <v>830.75525920799998</v>
      </c>
      <c r="L228" s="326">
        <f>L227*'Administrator Input'!$F$22</f>
        <v>830.75525920799998</v>
      </c>
      <c r="M228" s="326">
        <f>M227*'Administrator Input'!$F$22</f>
        <v>830.75525920799998</v>
      </c>
      <c r="N228" s="326">
        <f>N227*'Administrator Input'!$F$22</f>
        <v>830.75525920799998</v>
      </c>
      <c r="O228" s="326">
        <f>O227*'Administrator Input'!$F$22</f>
        <v>830.75525920799998</v>
      </c>
      <c r="P228" s="326">
        <f>P227*'Administrator Input'!$F$22</f>
        <v>830.75525920799998</v>
      </c>
      <c r="Q228" s="326">
        <f>Q227*'Administrator Input'!$F$22</f>
        <v>830.75525920799998</v>
      </c>
      <c r="R228" s="326">
        <f>R227*'Administrator Input'!$F$22</f>
        <v>830.75525920799998</v>
      </c>
      <c r="S228" s="326">
        <f>S227*'Administrator Input'!$F$22</f>
        <v>830.75525920799998</v>
      </c>
      <c r="T228" s="326">
        <f>T227*'Administrator Input'!$F$22</f>
        <v>830.75525920799998</v>
      </c>
      <c r="U228" s="326">
        <f>U227*'Administrator Input'!$F$22</f>
        <v>830.75525920799998</v>
      </c>
      <c r="V228" s="326">
        <f>V227*'Administrator Input'!$F$22</f>
        <v>830.75525920799998</v>
      </c>
      <c r="W228" s="326">
        <f>W227*'Administrator Input'!$F$22</f>
        <v>830.75525920799998</v>
      </c>
      <c r="X228" s="326">
        <f>X227*'Administrator Input'!$F$22</f>
        <v>830.75525920799998</v>
      </c>
      <c r="Y228" s="326">
        <f>Y227*'Administrator Input'!$F$22</f>
        <v>830.75525920799998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Animal Proofing 2016-20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11594.703728633382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544.37993147093198</v>
      </c>
      <c r="I256" s="141">
        <f>Calculations!I17*(1+$D$248)</f>
        <v>554.94090214146797</v>
      </c>
      <c r="J256" s="141">
        <f>Calculations!J17*(1+$D$248)</f>
        <v>565.70675564301246</v>
      </c>
      <c r="K256" s="141">
        <f>Calculations!K17*(1+$D$248)</f>
        <v>576.681466702487</v>
      </c>
      <c r="L256" s="141">
        <f>Calculations!L17*(1+$D$248)</f>
        <v>587.86908715651521</v>
      </c>
      <c r="M256" s="141">
        <f>Calculations!M17*(1+$D$248)</f>
        <v>599.27374744735152</v>
      </c>
      <c r="N256" s="141">
        <f>Calculations!N17*(1+$D$248)</f>
        <v>610.89965814783022</v>
      </c>
      <c r="O256" s="141">
        <f>Calculations!O17*(1+$D$248)</f>
        <v>622.75111151589806</v>
      </c>
      <c r="P256" s="141">
        <f>Calculations!P17*(1+$D$248)</f>
        <v>634.8324830793066</v>
      </c>
      <c r="Q256" s="141">
        <f>Calculations!Q17*(1+$D$248)</f>
        <v>647.14823325104499</v>
      </c>
      <c r="R256" s="141">
        <f>Calculations!R17*(1+$D$248)</f>
        <v>659.70290897611528</v>
      </c>
      <c r="S256" s="141">
        <f>Calculations!S17*(1+$D$248)</f>
        <v>672.50114541025187</v>
      </c>
      <c r="T256" s="141">
        <f>Calculations!T17*(1+$D$248)</f>
        <v>685.54766763121074</v>
      </c>
      <c r="U256" s="141">
        <f>Calculations!U17*(1+$D$248)</f>
        <v>698.84729238325633</v>
      </c>
      <c r="V256" s="141">
        <f>Calculations!V17*(1+$D$248)</f>
        <v>712.40492985549133</v>
      </c>
      <c r="W256" s="141">
        <f>Calculations!W17*(1+$D$248)</f>
        <v>726.22558549468783</v>
      </c>
      <c r="X256" s="141">
        <f>Calculations!X17*(1+$D$248)</f>
        <v>740.31436185328482</v>
      </c>
      <c r="Y256" s="141">
        <f>Calculations!Y17*(1+$D$248)</f>
        <v>754.67646047323842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38279.165419890116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1797.2351804542732</v>
      </c>
      <c r="I257" s="141">
        <f>Calculations!I18*(1+$D$247)</f>
        <v>1832.1015429550857</v>
      </c>
      <c r="J257" s="141">
        <f>Calculations!J18*(1+$D$247)</f>
        <v>1867.6443128884146</v>
      </c>
      <c r="K257" s="141">
        <f>Calculations!K18*(1+$D$247)</f>
        <v>1903.87661255845</v>
      </c>
      <c r="L257" s="141">
        <f>Calculations!L18*(1+$D$247)</f>
        <v>1940.8118188420838</v>
      </c>
      <c r="M257" s="141">
        <f>Calculations!M18*(1+$D$247)</f>
        <v>1978.4635681276202</v>
      </c>
      <c r="N257" s="141">
        <f>Calculations!N18*(1+$D$247)</f>
        <v>2016.845761349296</v>
      </c>
      <c r="O257" s="141">
        <f>Calculations!O18*(1+$D$247)</f>
        <v>2055.9725691194726</v>
      </c>
      <c r="P257" s="141">
        <f>Calculations!P18*(1+$D$247)</f>
        <v>2095.85843696039</v>
      </c>
      <c r="Q257" s="141">
        <f>Calculations!Q18*(1+$D$247)</f>
        <v>2136.5180906374217</v>
      </c>
      <c r="R257" s="141">
        <f>Calculations!R18*(1+$D$247)</f>
        <v>2177.9665415957875</v>
      </c>
      <c r="S257" s="141">
        <f>Calculations!S18*(1+$D$247)</f>
        <v>2220.2190925027458</v>
      </c>
      <c r="T257" s="141">
        <f>Calculations!T18*(1+$D$247)</f>
        <v>2263.2913428972988</v>
      </c>
      <c r="U257" s="141">
        <f>Calculations!U18*(1+$D$247)</f>
        <v>2307.1991949495068</v>
      </c>
      <c r="V257" s="141">
        <f>Calculations!V18*(1+$D$247)</f>
        <v>2351.958859331527</v>
      </c>
      <c r="W257" s="141">
        <f>Calculations!W18*(1+$D$247)</f>
        <v>2397.5868612025583</v>
      </c>
      <c r="X257" s="141">
        <f>Calculations!X18*(1+$D$247)</f>
        <v>2444.1000463098876</v>
      </c>
      <c r="Y257" s="141">
        <f>Calculations!Y18*(1+$D$247)</f>
        <v>2491.5155872082996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49873.869148523496</v>
      </c>
      <c r="E272" s="65">
        <f>SUM(E253:E271)</f>
        <v>0</v>
      </c>
      <c r="F272" s="66">
        <f t="shared" ref="F272:Y272" si="49">SUM(F253:F271)</f>
        <v>0</v>
      </c>
      <c r="G272" s="66">
        <f t="shared" si="49"/>
        <v>0</v>
      </c>
      <c r="H272" s="66">
        <f t="shared" si="49"/>
        <v>2341.6151119252054</v>
      </c>
      <c r="I272" s="66">
        <f t="shared" si="49"/>
        <v>2387.0424450965538</v>
      </c>
      <c r="J272" s="66">
        <f t="shared" si="49"/>
        <v>2433.3510685314268</v>
      </c>
      <c r="K272" s="66">
        <f t="shared" si="49"/>
        <v>2480.5580792609371</v>
      </c>
      <c r="L272" s="66">
        <f t="shared" si="49"/>
        <v>2528.680905998599</v>
      </c>
      <c r="M272" s="66">
        <f t="shared" si="49"/>
        <v>2577.7373155749719</v>
      </c>
      <c r="N272" s="66">
        <f t="shared" si="49"/>
        <v>2627.745419497126</v>
      </c>
      <c r="O272" s="66">
        <f t="shared" si="49"/>
        <v>2678.7236806353708</v>
      </c>
      <c r="P272" s="66">
        <f t="shared" si="49"/>
        <v>2730.6909200396967</v>
      </c>
      <c r="Q272" s="66">
        <f t="shared" si="49"/>
        <v>2783.6663238884666</v>
      </c>
      <c r="R272" s="66">
        <f t="shared" si="49"/>
        <v>2837.6694505719029</v>
      </c>
      <c r="S272" s="66">
        <f t="shared" si="49"/>
        <v>2892.7202379129976</v>
      </c>
      <c r="T272" s="66">
        <f t="shared" si="49"/>
        <v>2948.8390105285098</v>
      </c>
      <c r="U272" s="66">
        <f t="shared" si="49"/>
        <v>3006.0464873327633</v>
      </c>
      <c r="V272" s="66">
        <f t="shared" si="49"/>
        <v>3064.3637891870185</v>
      </c>
      <c r="W272" s="66">
        <f t="shared" si="49"/>
        <v>3123.8124466972463</v>
      </c>
      <c r="X272" s="66">
        <f t="shared" si="49"/>
        <v>3184.4144081631725</v>
      </c>
      <c r="Y272" s="148">
        <f t="shared" si="49"/>
        <v>3246.192047681538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18428.621354063915</v>
      </c>
      <c r="E273" s="77">
        <f t="shared" ref="E273:Y273" si="50">E272/(1+$D$244)^E$238</f>
        <v>0</v>
      </c>
      <c r="F273" s="77">
        <f t="shared" si="50"/>
        <v>0</v>
      </c>
      <c r="G273" s="77">
        <f t="shared" si="50"/>
        <v>0</v>
      </c>
      <c r="H273" s="77">
        <f t="shared" si="50"/>
        <v>1775.2191812484716</v>
      </c>
      <c r="I273" s="77">
        <f t="shared" si="50"/>
        <v>1650.0943132713519</v>
      </c>
      <c r="J273" s="77">
        <f t="shared" si="50"/>
        <v>1533.7887689877048</v>
      </c>
      <c r="K273" s="77">
        <f t="shared" si="50"/>
        <v>1425.6809256004983</v>
      </c>
      <c r="L273" s="77">
        <f t="shared" si="50"/>
        <v>1325.1929748857006</v>
      </c>
      <c r="M273" s="77">
        <f t="shared" si="50"/>
        <v>1231.7878349580405</v>
      </c>
      <c r="N273" s="77">
        <f t="shared" si="50"/>
        <v>1144.966279708422</v>
      </c>
      <c r="O273" s="77">
        <f t="shared" si="50"/>
        <v>1064.2642705705896</v>
      </c>
      <c r="P273" s="77">
        <f t="shared" si="50"/>
        <v>989.25047635603062</v>
      </c>
      <c r="Q273" s="77">
        <f t="shared" si="50"/>
        <v>919.52396790128353</v>
      </c>
      <c r="R273" s="77">
        <f t="shared" si="50"/>
        <v>854.71207520613507</v>
      </c>
      <c r="S273" s="77">
        <f t="shared" si="50"/>
        <v>794.46839560967805</v>
      </c>
      <c r="T273" s="77">
        <f t="shared" si="50"/>
        <v>738.47094235844429</v>
      </c>
      <c r="U273" s="77">
        <f t="shared" si="50"/>
        <v>686.42042367119382</v>
      </c>
      <c r="V273" s="77">
        <f t="shared" si="50"/>
        <v>638.03864310241158</v>
      </c>
      <c r="W273" s="77">
        <f t="shared" si="50"/>
        <v>593.0670126548722</v>
      </c>
      <c r="X273" s="77">
        <f t="shared" si="50"/>
        <v>551.26517069424324</v>
      </c>
      <c r="Y273" s="149">
        <f t="shared" si="50"/>
        <v>512.40969727884703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Animal Proofing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11711.274960000002</v>
      </c>
      <c r="E277" s="141">
        <f>Calculations!E38*(1+$D$245)</f>
        <v>11711.274960000002</v>
      </c>
      <c r="F277" s="141">
        <f>Calculations!F38*(1+$D$245)</f>
        <v>0</v>
      </c>
      <c r="G277" s="141">
        <f>Calculations!G38*(1+$D$245)</f>
        <v>0</v>
      </c>
      <c r="H277" s="141">
        <f>Calculations!H38*(1+$D$245)</f>
        <v>0</v>
      </c>
      <c r="I277" s="141">
        <f>Calculations!I38*(1+$D$245)</f>
        <v>0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Cost 1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11711.274960000002</v>
      </c>
      <c r="E296" s="68">
        <f>SUM(E277:E295)</f>
        <v>11711.274960000002</v>
      </c>
      <c r="F296" s="69">
        <f t="shared" ref="F296:Y296" si="52">SUM(F277:F295)</f>
        <v>0</v>
      </c>
      <c r="G296" s="69">
        <f t="shared" si="52"/>
        <v>0</v>
      </c>
      <c r="H296" s="69">
        <f t="shared" si="52"/>
        <v>0</v>
      </c>
      <c r="I296" s="69">
        <f t="shared" si="52"/>
        <v>0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11711.274960000002</v>
      </c>
      <c r="E297" s="77">
        <f t="shared" ref="E297:Y297" si="53">E296/(1+$D$244)^E$238</f>
        <v>11711.274960000002</v>
      </c>
      <c r="F297" s="77">
        <f t="shared" si="53"/>
        <v>0</v>
      </c>
      <c r="G297" s="77">
        <f t="shared" si="53"/>
        <v>0</v>
      </c>
      <c r="H297" s="77">
        <f t="shared" si="53"/>
        <v>0</v>
      </c>
      <c r="I297" s="77">
        <f t="shared" si="53"/>
        <v>0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 xml:space="preserve">Option 2: 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0</v>
      </c>
      <c r="E301" s="141">
        <f>Calculations!E62*(1+$D$245)</f>
        <v>0</v>
      </c>
      <c r="F301" s="141">
        <f>Calculations!F62*(1+$D$245)</f>
        <v>0</v>
      </c>
      <c r="G301" s="141">
        <f>Calculations!G62*(1+$D$245)</f>
        <v>0</v>
      </c>
      <c r="H301" s="141">
        <f>Calculations!H62*(1+$D$245)</f>
        <v>0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0</v>
      </c>
      <c r="E320" s="68">
        <f>SUM(E301:E319)</f>
        <v>0</v>
      </c>
      <c r="F320" s="69">
        <f t="shared" ref="F320:Y320" si="55">SUM(F301:F319)</f>
        <v>0</v>
      </c>
      <c r="G320" s="69">
        <f t="shared" si="55"/>
        <v>0</v>
      </c>
      <c r="H320" s="69">
        <f t="shared" si="55"/>
        <v>0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0</v>
      </c>
      <c r="E321" s="77">
        <f t="shared" ref="E321:Y321" si="56">E320/(1+$D$244)^E$238</f>
        <v>0</v>
      </c>
      <c r="F321" s="77">
        <f t="shared" si="56"/>
        <v>0</v>
      </c>
      <c r="G321" s="77">
        <f t="shared" si="56"/>
        <v>0</v>
      </c>
      <c r="H321" s="77">
        <f t="shared" si="56"/>
        <v>0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Cost 1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0</v>
      </c>
      <c r="G400" s="145">
        <f t="shared" si="66"/>
        <v>0</v>
      </c>
      <c r="H400" s="145">
        <f t="shared" si="66"/>
        <v>2341.6151119252054</v>
      </c>
      <c r="I400" s="145">
        <f t="shared" si="66"/>
        <v>2387.0424450965538</v>
      </c>
      <c r="J400" s="145">
        <f t="shared" si="66"/>
        <v>2433.3510685314268</v>
      </c>
      <c r="K400" s="145">
        <f t="shared" si="66"/>
        <v>2480.5580792609371</v>
      </c>
      <c r="L400" s="145">
        <f t="shared" si="66"/>
        <v>2528.680905998599</v>
      </c>
      <c r="M400" s="145">
        <f t="shared" si="66"/>
        <v>2577.7373155749719</v>
      </c>
      <c r="N400" s="145">
        <f t="shared" si="66"/>
        <v>2627.745419497126</v>
      </c>
      <c r="O400" s="145">
        <f t="shared" si="66"/>
        <v>2678.7236806353708</v>
      </c>
      <c r="P400" s="145">
        <f t="shared" si="66"/>
        <v>2730.6909200396967</v>
      </c>
      <c r="Q400" s="145">
        <f t="shared" si="66"/>
        <v>2783.6663238884666</v>
      </c>
      <c r="R400" s="145">
        <f t="shared" si="66"/>
        <v>2837.6694505719029</v>
      </c>
      <c r="S400" s="145">
        <f t="shared" si="66"/>
        <v>2892.7202379129976</v>
      </c>
      <c r="T400" s="145">
        <f t="shared" si="66"/>
        <v>2948.8390105285098</v>
      </c>
      <c r="U400" s="145">
        <f t="shared" si="66"/>
        <v>3006.0464873327633</v>
      </c>
      <c r="V400" s="145">
        <f t="shared" si="66"/>
        <v>3064.3637891870185</v>
      </c>
      <c r="W400" s="145">
        <f t="shared" si="66"/>
        <v>3123.8124466972463</v>
      </c>
      <c r="X400" s="145">
        <f t="shared" si="66"/>
        <v>3184.4144081631725</v>
      </c>
      <c r="Y400" s="145">
        <f t="shared" si="66"/>
        <v>3246.192047681538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Animal Proofing</v>
      </c>
      <c r="D401" s="80"/>
      <c r="E401" s="302">
        <f t="shared" ref="E401:Y401" si="67">E296</f>
        <v>11711.274960000002</v>
      </c>
      <c r="F401" s="302">
        <f t="shared" si="67"/>
        <v>0</v>
      </c>
      <c r="G401" s="302">
        <f t="shared" si="67"/>
        <v>0</v>
      </c>
      <c r="H401" s="302">
        <f t="shared" si="67"/>
        <v>0</v>
      </c>
      <c r="I401" s="302">
        <f t="shared" si="67"/>
        <v>0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 xml:space="preserve">Option 2: </v>
      </c>
      <c r="D402" s="80"/>
      <c r="E402" s="302">
        <f t="shared" ref="E402:Y402" si="68">E320</f>
        <v>0</v>
      </c>
      <c r="F402" s="302">
        <f t="shared" si="68"/>
        <v>0</v>
      </c>
      <c r="G402" s="302">
        <f t="shared" si="68"/>
        <v>0</v>
      </c>
      <c r="H402" s="302">
        <f t="shared" si="68"/>
        <v>0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0</v>
      </c>
      <c r="G409" s="145">
        <f t="shared" si="72"/>
        <v>0</v>
      </c>
      <c r="H409" s="145">
        <f t="shared" si="72"/>
        <v>1775.2191812484716</v>
      </c>
      <c r="I409" s="145">
        <f t="shared" si="72"/>
        <v>1650.0943132713519</v>
      </c>
      <c r="J409" s="145">
        <f t="shared" si="72"/>
        <v>1533.7887689877048</v>
      </c>
      <c r="K409" s="145">
        <f t="shared" si="72"/>
        <v>1425.6809256004983</v>
      </c>
      <c r="L409" s="145">
        <f t="shared" si="72"/>
        <v>1325.1929748857006</v>
      </c>
      <c r="M409" s="145">
        <f t="shared" si="72"/>
        <v>1231.7878349580405</v>
      </c>
      <c r="N409" s="145">
        <f t="shared" si="72"/>
        <v>1144.966279708422</v>
      </c>
      <c r="O409" s="145">
        <f t="shared" si="72"/>
        <v>1064.2642705705896</v>
      </c>
      <c r="P409" s="145">
        <f t="shared" si="72"/>
        <v>989.25047635603062</v>
      </c>
      <c r="Q409" s="145">
        <f t="shared" si="72"/>
        <v>919.52396790128353</v>
      </c>
      <c r="R409" s="145">
        <f t="shared" si="72"/>
        <v>854.71207520613507</v>
      </c>
      <c r="S409" s="145">
        <f t="shared" si="72"/>
        <v>794.46839560967805</v>
      </c>
      <c r="T409" s="145">
        <f t="shared" si="72"/>
        <v>738.47094235844429</v>
      </c>
      <c r="U409" s="145">
        <f t="shared" si="72"/>
        <v>686.42042367119382</v>
      </c>
      <c r="V409" s="145">
        <f t="shared" si="72"/>
        <v>638.03864310241158</v>
      </c>
      <c r="W409" s="145">
        <f t="shared" si="72"/>
        <v>593.0670126548722</v>
      </c>
      <c r="X409" s="145">
        <f t="shared" si="72"/>
        <v>551.26517069424324</v>
      </c>
      <c r="Y409" s="145">
        <f t="shared" si="72"/>
        <v>512.40969727884703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Animal Proofing</v>
      </c>
      <c r="D410" s="80"/>
      <c r="E410" s="145">
        <f t="shared" ref="E410:Y410" si="73">E297</f>
        <v>11711.274960000002</v>
      </c>
      <c r="F410" s="145">
        <f t="shared" si="73"/>
        <v>0</v>
      </c>
      <c r="G410" s="145">
        <f t="shared" si="73"/>
        <v>0</v>
      </c>
      <c r="H410" s="145">
        <f t="shared" si="73"/>
        <v>0</v>
      </c>
      <c r="I410" s="145">
        <f t="shared" si="73"/>
        <v>0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 xml:space="preserve">Option 2: </v>
      </c>
      <c r="D411" s="80"/>
      <c r="E411" s="145">
        <f t="shared" ref="E411:Y411" si="74">E321</f>
        <v>0</v>
      </c>
      <c r="F411" s="145">
        <f t="shared" si="74"/>
        <v>0</v>
      </c>
      <c r="G411" s="145">
        <f t="shared" si="74"/>
        <v>0</v>
      </c>
      <c r="H411" s="145">
        <f t="shared" si="74"/>
        <v>0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51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Animal Proofing</v>
      </c>
      <c r="F417" s="387" t="str">
        <f>B299</f>
        <v xml:space="preserve">Option 2: 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11711.274960000002</v>
      </c>
      <c r="F419" s="305">
        <f>D301</f>
        <v>0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49873.869148523496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49873.869148523496</v>
      </c>
      <c r="E430" s="122">
        <f t="shared" si="84"/>
        <v>11711.274960000002</v>
      </c>
      <c r="F430" s="122">
        <f t="shared" si="84"/>
        <v>0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>
        <f>IF(D430=0," ",D273)</f>
        <v>18428.621354063915</v>
      </c>
      <c r="E432" s="123">
        <f>IF(E430=0," ",D297)</f>
        <v>11711.274960000002</v>
      </c>
      <c r="F432" s="128" t="str">
        <f>IF(F430=0," ",D321)</f>
        <v xml:space="preserve"> 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11711.274960000002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Animal Proofing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0</v>
      </c>
      <c r="G442" s="313">
        <f t="shared" si="86"/>
        <v>0</v>
      </c>
      <c r="H442" s="313">
        <f t="shared" si="86"/>
        <v>203.01803020391532</v>
      </c>
      <c r="I442" s="313">
        <f t="shared" si="86"/>
        <v>409.97461019378653</v>
      </c>
      <c r="J442" s="313">
        <f t="shared" si="86"/>
        <v>620.94614783546126</v>
      </c>
      <c r="K442" s="313">
        <f t="shared" si="86"/>
        <v>836.01053330738443</v>
      </c>
      <c r="L442" s="313">
        <f t="shared" si="86"/>
        <v>1055.247167857463</v>
      </c>
      <c r="M442" s="313">
        <f t="shared" si="86"/>
        <v>1278.736993117813</v>
      </c>
      <c r="N442" s="313">
        <f t="shared" si="86"/>
        <v>1506.5625209882137</v>
      </c>
      <c r="O442" s="313">
        <f t="shared" si="86"/>
        <v>1738.8078640993006</v>
      </c>
      <c r="P442" s="313">
        <f t="shared" si="86"/>
        <v>1975.558766866742</v>
      </c>
      <c r="Q442" s="313">
        <f t="shared" si="86"/>
        <v>2216.9026371478722</v>
      </c>
      <c r="R442" s="313">
        <f t="shared" si="86"/>
        <v>2462.9285785124557</v>
      </c>
      <c r="S442" s="313">
        <f t="shared" si="86"/>
        <v>2713.7274231395131</v>
      </c>
      <c r="T442" s="313">
        <f t="shared" si="86"/>
        <v>2969.3917653523345</v>
      </c>
      <c r="U442" s="313">
        <f t="shared" si="86"/>
        <v>3230.0159958040854</v>
      </c>
      <c r="V442" s="313">
        <f t="shared" si="86"/>
        <v>3495.6963363265995</v>
      </c>
      <c r="W442" s="313">
        <f t="shared" si="86"/>
        <v>3766.5308754552507</v>
      </c>
      <c r="X442" s="313">
        <f t="shared" si="86"/>
        <v>4042.6196046429977</v>
      </c>
      <c r="Y442" s="313">
        <f t="shared" si="86"/>
        <v>4324.0644551769874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Animal Proofing annual carrying costs</v>
      </c>
      <c r="E443" s="313">
        <f t="shared" ref="E443:Y443" si="87">E454</f>
        <v>1015.3675390320002</v>
      </c>
      <c r="F443" s="313">
        <f t="shared" si="87"/>
        <v>1015.3675390320002</v>
      </c>
      <c r="G443" s="313">
        <f t="shared" si="87"/>
        <v>1015.3675390320002</v>
      </c>
      <c r="H443" s="313">
        <f t="shared" si="87"/>
        <v>1015.3675390320002</v>
      </c>
      <c r="I443" s="313">
        <f t="shared" si="87"/>
        <v>1015.3675390320002</v>
      </c>
      <c r="J443" s="313">
        <f t="shared" si="87"/>
        <v>1015.3675390320002</v>
      </c>
      <c r="K443" s="313">
        <f t="shared" si="87"/>
        <v>1015.3675390320002</v>
      </c>
      <c r="L443" s="313">
        <f t="shared" si="87"/>
        <v>1015.3675390320002</v>
      </c>
      <c r="M443" s="313">
        <f t="shared" si="87"/>
        <v>1015.3675390320002</v>
      </c>
      <c r="N443" s="313">
        <f t="shared" si="87"/>
        <v>1015.3675390320002</v>
      </c>
      <c r="O443" s="313">
        <f t="shared" si="87"/>
        <v>1015.3675390320002</v>
      </c>
      <c r="P443" s="313">
        <f t="shared" si="87"/>
        <v>1015.3675390320002</v>
      </c>
      <c r="Q443" s="313">
        <f t="shared" si="87"/>
        <v>1015.3675390320002</v>
      </c>
      <c r="R443" s="313">
        <f t="shared" si="87"/>
        <v>1015.3675390320002</v>
      </c>
      <c r="S443" s="313">
        <f t="shared" si="87"/>
        <v>1015.3675390320002</v>
      </c>
      <c r="T443" s="313">
        <f t="shared" si="87"/>
        <v>1015.3675390320002</v>
      </c>
      <c r="U443" s="313">
        <f t="shared" si="87"/>
        <v>1015.3675390320002</v>
      </c>
      <c r="V443" s="313">
        <f t="shared" si="87"/>
        <v>1015.3675390320002</v>
      </c>
      <c r="W443" s="313">
        <f t="shared" si="87"/>
        <v>1015.3675390320002</v>
      </c>
      <c r="X443" s="313">
        <f t="shared" si="87"/>
        <v>1015.3675390320002</v>
      </c>
      <c r="Y443" s="313">
        <f t="shared" si="87"/>
        <v>1015.3675390320002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Animal Proofing PV of costs</v>
      </c>
      <c r="E444" s="313">
        <f>VLOOKUP($B$451,$A$409:$Y$414,5)</f>
        <v>11711.274960000002</v>
      </c>
      <c r="F444" s="313">
        <f>VLOOKUP($B$451,$A$409:$Y$414,6)</f>
        <v>0</v>
      </c>
      <c r="G444" s="313">
        <f>VLOOKUP($B$451,$A$409:$Y$414,7)</f>
        <v>0</v>
      </c>
      <c r="H444" s="313">
        <f>VLOOKUP($B$451,$A$409:$Y$414,8)</f>
        <v>0</v>
      </c>
      <c r="I444" s="313">
        <f>VLOOKUP($B$451,$A$409:$Y$414,9)</f>
        <v>0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0</v>
      </c>
      <c r="G447" s="313">
        <f t="shared" si="88"/>
        <v>0</v>
      </c>
      <c r="H447" s="313">
        <f t="shared" si="88"/>
        <v>2341.6151119252054</v>
      </c>
      <c r="I447" s="313">
        <f t="shared" si="88"/>
        <v>2387.0424450965538</v>
      </c>
      <c r="J447" s="313">
        <f t="shared" si="88"/>
        <v>2433.3510685314268</v>
      </c>
      <c r="K447" s="313">
        <f t="shared" si="88"/>
        <v>2480.5580792609371</v>
      </c>
      <c r="L447" s="313">
        <f t="shared" si="88"/>
        <v>2528.680905998599</v>
      </c>
      <c r="M447" s="313">
        <f t="shared" si="88"/>
        <v>2577.7373155749719</v>
      </c>
      <c r="N447" s="313">
        <f t="shared" si="88"/>
        <v>2627.745419497126</v>
      </c>
      <c r="O447" s="313">
        <f t="shared" si="88"/>
        <v>2678.7236806353708</v>
      </c>
      <c r="P447" s="313">
        <f t="shared" si="88"/>
        <v>2730.6909200396967</v>
      </c>
      <c r="Q447" s="313">
        <f t="shared" si="88"/>
        <v>2783.6663238884666</v>
      </c>
      <c r="R447" s="313">
        <f t="shared" si="88"/>
        <v>2837.6694505719029</v>
      </c>
      <c r="S447" s="313">
        <f t="shared" si="88"/>
        <v>2892.7202379129976</v>
      </c>
      <c r="T447" s="313">
        <f t="shared" si="88"/>
        <v>2948.8390105285098</v>
      </c>
      <c r="U447" s="313">
        <f t="shared" si="88"/>
        <v>3006.0464873327633</v>
      </c>
      <c r="V447" s="313">
        <f t="shared" si="88"/>
        <v>3064.3637891870185</v>
      </c>
      <c r="W447" s="313">
        <f t="shared" si="88"/>
        <v>3123.8124466972463</v>
      </c>
      <c r="X447" s="313">
        <f t="shared" si="88"/>
        <v>3184.4144081631725</v>
      </c>
      <c r="Y447" s="313">
        <f t="shared" si="88"/>
        <v>3246.192047681538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0</v>
      </c>
      <c r="G448" s="313">
        <f t="shared" si="89"/>
        <v>0</v>
      </c>
      <c r="H448" s="313">
        <f t="shared" si="89"/>
        <v>2341.6151119252054</v>
      </c>
      <c r="I448" s="313">
        <f t="shared" si="89"/>
        <v>4728.6575570217592</v>
      </c>
      <c r="J448" s="313">
        <f t="shared" si="89"/>
        <v>7162.008625553186</v>
      </c>
      <c r="K448" s="313">
        <f t="shared" si="89"/>
        <v>9642.5667048141222</v>
      </c>
      <c r="L448" s="313">
        <f t="shared" si="89"/>
        <v>12171.247610812721</v>
      </c>
      <c r="M448" s="313">
        <f t="shared" si="89"/>
        <v>14748.984926387693</v>
      </c>
      <c r="N448" s="313">
        <f t="shared" si="89"/>
        <v>17376.730345884818</v>
      </c>
      <c r="O448" s="313">
        <f t="shared" si="89"/>
        <v>20055.45402652019</v>
      </c>
      <c r="P448" s="313">
        <f t="shared" si="89"/>
        <v>22786.144946559885</v>
      </c>
      <c r="Q448" s="313">
        <f t="shared" si="89"/>
        <v>25569.81127044835</v>
      </c>
      <c r="R448" s="313">
        <f t="shared" si="89"/>
        <v>28407.480721020253</v>
      </c>
      <c r="S448" s="313">
        <f t="shared" si="89"/>
        <v>31300.200958933252</v>
      </c>
      <c r="T448" s="313">
        <f t="shared" si="89"/>
        <v>34249.039969461759</v>
      </c>
      <c r="U448" s="313">
        <f t="shared" si="89"/>
        <v>37255.086456794525</v>
      </c>
      <c r="V448" s="313">
        <f t="shared" si="89"/>
        <v>40319.450245981541</v>
      </c>
      <c r="W448" s="313">
        <f t="shared" si="89"/>
        <v>43443.262692678785</v>
      </c>
      <c r="X448" s="313">
        <f t="shared" si="89"/>
        <v>46627.67710084196</v>
      </c>
      <c r="Y448" s="313">
        <f t="shared" si="89"/>
        <v>49873.869148523496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0</v>
      </c>
      <c r="G449" s="326">
        <f>G448*'Administrator Input'!$F$22</f>
        <v>0</v>
      </c>
      <c r="H449" s="326">
        <f>H448*'Administrator Input'!$F$22</f>
        <v>203.01803020391532</v>
      </c>
      <c r="I449" s="326">
        <f>I448*'Administrator Input'!$F$22</f>
        <v>409.97461019378653</v>
      </c>
      <c r="J449" s="326">
        <f>J448*'Administrator Input'!$F$22</f>
        <v>620.94614783546126</v>
      </c>
      <c r="K449" s="326">
        <f>K448*'Administrator Input'!$F$22</f>
        <v>836.01053330738443</v>
      </c>
      <c r="L449" s="326">
        <f>L448*'Administrator Input'!$F$22</f>
        <v>1055.247167857463</v>
      </c>
      <c r="M449" s="326">
        <f>M448*'Administrator Input'!$F$22</f>
        <v>1278.736993117813</v>
      </c>
      <c r="N449" s="326">
        <f>N448*'Administrator Input'!$F$22</f>
        <v>1506.5625209882137</v>
      </c>
      <c r="O449" s="326">
        <f>O448*'Administrator Input'!$F$22</f>
        <v>1738.8078640993006</v>
      </c>
      <c r="P449" s="326">
        <f>P448*'Administrator Input'!$F$22</f>
        <v>1975.558766866742</v>
      </c>
      <c r="Q449" s="326">
        <f>Q448*'Administrator Input'!$F$22</f>
        <v>2216.9026371478722</v>
      </c>
      <c r="R449" s="326">
        <f>R448*'Administrator Input'!$F$22</f>
        <v>2462.9285785124557</v>
      </c>
      <c r="S449" s="326">
        <f>S448*'Administrator Input'!$F$22</f>
        <v>2713.7274231395131</v>
      </c>
      <c r="T449" s="326">
        <f>T448*'Administrator Input'!$F$22</f>
        <v>2969.3917653523345</v>
      </c>
      <c r="U449" s="326">
        <f>U448*'Administrator Input'!$F$22</f>
        <v>3230.0159958040854</v>
      </c>
      <c r="V449" s="326">
        <f>V448*'Administrator Input'!$F$22</f>
        <v>3495.6963363265995</v>
      </c>
      <c r="W449" s="326">
        <f>W448*'Administrator Input'!$F$22</f>
        <v>3766.5308754552507</v>
      </c>
      <c r="X449" s="326">
        <f>X448*'Administrator Input'!$F$22</f>
        <v>4042.6196046429977</v>
      </c>
      <c r="Y449" s="326">
        <f>Y448*'Administrator Input'!$F$22</f>
        <v>4324.0644551769874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Animal Proofing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11711.274960000002</v>
      </c>
      <c r="F452" s="313">
        <f>VLOOKUP($B$451,$A$400:$Y$405,6)</f>
        <v>0</v>
      </c>
      <c r="G452" s="313">
        <f>VLOOKUP($B$451,$A$400:$Y$405,7)</f>
        <v>0</v>
      </c>
      <c r="H452" s="313">
        <f>VLOOKUP($B$451,$A$400:$Y$405,8)</f>
        <v>0</v>
      </c>
      <c r="I452" s="313">
        <f>VLOOKUP($B$451,$A$400:$Y$405,9)</f>
        <v>0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11711.274960000002</v>
      </c>
      <c r="F453" s="313">
        <f t="shared" ref="F453:Y453" si="90">E453+F452</f>
        <v>11711.274960000002</v>
      </c>
      <c r="G453" s="313">
        <f t="shared" si="90"/>
        <v>11711.274960000002</v>
      </c>
      <c r="H453" s="313">
        <f t="shared" si="90"/>
        <v>11711.274960000002</v>
      </c>
      <c r="I453" s="313">
        <f t="shared" si="90"/>
        <v>11711.274960000002</v>
      </c>
      <c r="J453" s="313">
        <f t="shared" si="90"/>
        <v>11711.274960000002</v>
      </c>
      <c r="K453" s="313">
        <f t="shared" si="90"/>
        <v>11711.274960000002</v>
      </c>
      <c r="L453" s="313">
        <f t="shared" si="90"/>
        <v>11711.274960000002</v>
      </c>
      <c r="M453" s="313">
        <f t="shared" si="90"/>
        <v>11711.274960000002</v>
      </c>
      <c r="N453" s="313">
        <f t="shared" si="90"/>
        <v>11711.274960000002</v>
      </c>
      <c r="O453" s="313">
        <f t="shared" si="90"/>
        <v>11711.274960000002</v>
      </c>
      <c r="P453" s="313">
        <f t="shared" si="90"/>
        <v>11711.274960000002</v>
      </c>
      <c r="Q453" s="313">
        <f t="shared" si="90"/>
        <v>11711.274960000002</v>
      </c>
      <c r="R453" s="313">
        <f t="shared" si="90"/>
        <v>11711.274960000002</v>
      </c>
      <c r="S453" s="313">
        <f t="shared" si="90"/>
        <v>11711.274960000002</v>
      </c>
      <c r="T453" s="313">
        <f t="shared" si="90"/>
        <v>11711.274960000002</v>
      </c>
      <c r="U453" s="313">
        <f t="shared" si="90"/>
        <v>11711.274960000002</v>
      </c>
      <c r="V453" s="313">
        <f t="shared" si="90"/>
        <v>11711.274960000002</v>
      </c>
      <c r="W453" s="313">
        <f t="shared" si="90"/>
        <v>11711.274960000002</v>
      </c>
      <c r="X453" s="313">
        <f t="shared" si="90"/>
        <v>11711.274960000002</v>
      </c>
      <c r="Y453" s="313">
        <f t="shared" si="90"/>
        <v>11711.274960000002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1015.3675390320002</v>
      </c>
      <c r="F454" s="326">
        <f>F453*'Administrator Input'!$F$22</f>
        <v>1015.3675390320002</v>
      </c>
      <c r="G454" s="326">
        <f>G453*'Administrator Input'!$F$22</f>
        <v>1015.3675390320002</v>
      </c>
      <c r="H454" s="326">
        <f>H453*'Administrator Input'!$F$22</f>
        <v>1015.3675390320002</v>
      </c>
      <c r="I454" s="326">
        <f>I453*'Administrator Input'!$F$22</f>
        <v>1015.3675390320002</v>
      </c>
      <c r="J454" s="326">
        <f>J453*'Administrator Input'!$F$22</f>
        <v>1015.3675390320002</v>
      </c>
      <c r="K454" s="326">
        <f>K453*'Administrator Input'!$F$22</f>
        <v>1015.3675390320002</v>
      </c>
      <c r="L454" s="326">
        <f>L453*'Administrator Input'!$F$22</f>
        <v>1015.3675390320002</v>
      </c>
      <c r="M454" s="326">
        <f>M453*'Administrator Input'!$F$22</f>
        <v>1015.3675390320002</v>
      </c>
      <c r="N454" s="326">
        <f>N453*'Administrator Input'!$F$22</f>
        <v>1015.3675390320002</v>
      </c>
      <c r="O454" s="326">
        <f>O453*'Administrator Input'!$F$22</f>
        <v>1015.3675390320002</v>
      </c>
      <c r="P454" s="326">
        <f>P453*'Administrator Input'!$F$22</f>
        <v>1015.3675390320002</v>
      </c>
      <c r="Q454" s="326">
        <f>Q453*'Administrator Input'!$F$22</f>
        <v>1015.3675390320002</v>
      </c>
      <c r="R454" s="326">
        <f>R453*'Administrator Input'!$F$22</f>
        <v>1015.3675390320002</v>
      </c>
      <c r="S454" s="326">
        <f>S453*'Administrator Input'!$F$22</f>
        <v>1015.3675390320002</v>
      </c>
      <c r="T454" s="326">
        <f>T453*'Administrator Input'!$F$22</f>
        <v>1015.3675390320002</v>
      </c>
      <c r="U454" s="326">
        <f>U453*'Administrator Input'!$F$22</f>
        <v>1015.3675390320002</v>
      </c>
      <c r="V454" s="326">
        <f>V453*'Administrator Input'!$F$22</f>
        <v>1015.3675390320002</v>
      </c>
      <c r="W454" s="326">
        <f>W453*'Administrator Input'!$F$22</f>
        <v>1015.3675390320002</v>
      </c>
      <c r="X454" s="326">
        <f>X453*'Administrator Input'!$F$22</f>
        <v>1015.3675390320002</v>
      </c>
      <c r="Y454" s="326">
        <f>Y453*'Administrator Input'!$F$22</f>
        <v>1015.3675390320002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Animal Proofing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 xml:space="preserve">Option 2: 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Animal Proofing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 xml:space="preserve">Option 2: 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80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Animal Proofing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905.49479999999994</v>
      </c>
      <c r="F258" s="257">
        <f>$D$19*E261</f>
        <v>984.00119916000006</v>
      </c>
      <c r="G258" s="257">
        <f t="shared" ref="G258:X258" si="93">$D$19*F261</f>
        <v>1069.3141031271721</v>
      </c>
      <c r="H258" s="257">
        <f t="shared" si="93"/>
        <v>1162.0236358682978</v>
      </c>
      <c r="I258" s="257">
        <f t="shared" si="93"/>
        <v>1262.7710850980793</v>
      </c>
      <c r="J258" s="257">
        <f t="shared" si="93"/>
        <v>1372.2533381760827</v>
      </c>
      <c r="K258" s="257">
        <f t="shared" si="93"/>
        <v>1491.2277025959493</v>
      </c>
      <c r="L258" s="257">
        <f t="shared" si="93"/>
        <v>1620.5171444110181</v>
      </c>
      <c r="M258" s="257">
        <f t="shared" si="93"/>
        <v>1761.0159808314531</v>
      </c>
      <c r="N258" s="257">
        <f t="shared" si="93"/>
        <v>1913.6960663695402</v>
      </c>
      <c r="O258" s="257">
        <f t="shared" si="93"/>
        <v>2079.6135153237792</v>
      </c>
      <c r="P258" s="257">
        <f t="shared" si="93"/>
        <v>2259.9160071023507</v>
      </c>
      <c r="Q258" s="257">
        <f t="shared" si="93"/>
        <v>2455.8507249181243</v>
      </c>
      <c r="R258" s="257">
        <f t="shared" si="93"/>
        <v>2668.7729827685257</v>
      </c>
      <c r="S258" s="257">
        <f t="shared" si="93"/>
        <v>2900.1556003745573</v>
      </c>
      <c r="T258" s="257">
        <f t="shared" si="93"/>
        <v>3151.5990909270313</v>
      </c>
      <c r="U258" s="257">
        <f t="shared" si="93"/>
        <v>3424.842732110405</v>
      </c>
      <c r="V258" s="257">
        <f t="shared" si="93"/>
        <v>3721.7765969843772</v>
      </c>
      <c r="W258" s="257">
        <f t="shared" si="93"/>
        <v>4044.4546279429223</v>
      </c>
      <c r="X258" s="257">
        <f t="shared" si="93"/>
        <v>4395.1088441855736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-905.49479999999994</v>
      </c>
      <c r="F259" s="264">
        <f>$D$256-F258</f>
        <v>-984.00119916000006</v>
      </c>
      <c r="G259" s="264">
        <f t="shared" ref="G259:X259" si="94">$D$256-G258</f>
        <v>-1069.3141031271721</v>
      </c>
      <c r="H259" s="264">
        <f t="shared" si="94"/>
        <v>-1162.0236358682978</v>
      </c>
      <c r="I259" s="264">
        <f t="shared" si="94"/>
        <v>-1262.7710850980793</v>
      </c>
      <c r="J259" s="264">
        <f t="shared" si="94"/>
        <v>-1372.2533381760827</v>
      </c>
      <c r="K259" s="264">
        <f t="shared" si="94"/>
        <v>-1491.2277025959493</v>
      </c>
      <c r="L259" s="264">
        <f t="shared" si="94"/>
        <v>-1620.5171444110181</v>
      </c>
      <c r="M259" s="264">
        <f t="shared" si="94"/>
        <v>-1761.0159808314531</v>
      </c>
      <c r="N259" s="264">
        <f t="shared" si="94"/>
        <v>-1913.6960663695402</v>
      </c>
      <c r="O259" s="264">
        <f t="shared" si="94"/>
        <v>-2079.6135153237792</v>
      </c>
      <c r="P259" s="264">
        <f t="shared" si="94"/>
        <v>-2259.9160071023507</v>
      </c>
      <c r="Q259" s="264">
        <f t="shared" si="94"/>
        <v>-2455.8507249181243</v>
      </c>
      <c r="R259" s="264">
        <f t="shared" si="94"/>
        <v>-2668.7729827685257</v>
      </c>
      <c r="S259" s="264">
        <f t="shared" si="94"/>
        <v>-2900.1556003745573</v>
      </c>
      <c r="T259" s="264">
        <f t="shared" si="94"/>
        <v>-3151.5990909270313</v>
      </c>
      <c r="U259" s="264">
        <f t="shared" si="94"/>
        <v>-3424.842732110405</v>
      </c>
      <c r="V259" s="264">
        <f t="shared" si="94"/>
        <v>-3721.7765969843772</v>
      </c>
      <c r="W259" s="264">
        <f t="shared" si="94"/>
        <v>-4044.4546279429223</v>
      </c>
      <c r="X259" s="264">
        <f t="shared" si="94"/>
        <v>-4395.1088441855736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11349.4948</v>
      </c>
      <c r="F261" s="257">
        <f>E261-F259</f>
        <v>12333.495999160001</v>
      </c>
      <c r="G261" s="257">
        <f t="shared" ref="G261:X261" si="96">F261-G259</f>
        <v>13402.810102287172</v>
      </c>
      <c r="H261" s="257">
        <f t="shared" si="96"/>
        <v>14564.83373815547</v>
      </c>
      <c r="I261" s="257">
        <f t="shared" si="96"/>
        <v>15827.60482325355</v>
      </c>
      <c r="J261" s="257">
        <f t="shared" si="96"/>
        <v>17199.858161429634</v>
      </c>
      <c r="K261" s="257">
        <f t="shared" si="96"/>
        <v>18691.085864025583</v>
      </c>
      <c r="L261" s="257">
        <f t="shared" si="96"/>
        <v>20311.603008436599</v>
      </c>
      <c r="M261" s="257">
        <f t="shared" si="96"/>
        <v>22072.618989268052</v>
      </c>
      <c r="N261" s="257">
        <f t="shared" si="96"/>
        <v>23986.315055637591</v>
      </c>
      <c r="O261" s="257">
        <f t="shared" si="96"/>
        <v>26065.928570961369</v>
      </c>
      <c r="P261" s="257">
        <f t="shared" si="96"/>
        <v>28325.844578063719</v>
      </c>
      <c r="Q261" s="257">
        <f t="shared" si="96"/>
        <v>30781.695302981843</v>
      </c>
      <c r="R261" s="257">
        <f t="shared" si="96"/>
        <v>33450.468285750372</v>
      </c>
      <c r="S261" s="257">
        <f t="shared" si="96"/>
        <v>36350.623886124929</v>
      </c>
      <c r="T261" s="257">
        <f t="shared" si="96"/>
        <v>39502.222977051963</v>
      </c>
      <c r="U261" s="257">
        <f t="shared" si="96"/>
        <v>42927.065709162365</v>
      </c>
      <c r="V261" s="257">
        <f t="shared" si="96"/>
        <v>46648.84230614674</v>
      </c>
      <c r="W261" s="257">
        <f t="shared" si="96"/>
        <v>50693.29693408966</v>
      </c>
      <c r="X261" s="257">
        <f t="shared" si="96"/>
        <v>55088.405778275235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0</v>
      </c>
      <c r="G265" s="257">
        <f>$D$19*F268</f>
        <v>0</v>
      </c>
      <c r="H265" s="257">
        <f t="shared" ref="H265:X265" si="97">$D$19*G268</f>
        <v>0</v>
      </c>
      <c r="I265" s="257">
        <f t="shared" si="97"/>
        <v>0</v>
      </c>
      <c r="J265" s="257">
        <f t="shared" si="97"/>
        <v>0</v>
      </c>
      <c r="K265" s="257">
        <f t="shared" si="97"/>
        <v>0</v>
      </c>
      <c r="L265" s="257">
        <f t="shared" si="97"/>
        <v>0</v>
      </c>
      <c r="M265" s="257">
        <f t="shared" si="97"/>
        <v>0</v>
      </c>
      <c r="N265" s="257">
        <f t="shared" si="97"/>
        <v>0</v>
      </c>
      <c r="O265" s="257">
        <f t="shared" si="97"/>
        <v>0</v>
      </c>
      <c r="P265" s="257">
        <f t="shared" si="97"/>
        <v>0</v>
      </c>
      <c r="Q265" s="257">
        <f t="shared" si="97"/>
        <v>0</v>
      </c>
      <c r="R265" s="257">
        <f t="shared" si="97"/>
        <v>0</v>
      </c>
      <c r="S265" s="257">
        <f t="shared" si="97"/>
        <v>0</v>
      </c>
      <c r="T265" s="257">
        <f t="shared" si="97"/>
        <v>0</v>
      </c>
      <c r="U265" s="257">
        <f t="shared" si="97"/>
        <v>0</v>
      </c>
      <c r="V265" s="257">
        <f t="shared" si="97"/>
        <v>0</v>
      </c>
      <c r="W265" s="257">
        <f t="shared" si="97"/>
        <v>0</v>
      </c>
      <c r="X265" s="257">
        <f t="shared" si="97"/>
        <v>0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0</v>
      </c>
      <c r="G266" s="264">
        <f>$D$263-G265</f>
        <v>0</v>
      </c>
      <c r="H266" s="264">
        <f t="shared" ref="H266:X266" si="98">$D$263-H265</f>
        <v>0</v>
      </c>
      <c r="I266" s="264">
        <f t="shared" si="98"/>
        <v>0</v>
      </c>
      <c r="J266" s="264">
        <f t="shared" si="98"/>
        <v>0</v>
      </c>
      <c r="K266" s="264">
        <f t="shared" si="98"/>
        <v>0</v>
      </c>
      <c r="L266" s="264">
        <f t="shared" si="98"/>
        <v>0</v>
      </c>
      <c r="M266" s="264">
        <f t="shared" si="98"/>
        <v>0</v>
      </c>
      <c r="N266" s="264">
        <f t="shared" si="98"/>
        <v>0</v>
      </c>
      <c r="O266" s="264">
        <f t="shared" si="98"/>
        <v>0</v>
      </c>
      <c r="P266" s="264">
        <f t="shared" si="98"/>
        <v>0</v>
      </c>
      <c r="Q266" s="264">
        <f t="shared" si="98"/>
        <v>0</v>
      </c>
      <c r="R266" s="264">
        <f t="shared" si="98"/>
        <v>0</v>
      </c>
      <c r="S266" s="264">
        <f t="shared" si="98"/>
        <v>0</v>
      </c>
      <c r="T266" s="264">
        <f t="shared" si="98"/>
        <v>0</v>
      </c>
      <c r="U266" s="264">
        <f t="shared" si="98"/>
        <v>0</v>
      </c>
      <c r="V266" s="264">
        <f t="shared" si="98"/>
        <v>0</v>
      </c>
      <c r="W266" s="264">
        <f t="shared" si="98"/>
        <v>0</v>
      </c>
      <c r="X266" s="264">
        <f t="shared" si="98"/>
        <v>0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0</v>
      </c>
      <c r="G268" s="257">
        <f>F268-G266</f>
        <v>0</v>
      </c>
      <c r="H268" s="257">
        <f t="shared" ref="H268:X268" si="100">G268-H266</f>
        <v>0</v>
      </c>
      <c r="I268" s="257">
        <f t="shared" si="100"/>
        <v>0</v>
      </c>
      <c r="J268" s="257">
        <f t="shared" si="100"/>
        <v>0</v>
      </c>
      <c r="K268" s="257">
        <f t="shared" si="100"/>
        <v>0</v>
      </c>
      <c r="L268" s="257">
        <f t="shared" si="100"/>
        <v>0</v>
      </c>
      <c r="M268" s="257">
        <f t="shared" si="100"/>
        <v>0</v>
      </c>
      <c r="N268" s="257">
        <f t="shared" si="100"/>
        <v>0</v>
      </c>
      <c r="O268" s="257">
        <f t="shared" si="100"/>
        <v>0</v>
      </c>
      <c r="P268" s="257">
        <f t="shared" si="100"/>
        <v>0</v>
      </c>
      <c r="Q268" s="257">
        <f t="shared" si="100"/>
        <v>0</v>
      </c>
      <c r="R268" s="257">
        <f t="shared" si="100"/>
        <v>0</v>
      </c>
      <c r="S268" s="257">
        <f t="shared" si="100"/>
        <v>0</v>
      </c>
      <c r="T268" s="257">
        <f t="shared" si="100"/>
        <v>0</v>
      </c>
      <c r="U268" s="257">
        <f t="shared" si="100"/>
        <v>0</v>
      </c>
      <c r="V268" s="257">
        <f t="shared" si="100"/>
        <v>0</v>
      </c>
      <c r="W268" s="257">
        <f t="shared" si="100"/>
        <v>0</v>
      </c>
      <c r="X268" s="257">
        <f t="shared" si="100"/>
        <v>0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0</v>
      </c>
      <c r="H272" s="257">
        <f>$D$19*G275</f>
        <v>0</v>
      </c>
      <c r="I272" s="257">
        <f t="shared" ref="I272:X272" si="101">$D$19*H275</f>
        <v>0</v>
      </c>
      <c r="J272" s="257">
        <f t="shared" si="101"/>
        <v>0</v>
      </c>
      <c r="K272" s="257">
        <f t="shared" si="101"/>
        <v>0</v>
      </c>
      <c r="L272" s="257">
        <f t="shared" si="101"/>
        <v>0</v>
      </c>
      <c r="M272" s="257">
        <f t="shared" si="101"/>
        <v>0</v>
      </c>
      <c r="N272" s="257">
        <f t="shared" si="101"/>
        <v>0</v>
      </c>
      <c r="O272" s="257">
        <f t="shared" si="101"/>
        <v>0</v>
      </c>
      <c r="P272" s="257">
        <f t="shared" si="101"/>
        <v>0</v>
      </c>
      <c r="Q272" s="257">
        <f t="shared" si="101"/>
        <v>0</v>
      </c>
      <c r="R272" s="257">
        <f t="shared" si="101"/>
        <v>0</v>
      </c>
      <c r="S272" s="257">
        <f t="shared" si="101"/>
        <v>0</v>
      </c>
      <c r="T272" s="257">
        <f t="shared" si="101"/>
        <v>0</v>
      </c>
      <c r="U272" s="257">
        <f t="shared" si="101"/>
        <v>0</v>
      </c>
      <c r="V272" s="257">
        <f t="shared" si="101"/>
        <v>0</v>
      </c>
      <c r="W272" s="257">
        <f t="shared" si="101"/>
        <v>0</v>
      </c>
      <c r="X272" s="257">
        <f t="shared" si="101"/>
        <v>0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0</v>
      </c>
      <c r="H273" s="264">
        <f>$D$270-H272</f>
        <v>0</v>
      </c>
      <c r="I273" s="264">
        <f t="shared" ref="I273:X273" si="102">$D$270-I272</f>
        <v>0</v>
      </c>
      <c r="J273" s="264">
        <f t="shared" si="102"/>
        <v>0</v>
      </c>
      <c r="K273" s="264">
        <f t="shared" si="102"/>
        <v>0</v>
      </c>
      <c r="L273" s="264">
        <f t="shared" si="102"/>
        <v>0</v>
      </c>
      <c r="M273" s="264">
        <f t="shared" si="102"/>
        <v>0</v>
      </c>
      <c r="N273" s="264">
        <f t="shared" si="102"/>
        <v>0</v>
      </c>
      <c r="O273" s="264">
        <f t="shared" si="102"/>
        <v>0</v>
      </c>
      <c r="P273" s="264">
        <f t="shared" si="102"/>
        <v>0</v>
      </c>
      <c r="Q273" s="264">
        <f t="shared" si="102"/>
        <v>0</v>
      </c>
      <c r="R273" s="264">
        <f t="shared" si="102"/>
        <v>0</v>
      </c>
      <c r="S273" s="264">
        <f t="shared" si="102"/>
        <v>0</v>
      </c>
      <c r="T273" s="264">
        <f t="shared" si="102"/>
        <v>0</v>
      </c>
      <c r="U273" s="264">
        <f t="shared" si="102"/>
        <v>0</v>
      </c>
      <c r="V273" s="264">
        <f t="shared" si="102"/>
        <v>0</v>
      </c>
      <c r="W273" s="264">
        <f t="shared" si="102"/>
        <v>0</v>
      </c>
      <c r="X273" s="264">
        <f t="shared" si="102"/>
        <v>0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0</v>
      </c>
      <c r="H275" s="257">
        <f>G275-H273</f>
        <v>0</v>
      </c>
      <c r="I275" s="257">
        <f t="shared" ref="I275:X275" si="104">H275-I273</f>
        <v>0</v>
      </c>
      <c r="J275" s="257">
        <f t="shared" si="104"/>
        <v>0</v>
      </c>
      <c r="K275" s="257">
        <f t="shared" si="104"/>
        <v>0</v>
      </c>
      <c r="L275" s="257">
        <f t="shared" si="104"/>
        <v>0</v>
      </c>
      <c r="M275" s="257">
        <f t="shared" si="104"/>
        <v>0</v>
      </c>
      <c r="N275" s="257">
        <f t="shared" si="104"/>
        <v>0</v>
      </c>
      <c r="O275" s="257">
        <f t="shared" si="104"/>
        <v>0</v>
      </c>
      <c r="P275" s="257">
        <f t="shared" si="104"/>
        <v>0</v>
      </c>
      <c r="Q275" s="257">
        <f t="shared" si="104"/>
        <v>0</v>
      </c>
      <c r="R275" s="257">
        <f t="shared" si="104"/>
        <v>0</v>
      </c>
      <c r="S275" s="257">
        <f t="shared" si="104"/>
        <v>0</v>
      </c>
      <c r="T275" s="257">
        <f t="shared" si="104"/>
        <v>0</v>
      </c>
      <c r="U275" s="257">
        <f t="shared" si="104"/>
        <v>0</v>
      </c>
      <c r="V275" s="257">
        <f t="shared" si="104"/>
        <v>0</v>
      </c>
      <c r="W275" s="257">
        <f t="shared" si="104"/>
        <v>0</v>
      </c>
      <c r="X275" s="257">
        <f t="shared" si="104"/>
        <v>0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0</v>
      </c>
      <c r="I279" s="257">
        <f>$D$19*H282</f>
        <v>0</v>
      </c>
      <c r="J279" s="257">
        <f t="shared" ref="J279:X279" si="105">$D$19*I282</f>
        <v>0</v>
      </c>
      <c r="K279" s="257">
        <f t="shared" si="105"/>
        <v>0</v>
      </c>
      <c r="L279" s="257">
        <f t="shared" si="105"/>
        <v>0</v>
      </c>
      <c r="M279" s="257">
        <f t="shared" si="105"/>
        <v>0</v>
      </c>
      <c r="N279" s="257">
        <f t="shared" si="105"/>
        <v>0</v>
      </c>
      <c r="O279" s="257">
        <f t="shared" si="105"/>
        <v>0</v>
      </c>
      <c r="P279" s="257">
        <f t="shared" si="105"/>
        <v>0</v>
      </c>
      <c r="Q279" s="257">
        <f t="shared" si="105"/>
        <v>0</v>
      </c>
      <c r="R279" s="257">
        <f t="shared" si="105"/>
        <v>0</v>
      </c>
      <c r="S279" s="257">
        <f t="shared" si="105"/>
        <v>0</v>
      </c>
      <c r="T279" s="257">
        <f t="shared" si="105"/>
        <v>0</v>
      </c>
      <c r="U279" s="257">
        <f t="shared" si="105"/>
        <v>0</v>
      </c>
      <c r="V279" s="257">
        <f t="shared" si="105"/>
        <v>0</v>
      </c>
      <c r="W279" s="257">
        <f t="shared" si="105"/>
        <v>0</v>
      </c>
      <c r="X279" s="257">
        <f t="shared" si="105"/>
        <v>0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0</v>
      </c>
      <c r="I280" s="264">
        <f>$D$277-I279</f>
        <v>0</v>
      </c>
      <c r="J280" s="264">
        <f t="shared" ref="J280:X280" si="106">$D$277-J279</f>
        <v>0</v>
      </c>
      <c r="K280" s="264">
        <f t="shared" si="106"/>
        <v>0</v>
      </c>
      <c r="L280" s="264">
        <f t="shared" si="106"/>
        <v>0</v>
      </c>
      <c r="M280" s="264">
        <f t="shared" si="106"/>
        <v>0</v>
      </c>
      <c r="N280" s="264">
        <f t="shared" si="106"/>
        <v>0</v>
      </c>
      <c r="O280" s="264">
        <f t="shared" si="106"/>
        <v>0</v>
      </c>
      <c r="P280" s="264">
        <f t="shared" si="106"/>
        <v>0</v>
      </c>
      <c r="Q280" s="264">
        <f t="shared" si="106"/>
        <v>0</v>
      </c>
      <c r="R280" s="264">
        <f t="shared" si="106"/>
        <v>0</v>
      </c>
      <c r="S280" s="264">
        <f t="shared" si="106"/>
        <v>0</v>
      </c>
      <c r="T280" s="264">
        <f t="shared" si="106"/>
        <v>0</v>
      </c>
      <c r="U280" s="264">
        <f t="shared" si="106"/>
        <v>0</v>
      </c>
      <c r="V280" s="264">
        <f t="shared" si="106"/>
        <v>0</v>
      </c>
      <c r="W280" s="264">
        <f t="shared" si="106"/>
        <v>0</v>
      </c>
      <c r="X280" s="264">
        <f t="shared" si="106"/>
        <v>0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0</v>
      </c>
      <c r="I282" s="257">
        <f>H282-I280</f>
        <v>0</v>
      </c>
      <c r="J282" s="257">
        <f t="shared" ref="J282:X282" si="108">I282-J280</f>
        <v>0</v>
      </c>
      <c r="K282" s="257">
        <f t="shared" si="108"/>
        <v>0</v>
      </c>
      <c r="L282" s="257">
        <f t="shared" si="108"/>
        <v>0</v>
      </c>
      <c r="M282" s="257">
        <f t="shared" si="108"/>
        <v>0</v>
      </c>
      <c r="N282" s="257">
        <f t="shared" si="108"/>
        <v>0</v>
      </c>
      <c r="O282" s="257">
        <f t="shared" si="108"/>
        <v>0</v>
      </c>
      <c r="P282" s="257">
        <f t="shared" si="108"/>
        <v>0</v>
      </c>
      <c r="Q282" s="257">
        <f t="shared" si="108"/>
        <v>0</v>
      </c>
      <c r="R282" s="257">
        <f t="shared" si="108"/>
        <v>0</v>
      </c>
      <c r="S282" s="257">
        <f t="shared" si="108"/>
        <v>0</v>
      </c>
      <c r="T282" s="257">
        <f t="shared" si="108"/>
        <v>0</v>
      </c>
      <c r="U282" s="257">
        <f t="shared" si="108"/>
        <v>0</v>
      </c>
      <c r="V282" s="257">
        <f t="shared" si="108"/>
        <v>0</v>
      </c>
      <c r="W282" s="257">
        <f t="shared" si="108"/>
        <v>0</v>
      </c>
      <c r="X282" s="257">
        <f t="shared" si="108"/>
        <v>0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0</v>
      </c>
      <c r="J286" s="257">
        <f>$D$19*I289</f>
        <v>0</v>
      </c>
      <c r="K286" s="257">
        <f t="shared" ref="K286:X286" si="109">$D$19*J289</f>
        <v>0</v>
      </c>
      <c r="L286" s="257">
        <f t="shared" si="109"/>
        <v>0</v>
      </c>
      <c r="M286" s="257">
        <f t="shared" si="109"/>
        <v>0</v>
      </c>
      <c r="N286" s="257">
        <f t="shared" si="109"/>
        <v>0</v>
      </c>
      <c r="O286" s="257">
        <f t="shared" si="109"/>
        <v>0</v>
      </c>
      <c r="P286" s="257">
        <f t="shared" si="109"/>
        <v>0</v>
      </c>
      <c r="Q286" s="257">
        <f t="shared" si="109"/>
        <v>0</v>
      </c>
      <c r="R286" s="257">
        <f t="shared" si="109"/>
        <v>0</v>
      </c>
      <c r="S286" s="257">
        <f t="shared" si="109"/>
        <v>0</v>
      </c>
      <c r="T286" s="257">
        <f t="shared" si="109"/>
        <v>0</v>
      </c>
      <c r="U286" s="257">
        <f t="shared" si="109"/>
        <v>0</v>
      </c>
      <c r="V286" s="257">
        <f t="shared" si="109"/>
        <v>0</v>
      </c>
      <c r="W286" s="257">
        <f t="shared" si="109"/>
        <v>0</v>
      </c>
      <c r="X286" s="257">
        <f t="shared" si="109"/>
        <v>0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0</v>
      </c>
      <c r="J287" s="264">
        <f>$D$284-J286</f>
        <v>0</v>
      </c>
      <c r="K287" s="264">
        <f t="shared" ref="K287:X287" si="110">$D$284-K286</f>
        <v>0</v>
      </c>
      <c r="L287" s="264">
        <f t="shared" si="110"/>
        <v>0</v>
      </c>
      <c r="M287" s="264">
        <f t="shared" si="110"/>
        <v>0</v>
      </c>
      <c r="N287" s="264">
        <f t="shared" si="110"/>
        <v>0</v>
      </c>
      <c r="O287" s="264">
        <f t="shared" si="110"/>
        <v>0</v>
      </c>
      <c r="P287" s="264">
        <f t="shared" si="110"/>
        <v>0</v>
      </c>
      <c r="Q287" s="264">
        <f t="shared" si="110"/>
        <v>0</v>
      </c>
      <c r="R287" s="264">
        <f t="shared" si="110"/>
        <v>0</v>
      </c>
      <c r="S287" s="264">
        <f t="shared" si="110"/>
        <v>0</v>
      </c>
      <c r="T287" s="264">
        <f t="shared" si="110"/>
        <v>0</v>
      </c>
      <c r="U287" s="264">
        <f t="shared" si="110"/>
        <v>0</v>
      </c>
      <c r="V287" s="264">
        <f t="shared" si="110"/>
        <v>0</v>
      </c>
      <c r="W287" s="264">
        <f t="shared" si="110"/>
        <v>0</v>
      </c>
      <c r="X287" s="264">
        <f t="shared" si="110"/>
        <v>0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0</v>
      </c>
      <c r="J289" s="257">
        <f>I289-J287</f>
        <v>0</v>
      </c>
      <c r="K289" s="257">
        <f t="shared" ref="K289:X289" si="112">J289-K287</f>
        <v>0</v>
      </c>
      <c r="L289" s="257">
        <f t="shared" si="112"/>
        <v>0</v>
      </c>
      <c r="M289" s="257">
        <f t="shared" si="112"/>
        <v>0</v>
      </c>
      <c r="N289" s="257">
        <f t="shared" si="112"/>
        <v>0</v>
      </c>
      <c r="O289" s="257">
        <f t="shared" si="112"/>
        <v>0</v>
      </c>
      <c r="P289" s="257">
        <f t="shared" si="112"/>
        <v>0</v>
      </c>
      <c r="Q289" s="257">
        <f t="shared" si="112"/>
        <v>0</v>
      </c>
      <c r="R289" s="257">
        <f t="shared" si="112"/>
        <v>0</v>
      </c>
      <c r="S289" s="257">
        <f t="shared" si="112"/>
        <v>0</v>
      </c>
      <c r="T289" s="257">
        <f t="shared" si="112"/>
        <v>0</v>
      </c>
      <c r="U289" s="257">
        <f t="shared" si="112"/>
        <v>0</v>
      </c>
      <c r="V289" s="257">
        <f t="shared" si="112"/>
        <v>0</v>
      </c>
      <c r="W289" s="257">
        <f t="shared" si="112"/>
        <v>0</v>
      </c>
      <c r="X289" s="257">
        <f t="shared" si="112"/>
        <v>0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 xml:space="preserve">Option 2: 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0</v>
      </c>
      <c r="F295" s="257">
        <f>$D$19*E298</f>
        <v>0</v>
      </c>
      <c r="G295" s="257">
        <f t="shared" ref="G295:X295" si="113">$D$19*F298</f>
        <v>0</v>
      </c>
      <c r="H295" s="257">
        <f t="shared" si="113"/>
        <v>0</v>
      </c>
      <c r="I295" s="257">
        <f t="shared" si="113"/>
        <v>0</v>
      </c>
      <c r="J295" s="257">
        <f t="shared" si="113"/>
        <v>0</v>
      </c>
      <c r="K295" s="257">
        <f t="shared" si="113"/>
        <v>0</v>
      </c>
      <c r="L295" s="257">
        <f t="shared" si="113"/>
        <v>0</v>
      </c>
      <c r="M295" s="257">
        <f t="shared" si="113"/>
        <v>0</v>
      </c>
      <c r="N295" s="257">
        <f t="shared" si="113"/>
        <v>0</v>
      </c>
      <c r="O295" s="257">
        <f t="shared" si="113"/>
        <v>0</v>
      </c>
      <c r="P295" s="257">
        <f t="shared" si="113"/>
        <v>0</v>
      </c>
      <c r="Q295" s="257">
        <f t="shared" si="113"/>
        <v>0</v>
      </c>
      <c r="R295" s="257">
        <f t="shared" si="113"/>
        <v>0</v>
      </c>
      <c r="S295" s="257">
        <f t="shared" si="113"/>
        <v>0</v>
      </c>
      <c r="T295" s="257">
        <f t="shared" si="113"/>
        <v>0</v>
      </c>
      <c r="U295" s="257">
        <f t="shared" si="113"/>
        <v>0</v>
      </c>
      <c r="V295" s="257">
        <f t="shared" si="113"/>
        <v>0</v>
      </c>
      <c r="W295" s="257">
        <f t="shared" si="113"/>
        <v>0</v>
      </c>
      <c r="X295" s="257">
        <f t="shared" si="113"/>
        <v>0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0</v>
      </c>
      <c r="F296" s="264">
        <f>$D$293-F295</f>
        <v>0</v>
      </c>
      <c r="G296" s="264">
        <f t="shared" ref="G296:X296" si="114">$D$293-G295</f>
        <v>0</v>
      </c>
      <c r="H296" s="264">
        <f t="shared" si="114"/>
        <v>0</v>
      </c>
      <c r="I296" s="264">
        <f t="shared" si="114"/>
        <v>0</v>
      </c>
      <c r="J296" s="264">
        <f t="shared" si="114"/>
        <v>0</v>
      </c>
      <c r="K296" s="264">
        <f t="shared" si="114"/>
        <v>0</v>
      </c>
      <c r="L296" s="264">
        <f t="shared" si="114"/>
        <v>0</v>
      </c>
      <c r="M296" s="264">
        <f t="shared" si="114"/>
        <v>0</v>
      </c>
      <c r="N296" s="264">
        <f t="shared" si="114"/>
        <v>0</v>
      </c>
      <c r="O296" s="264">
        <f t="shared" si="114"/>
        <v>0</v>
      </c>
      <c r="P296" s="264">
        <f t="shared" si="114"/>
        <v>0</v>
      </c>
      <c r="Q296" s="264">
        <f t="shared" si="114"/>
        <v>0</v>
      </c>
      <c r="R296" s="264">
        <f t="shared" si="114"/>
        <v>0</v>
      </c>
      <c r="S296" s="264">
        <f t="shared" si="114"/>
        <v>0</v>
      </c>
      <c r="T296" s="264">
        <f t="shared" si="114"/>
        <v>0</v>
      </c>
      <c r="U296" s="264">
        <f t="shared" si="114"/>
        <v>0</v>
      </c>
      <c r="V296" s="264">
        <f t="shared" si="114"/>
        <v>0</v>
      </c>
      <c r="W296" s="264">
        <f t="shared" si="114"/>
        <v>0</v>
      </c>
      <c r="X296" s="264">
        <f t="shared" si="114"/>
        <v>0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0</v>
      </c>
      <c r="F298" s="257">
        <f>E298-F296</f>
        <v>0</v>
      </c>
      <c r="G298" s="257">
        <f t="shared" ref="G298:X298" si="116">F298-G296</f>
        <v>0</v>
      </c>
      <c r="H298" s="257">
        <f t="shared" si="116"/>
        <v>0</v>
      </c>
      <c r="I298" s="257">
        <f t="shared" si="116"/>
        <v>0</v>
      </c>
      <c r="J298" s="257">
        <f t="shared" si="116"/>
        <v>0</v>
      </c>
      <c r="K298" s="257">
        <f t="shared" si="116"/>
        <v>0</v>
      </c>
      <c r="L298" s="257">
        <f t="shared" si="116"/>
        <v>0</v>
      </c>
      <c r="M298" s="257">
        <f t="shared" si="116"/>
        <v>0</v>
      </c>
      <c r="N298" s="257">
        <f t="shared" si="116"/>
        <v>0</v>
      </c>
      <c r="O298" s="257">
        <f t="shared" si="116"/>
        <v>0</v>
      </c>
      <c r="P298" s="257">
        <f t="shared" si="116"/>
        <v>0</v>
      </c>
      <c r="Q298" s="257">
        <f t="shared" si="116"/>
        <v>0</v>
      </c>
      <c r="R298" s="257">
        <f t="shared" si="116"/>
        <v>0</v>
      </c>
      <c r="S298" s="257">
        <f t="shared" si="116"/>
        <v>0</v>
      </c>
      <c r="T298" s="257">
        <f t="shared" si="116"/>
        <v>0</v>
      </c>
      <c r="U298" s="257">
        <f t="shared" si="116"/>
        <v>0</v>
      </c>
      <c r="V298" s="257">
        <f t="shared" si="116"/>
        <v>0</v>
      </c>
      <c r="W298" s="257">
        <f t="shared" si="116"/>
        <v>0</v>
      </c>
      <c r="X298" s="257">
        <f t="shared" si="116"/>
        <v>0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0</v>
      </c>
      <c r="G302" s="257">
        <f>$D$19*F305</f>
        <v>0</v>
      </c>
      <c r="H302" s="257">
        <f t="shared" ref="H302:X302" si="117">$D$19*G305</f>
        <v>0</v>
      </c>
      <c r="I302" s="257">
        <f t="shared" si="117"/>
        <v>0</v>
      </c>
      <c r="J302" s="257">
        <f t="shared" si="117"/>
        <v>0</v>
      </c>
      <c r="K302" s="257">
        <f t="shared" si="117"/>
        <v>0</v>
      </c>
      <c r="L302" s="257">
        <f t="shared" si="117"/>
        <v>0</v>
      </c>
      <c r="M302" s="257">
        <f t="shared" si="117"/>
        <v>0</v>
      </c>
      <c r="N302" s="257">
        <f t="shared" si="117"/>
        <v>0</v>
      </c>
      <c r="O302" s="257">
        <f t="shared" si="117"/>
        <v>0</v>
      </c>
      <c r="P302" s="257">
        <f t="shared" si="117"/>
        <v>0</v>
      </c>
      <c r="Q302" s="257">
        <f t="shared" si="117"/>
        <v>0</v>
      </c>
      <c r="R302" s="257">
        <f t="shared" si="117"/>
        <v>0</v>
      </c>
      <c r="S302" s="257">
        <f t="shared" si="117"/>
        <v>0</v>
      </c>
      <c r="T302" s="257">
        <f t="shared" si="117"/>
        <v>0</v>
      </c>
      <c r="U302" s="257">
        <f t="shared" si="117"/>
        <v>0</v>
      </c>
      <c r="V302" s="257">
        <f t="shared" si="117"/>
        <v>0</v>
      </c>
      <c r="W302" s="257">
        <f t="shared" si="117"/>
        <v>0</v>
      </c>
      <c r="X302" s="257">
        <f t="shared" si="117"/>
        <v>0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0</v>
      </c>
      <c r="G303" s="264">
        <f>$D$300-G302</f>
        <v>0</v>
      </c>
      <c r="H303" s="264">
        <f t="shared" ref="H303:X303" si="118">$D$300-H302</f>
        <v>0</v>
      </c>
      <c r="I303" s="264">
        <f t="shared" si="118"/>
        <v>0</v>
      </c>
      <c r="J303" s="264">
        <f t="shared" si="118"/>
        <v>0</v>
      </c>
      <c r="K303" s="264">
        <f t="shared" si="118"/>
        <v>0</v>
      </c>
      <c r="L303" s="264">
        <f t="shared" si="118"/>
        <v>0</v>
      </c>
      <c r="M303" s="264">
        <f t="shared" si="118"/>
        <v>0</v>
      </c>
      <c r="N303" s="264">
        <f t="shared" si="118"/>
        <v>0</v>
      </c>
      <c r="O303" s="264">
        <f t="shared" si="118"/>
        <v>0</v>
      </c>
      <c r="P303" s="264">
        <f t="shared" si="118"/>
        <v>0</v>
      </c>
      <c r="Q303" s="264">
        <f t="shared" si="118"/>
        <v>0</v>
      </c>
      <c r="R303" s="264">
        <f t="shared" si="118"/>
        <v>0</v>
      </c>
      <c r="S303" s="264">
        <f t="shared" si="118"/>
        <v>0</v>
      </c>
      <c r="T303" s="264">
        <f t="shared" si="118"/>
        <v>0</v>
      </c>
      <c r="U303" s="264">
        <f t="shared" si="118"/>
        <v>0</v>
      </c>
      <c r="V303" s="264">
        <f t="shared" si="118"/>
        <v>0</v>
      </c>
      <c r="W303" s="264">
        <f t="shared" si="118"/>
        <v>0</v>
      </c>
      <c r="X303" s="264">
        <f t="shared" si="118"/>
        <v>0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0</v>
      </c>
      <c r="G305" s="257">
        <f>F305-G303</f>
        <v>0</v>
      </c>
      <c r="H305" s="257">
        <f t="shared" ref="H305:X305" si="120">G305-H303</f>
        <v>0</v>
      </c>
      <c r="I305" s="257">
        <f t="shared" si="120"/>
        <v>0</v>
      </c>
      <c r="J305" s="257">
        <f t="shared" si="120"/>
        <v>0</v>
      </c>
      <c r="K305" s="257">
        <f t="shared" si="120"/>
        <v>0</v>
      </c>
      <c r="L305" s="257">
        <f t="shared" si="120"/>
        <v>0</v>
      </c>
      <c r="M305" s="257">
        <f t="shared" si="120"/>
        <v>0</v>
      </c>
      <c r="N305" s="257">
        <f t="shared" si="120"/>
        <v>0</v>
      </c>
      <c r="O305" s="257">
        <f t="shared" si="120"/>
        <v>0</v>
      </c>
      <c r="P305" s="257">
        <f t="shared" si="120"/>
        <v>0</v>
      </c>
      <c r="Q305" s="257">
        <f t="shared" si="120"/>
        <v>0</v>
      </c>
      <c r="R305" s="257">
        <f t="shared" si="120"/>
        <v>0</v>
      </c>
      <c r="S305" s="257">
        <f t="shared" si="120"/>
        <v>0</v>
      </c>
      <c r="T305" s="257">
        <f t="shared" si="120"/>
        <v>0</v>
      </c>
      <c r="U305" s="257">
        <f t="shared" si="120"/>
        <v>0</v>
      </c>
      <c r="V305" s="257">
        <f t="shared" si="120"/>
        <v>0</v>
      </c>
      <c r="W305" s="257">
        <f t="shared" si="120"/>
        <v>0</v>
      </c>
      <c r="X305" s="257">
        <f t="shared" si="120"/>
        <v>0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0</v>
      </c>
      <c r="H309" s="257">
        <f>$D$19*G312</f>
        <v>0</v>
      </c>
      <c r="I309" s="257">
        <f t="shared" ref="I309:X309" si="121">$D$19*H312</f>
        <v>0</v>
      </c>
      <c r="J309" s="257">
        <f t="shared" si="121"/>
        <v>0</v>
      </c>
      <c r="K309" s="257">
        <f t="shared" si="121"/>
        <v>0</v>
      </c>
      <c r="L309" s="257">
        <f t="shared" si="121"/>
        <v>0</v>
      </c>
      <c r="M309" s="257">
        <f t="shared" si="121"/>
        <v>0</v>
      </c>
      <c r="N309" s="257">
        <f t="shared" si="121"/>
        <v>0</v>
      </c>
      <c r="O309" s="257">
        <f t="shared" si="121"/>
        <v>0</v>
      </c>
      <c r="P309" s="257">
        <f t="shared" si="121"/>
        <v>0</v>
      </c>
      <c r="Q309" s="257">
        <f t="shared" si="121"/>
        <v>0</v>
      </c>
      <c r="R309" s="257">
        <f t="shared" si="121"/>
        <v>0</v>
      </c>
      <c r="S309" s="257">
        <f t="shared" si="121"/>
        <v>0</v>
      </c>
      <c r="T309" s="257">
        <f t="shared" si="121"/>
        <v>0</v>
      </c>
      <c r="U309" s="257">
        <f t="shared" si="121"/>
        <v>0</v>
      </c>
      <c r="V309" s="257">
        <f t="shared" si="121"/>
        <v>0</v>
      </c>
      <c r="W309" s="257">
        <f t="shared" si="121"/>
        <v>0</v>
      </c>
      <c r="X309" s="257">
        <f t="shared" si="121"/>
        <v>0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0</v>
      </c>
      <c r="H310" s="264">
        <f>$D$307-H309</f>
        <v>0</v>
      </c>
      <c r="I310" s="264">
        <f t="shared" ref="I310:X310" si="122">$D$307-I309</f>
        <v>0</v>
      </c>
      <c r="J310" s="264">
        <f t="shared" si="122"/>
        <v>0</v>
      </c>
      <c r="K310" s="264">
        <f t="shared" si="122"/>
        <v>0</v>
      </c>
      <c r="L310" s="264">
        <f t="shared" si="122"/>
        <v>0</v>
      </c>
      <c r="M310" s="264">
        <f t="shared" si="122"/>
        <v>0</v>
      </c>
      <c r="N310" s="264">
        <f t="shared" si="122"/>
        <v>0</v>
      </c>
      <c r="O310" s="264">
        <f t="shared" si="122"/>
        <v>0</v>
      </c>
      <c r="P310" s="264">
        <f t="shared" si="122"/>
        <v>0</v>
      </c>
      <c r="Q310" s="264">
        <f t="shared" si="122"/>
        <v>0</v>
      </c>
      <c r="R310" s="264">
        <f t="shared" si="122"/>
        <v>0</v>
      </c>
      <c r="S310" s="264">
        <f t="shared" si="122"/>
        <v>0</v>
      </c>
      <c r="T310" s="264">
        <f t="shared" si="122"/>
        <v>0</v>
      </c>
      <c r="U310" s="264">
        <f t="shared" si="122"/>
        <v>0</v>
      </c>
      <c r="V310" s="264">
        <f t="shared" si="122"/>
        <v>0</v>
      </c>
      <c r="W310" s="264">
        <f t="shared" si="122"/>
        <v>0</v>
      </c>
      <c r="X310" s="264">
        <f t="shared" si="122"/>
        <v>0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0</v>
      </c>
      <c r="H312" s="257">
        <f>G312-H310</f>
        <v>0</v>
      </c>
      <c r="I312" s="257">
        <f t="shared" ref="I312:X312" si="124">H312-I310</f>
        <v>0</v>
      </c>
      <c r="J312" s="257">
        <f t="shared" si="124"/>
        <v>0</v>
      </c>
      <c r="K312" s="257">
        <f t="shared" si="124"/>
        <v>0</v>
      </c>
      <c r="L312" s="257">
        <f t="shared" si="124"/>
        <v>0</v>
      </c>
      <c r="M312" s="257">
        <f t="shared" si="124"/>
        <v>0</v>
      </c>
      <c r="N312" s="257">
        <f t="shared" si="124"/>
        <v>0</v>
      </c>
      <c r="O312" s="257">
        <f t="shared" si="124"/>
        <v>0</v>
      </c>
      <c r="P312" s="257">
        <f t="shared" si="124"/>
        <v>0</v>
      </c>
      <c r="Q312" s="257">
        <f t="shared" si="124"/>
        <v>0</v>
      </c>
      <c r="R312" s="257">
        <f t="shared" si="124"/>
        <v>0</v>
      </c>
      <c r="S312" s="257">
        <f t="shared" si="124"/>
        <v>0</v>
      </c>
      <c r="T312" s="257">
        <f t="shared" si="124"/>
        <v>0</v>
      </c>
      <c r="U312" s="257">
        <f t="shared" si="124"/>
        <v>0</v>
      </c>
      <c r="V312" s="257">
        <f t="shared" si="124"/>
        <v>0</v>
      </c>
      <c r="W312" s="257">
        <f t="shared" si="124"/>
        <v>0</v>
      </c>
      <c r="X312" s="257">
        <f t="shared" si="124"/>
        <v>0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0</v>
      </c>
      <c r="I316" s="257">
        <f>$D$19*H319</f>
        <v>0</v>
      </c>
      <c r="J316" s="257">
        <f t="shared" ref="J316:X316" si="125">$D$19*I319</f>
        <v>0</v>
      </c>
      <c r="K316" s="257">
        <f t="shared" si="125"/>
        <v>0</v>
      </c>
      <c r="L316" s="257">
        <f t="shared" si="125"/>
        <v>0</v>
      </c>
      <c r="M316" s="257">
        <f t="shared" si="125"/>
        <v>0</v>
      </c>
      <c r="N316" s="257">
        <f t="shared" si="125"/>
        <v>0</v>
      </c>
      <c r="O316" s="257">
        <f t="shared" si="125"/>
        <v>0</v>
      </c>
      <c r="P316" s="257">
        <f t="shared" si="125"/>
        <v>0</v>
      </c>
      <c r="Q316" s="257">
        <f t="shared" si="125"/>
        <v>0</v>
      </c>
      <c r="R316" s="257">
        <f t="shared" si="125"/>
        <v>0</v>
      </c>
      <c r="S316" s="257">
        <f t="shared" si="125"/>
        <v>0</v>
      </c>
      <c r="T316" s="257">
        <f t="shared" si="125"/>
        <v>0</v>
      </c>
      <c r="U316" s="257">
        <f t="shared" si="125"/>
        <v>0</v>
      </c>
      <c r="V316" s="257">
        <f t="shared" si="125"/>
        <v>0</v>
      </c>
      <c r="W316" s="257">
        <f t="shared" si="125"/>
        <v>0</v>
      </c>
      <c r="X316" s="257">
        <f t="shared" si="125"/>
        <v>0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0</v>
      </c>
      <c r="I317" s="264">
        <f>$D$314-I316</f>
        <v>0</v>
      </c>
      <c r="J317" s="264">
        <f t="shared" ref="J317:X317" si="126">$D$314-J316</f>
        <v>0</v>
      </c>
      <c r="K317" s="264">
        <f t="shared" si="126"/>
        <v>0</v>
      </c>
      <c r="L317" s="264">
        <f t="shared" si="126"/>
        <v>0</v>
      </c>
      <c r="M317" s="264">
        <f t="shared" si="126"/>
        <v>0</v>
      </c>
      <c r="N317" s="264">
        <f t="shared" si="126"/>
        <v>0</v>
      </c>
      <c r="O317" s="264">
        <f t="shared" si="126"/>
        <v>0</v>
      </c>
      <c r="P317" s="264">
        <f t="shared" si="126"/>
        <v>0</v>
      </c>
      <c r="Q317" s="264">
        <f t="shared" si="126"/>
        <v>0</v>
      </c>
      <c r="R317" s="264">
        <f t="shared" si="126"/>
        <v>0</v>
      </c>
      <c r="S317" s="264">
        <f t="shared" si="126"/>
        <v>0</v>
      </c>
      <c r="T317" s="264">
        <f t="shared" si="126"/>
        <v>0</v>
      </c>
      <c r="U317" s="264">
        <f t="shared" si="126"/>
        <v>0</v>
      </c>
      <c r="V317" s="264">
        <f t="shared" si="126"/>
        <v>0</v>
      </c>
      <c r="W317" s="264">
        <f t="shared" si="126"/>
        <v>0</v>
      </c>
      <c r="X317" s="264">
        <f t="shared" si="126"/>
        <v>0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0</v>
      </c>
      <c r="I319" s="257">
        <f>H319-I317</f>
        <v>0</v>
      </c>
      <c r="J319" s="257">
        <f t="shared" ref="J319:X319" si="128">I319-J317</f>
        <v>0</v>
      </c>
      <c r="K319" s="257">
        <f t="shared" si="128"/>
        <v>0</v>
      </c>
      <c r="L319" s="257">
        <f t="shared" si="128"/>
        <v>0</v>
      </c>
      <c r="M319" s="257">
        <f t="shared" si="128"/>
        <v>0</v>
      </c>
      <c r="N319" s="257">
        <f t="shared" si="128"/>
        <v>0</v>
      </c>
      <c r="O319" s="257">
        <f t="shared" si="128"/>
        <v>0</v>
      </c>
      <c r="P319" s="257">
        <f t="shared" si="128"/>
        <v>0</v>
      </c>
      <c r="Q319" s="257">
        <f t="shared" si="128"/>
        <v>0</v>
      </c>
      <c r="R319" s="257">
        <f t="shared" si="128"/>
        <v>0</v>
      </c>
      <c r="S319" s="257">
        <f t="shared" si="128"/>
        <v>0</v>
      </c>
      <c r="T319" s="257">
        <f t="shared" si="128"/>
        <v>0</v>
      </c>
      <c r="U319" s="257">
        <f t="shared" si="128"/>
        <v>0</v>
      </c>
      <c r="V319" s="257">
        <f t="shared" si="128"/>
        <v>0</v>
      </c>
      <c r="W319" s="257">
        <f t="shared" si="128"/>
        <v>0</v>
      </c>
      <c r="X319" s="257">
        <f t="shared" si="128"/>
        <v>0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Animal Proofing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9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7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12637.830236340964</v>
      </c>
      <c r="E16" s="259">
        <v>0</v>
      </c>
      <c r="F16" s="259">
        <v>0</v>
      </c>
      <c r="G16" s="697">
        <v>0</v>
      </c>
      <c r="H16" s="64">
        <f>IF('User Input'!$I$8=1,'User Input'!F30*'Administrator Input'!$F$41*H9,0)</f>
        <v>593.35549394080613</v>
      </c>
      <c r="I16" s="64">
        <f>IF('User Input'!$I$8=1,'User Input'!G30*'Administrator Input'!$F$41*I9,0)</f>
        <v>604.86659052325774</v>
      </c>
      <c r="J16" s="64">
        <f>IF('User Input'!$I$8=1,'User Input'!H30*'Administrator Input'!$F$41*J9,0)</f>
        <v>616.6010023794089</v>
      </c>
      <c r="K16" s="64">
        <f>IF('User Input'!$I$8=1,'User Input'!I30*'Administrator Input'!$F$41*K9,0)</f>
        <v>628.56306182556943</v>
      </c>
      <c r="L16" s="64">
        <f>IF('User Input'!$I$8=1,'User Input'!J30*'Administrator Input'!$F$41*L9,0)</f>
        <v>640.75718522498551</v>
      </c>
      <c r="M16" s="64">
        <f>IF('User Input'!$I$8=1,'User Input'!K30*'Administrator Input'!$F$41*M9,0)</f>
        <v>653.18787461835018</v>
      </c>
      <c r="N16" s="64">
        <f>IF('User Input'!$I$8=1,'User Input'!L30*'Administrator Input'!$F$41*N9,0)</f>
        <v>665.85971938594616</v>
      </c>
      <c r="O16" s="64">
        <f>IF('User Input'!$I$8=1,'User Input'!M30*'Administrator Input'!$F$41*O9,0)</f>
        <v>678.77739794203353</v>
      </c>
      <c r="P16" s="64">
        <f>IF('User Input'!$I$8=1,'User Input'!N30*'Administrator Input'!$F$41*P9,0)</f>
        <v>691.94567946210896</v>
      </c>
      <c r="Q16" s="64">
        <f>IF('User Input'!$I$8=1,'User Input'!O30*'Administrator Input'!$F$41*Q9,0)</f>
        <v>705.36942564367394</v>
      </c>
      <c r="R16" s="64">
        <f>IF('User Input'!$I$8=1,'User Input'!P30*'Administrator Input'!$F$41*R9,0)</f>
        <v>719.05359250116112</v>
      </c>
      <c r="S16" s="64">
        <f>IF('User Input'!$I$8=1,'User Input'!Q30*'Administrator Input'!$F$41*S9,0)</f>
        <v>733.00323219568361</v>
      </c>
      <c r="T16" s="64">
        <f>IF('User Input'!$I$8=1,'User Input'!R30*'Administrator Input'!$F$41*T9,0)</f>
        <v>747.22349490027989</v>
      </c>
      <c r="U16" s="64">
        <f>IF('User Input'!$I$8=1,'User Input'!S30*'Administrator Input'!$F$41*U9,0)</f>
        <v>761.7196307013453</v>
      </c>
      <c r="V16" s="64">
        <f>IF('User Input'!$I$8=1,'User Input'!T30*'Administrator Input'!$F$41*V9,0)</f>
        <v>776.49699153695144</v>
      </c>
      <c r="W16" s="64">
        <f>IF('User Input'!$I$8=1,'User Input'!U30*'Administrator Input'!$F$41*W9,0)</f>
        <v>791.56103317276813</v>
      </c>
      <c r="X16" s="64">
        <f>IF('User Input'!$I$8=1,'User Input'!V30*'Administrator Input'!$F$41*X9,0)</f>
        <v>806.91731721631982</v>
      </c>
      <c r="Y16" s="64">
        <f>IF('User Input'!$I$8=1,'User Input'!W30*'Administrator Input'!$F$41*Y9,0)</f>
        <v>822.57151317031639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41722.980206101754</v>
      </c>
      <c r="E17" s="259">
        <v>0</v>
      </c>
      <c r="F17" s="259">
        <v>0</v>
      </c>
      <c r="G17" s="697">
        <v>0</v>
      </c>
      <c r="H17" s="64">
        <f>IF('User Input'!$I$8=1,'User Input'!F31*'Administrator Input'!$F$42*H9,0)</f>
        <v>1958.924836455293</v>
      </c>
      <c r="I17" s="64">
        <f>IF('User Input'!$I$8=1,'User Input'!G31*'Administrator Input'!$F$42*I9,0)</f>
        <v>1996.9279782825256</v>
      </c>
      <c r="J17" s="64">
        <f>IF('User Input'!$I$8=1,'User Input'!H31*'Administrator Input'!$F$42*J9,0)</f>
        <v>2035.6683810612064</v>
      </c>
      <c r="K17" s="64">
        <f>IF('User Input'!$I$8=1,'User Input'!I31*'Administrator Input'!$F$42*K9,0)</f>
        <v>2075.1603476537939</v>
      </c>
      <c r="L17" s="64">
        <f>IF('User Input'!$I$8=1,'User Input'!J31*'Administrator Input'!$F$42*L9,0)</f>
        <v>2115.4184583982778</v>
      </c>
      <c r="M17" s="64">
        <f>IF('User Input'!$I$8=1,'User Input'!K31*'Administrator Input'!$F$42*M9,0)</f>
        <v>2156.4575764912042</v>
      </c>
      <c r="N17" s="64">
        <f>IF('User Input'!$I$8=1,'User Input'!L31*'Administrator Input'!$F$42*N9,0)</f>
        <v>2198.2928534751336</v>
      </c>
      <c r="O17" s="64">
        <f>IF('User Input'!$I$8=1,'User Input'!M31*'Administrator Input'!$F$42*O9,0)</f>
        <v>2240.939734832551</v>
      </c>
      <c r="P17" s="64">
        <f>IF('User Input'!$I$8=1,'User Input'!N31*'Administrator Input'!$F$42*P9,0)</f>
        <v>2284.4139656883026</v>
      </c>
      <c r="Q17" s="64">
        <f>IF('User Input'!$I$8=1,'User Input'!O31*'Administrator Input'!$F$42*Q9,0)</f>
        <v>2328.7315966226556</v>
      </c>
      <c r="R17" s="64">
        <f>IF('User Input'!$I$8=1,'User Input'!P31*'Administrator Input'!$F$42*R9,0)</f>
        <v>2373.9089895971351</v>
      </c>
      <c r="S17" s="64">
        <f>IF('User Input'!$I$8=1,'User Input'!Q31*'Administrator Input'!$F$42*S9,0)</f>
        <v>2419.9628239953195</v>
      </c>
      <c r="T17" s="64">
        <f>IF('User Input'!$I$8=1,'User Input'!R31*'Administrator Input'!$F$42*T9,0)</f>
        <v>2466.9101027808283</v>
      </c>
      <c r="U17" s="64">
        <f>IF('User Input'!$I$8=1,'User Input'!S31*'Administrator Input'!$F$42*U9,0)</f>
        <v>2514.7681587747766</v>
      </c>
      <c r="V17" s="64">
        <f>IF('User Input'!$I$8=1,'User Input'!T31*'Administrator Input'!$F$42*V9,0)</f>
        <v>2563.5546610550073</v>
      </c>
      <c r="W17" s="64">
        <f>IF('User Input'!$I$8=1,'User Input'!U31*'Administrator Input'!$F$42*W9,0)</f>
        <v>2613.2876214794742</v>
      </c>
      <c r="X17" s="64">
        <f>IF('User Input'!$I$8=1,'User Input'!V31*'Administrator Input'!$F$42*X9,0)</f>
        <v>2663.985401336176</v>
      </c>
      <c r="Y17" s="64">
        <f>IF('User Input'!$I$8=1,'User Input'!W31*'Administrator Input'!$F$42*Y9,0)</f>
        <v>2715.6667181220973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7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7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7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7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7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7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7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7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7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7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7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7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7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7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54360.810442442737</v>
      </c>
      <c r="E32" s="65">
        <f>SUM(E13:E31)</f>
        <v>0</v>
      </c>
      <c r="F32" s="66">
        <f t="shared" ref="F32:Y32" si="4">SUM(F13:F31)</f>
        <v>0</v>
      </c>
      <c r="G32" s="66">
        <f t="shared" si="4"/>
        <v>0</v>
      </c>
      <c r="H32" s="66">
        <f t="shared" si="4"/>
        <v>2552.2803303960991</v>
      </c>
      <c r="I32" s="66">
        <f t="shared" si="4"/>
        <v>2601.7945688057835</v>
      </c>
      <c r="J32" s="66">
        <f t="shared" si="4"/>
        <v>2652.2693834406155</v>
      </c>
      <c r="K32" s="66">
        <f t="shared" si="4"/>
        <v>2703.7234094793635</v>
      </c>
      <c r="L32" s="66">
        <f t="shared" si="4"/>
        <v>2756.1756436232636</v>
      </c>
      <c r="M32" s="66">
        <f t="shared" si="4"/>
        <v>2809.6454511095544</v>
      </c>
      <c r="N32" s="66">
        <f t="shared" si="4"/>
        <v>2864.1525728610795</v>
      </c>
      <c r="O32" s="66">
        <f t="shared" si="4"/>
        <v>2919.7171327745846</v>
      </c>
      <c r="P32" s="66">
        <f t="shared" si="4"/>
        <v>2976.3596451504118</v>
      </c>
      <c r="Q32" s="66">
        <f t="shared" si="4"/>
        <v>3034.1010222663294</v>
      </c>
      <c r="R32" s="66">
        <f t="shared" si="4"/>
        <v>3092.9625820982965</v>
      </c>
      <c r="S32" s="66">
        <f t="shared" si="4"/>
        <v>3152.9660561910032</v>
      </c>
      <c r="T32" s="66">
        <f t="shared" si="4"/>
        <v>3214.1335976811083</v>
      </c>
      <c r="U32" s="66">
        <f t="shared" si="4"/>
        <v>3276.4877894761221</v>
      </c>
      <c r="V32" s="66">
        <f t="shared" si="4"/>
        <v>3340.0516525919588</v>
      </c>
      <c r="W32" s="66">
        <f t="shared" si="4"/>
        <v>3404.8486546522422</v>
      </c>
      <c r="X32" s="66">
        <f t="shared" si="4"/>
        <v>3470.9027185524956</v>
      </c>
      <c r="Y32" s="148">
        <f t="shared" si="4"/>
        <v>3538.2382312924137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21953.276179447676</v>
      </c>
      <c r="E33" s="77">
        <f>E32/(1+$D$4)^E$7</f>
        <v>0</v>
      </c>
      <c r="F33" s="77">
        <f t="shared" ref="F33:Y33" si="5">F32/(1+$D$4)^F$7</f>
        <v>0</v>
      </c>
      <c r="G33" s="77">
        <f t="shared" si="5"/>
        <v>0</v>
      </c>
      <c r="H33" s="77">
        <f t="shared" si="5"/>
        <v>1988.8378308149008</v>
      </c>
      <c r="I33" s="77">
        <f t="shared" si="5"/>
        <v>1865.6678795736725</v>
      </c>
      <c r="J33" s="77">
        <f t="shared" si="5"/>
        <v>1750.1259192393502</v>
      </c>
      <c r="K33" s="77">
        <f t="shared" si="5"/>
        <v>1641.7395436390848</v>
      </c>
      <c r="L33" s="77">
        <f t="shared" si="5"/>
        <v>1540.0656030051377</v>
      </c>
      <c r="M33" s="77">
        <f t="shared" si="5"/>
        <v>1444.6883921076997</v>
      </c>
      <c r="N33" s="77">
        <f t="shared" si="5"/>
        <v>1355.2179505977629</v>
      </c>
      <c r="O33" s="77">
        <f t="shared" si="5"/>
        <v>1271.288468610803</v>
      </c>
      <c r="P33" s="77">
        <f t="shared" si="5"/>
        <v>1192.5567911124069</v>
      </c>
      <c r="Q33" s="77">
        <f t="shared" si="5"/>
        <v>1118.7010148706979</v>
      </c>
      <c r="R33" s="77">
        <f t="shared" si="5"/>
        <v>1049.4191723191218</v>
      </c>
      <c r="S33" s="77">
        <f t="shared" si="5"/>
        <v>984.42799692841868</v>
      </c>
      <c r="T33" s="77">
        <f t="shared" si="5"/>
        <v>923.46176503987272</v>
      </c>
      <c r="U33" s="77">
        <f t="shared" si="5"/>
        <v>866.27120942453894</v>
      </c>
      <c r="V33" s="77">
        <f t="shared" si="5"/>
        <v>812.62250012641471</v>
      </c>
      <c r="W33" s="77">
        <f t="shared" si="5"/>
        <v>762.29628842262548</v>
      </c>
      <c r="X33" s="77">
        <f t="shared" si="5"/>
        <v>715.08680999174044</v>
      </c>
      <c r="Y33" s="149">
        <f t="shared" si="5"/>
        <v>670.80104362342888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Animal Proofing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10444</v>
      </c>
      <c r="E37" s="64">
        <f>SUMIF('User Input'!$C$15:$C$20,$B$35,'User Input'!F15:F20)*E$9</f>
        <v>10444</v>
      </c>
      <c r="F37" s="64">
        <f>SUMIF('User Input'!$C$15:$C$20,$B$35,'User Input'!G15:G20)*F$9</f>
        <v>0</v>
      </c>
      <c r="G37" s="64">
        <f>SUMIF('User Input'!$C$15:$C$20,$B$35,'User Input'!H15:H20)*G$9</f>
        <v>0</v>
      </c>
      <c r="H37" s="64">
        <f>SUMIF('User Input'!$C$15:$C$20,$B$35,'User Input'!I15:I20)*H$9</f>
        <v>0</v>
      </c>
      <c r="I37" s="64">
        <f>SUMIF('User Input'!$C$15:$C$20,$B$35,'User Input'!J15:J20)*I$9</f>
        <v>0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7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7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7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7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7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7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7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Cost 1</v>
      </c>
      <c r="D46" s="67">
        <f t="shared" si="6"/>
        <v>0</v>
      </c>
      <c r="E46" s="697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7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7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7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7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7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7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7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7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7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10444</v>
      </c>
      <c r="E56" s="68">
        <f>SUM(E37:E55)</f>
        <v>10444</v>
      </c>
      <c r="F56" s="69">
        <f t="shared" ref="F56:Y56" si="7">SUM(F37:F55)</f>
        <v>0</v>
      </c>
      <c r="G56" s="69">
        <f t="shared" si="7"/>
        <v>0</v>
      </c>
      <c r="H56" s="69">
        <f t="shared" si="7"/>
        <v>0</v>
      </c>
      <c r="I56" s="69">
        <f t="shared" si="7"/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10444</v>
      </c>
      <c r="E57" s="77">
        <f t="shared" ref="E57:Y57" si="8">E56/(1+$D$4)^E$7</f>
        <v>10444</v>
      </c>
      <c r="F57" s="77">
        <f t="shared" si="8"/>
        <v>0</v>
      </c>
      <c r="G57" s="77">
        <f t="shared" si="8"/>
        <v>0</v>
      </c>
      <c r="H57" s="77">
        <f t="shared" si="8"/>
        <v>0</v>
      </c>
      <c r="I57" s="77">
        <f t="shared" si="8"/>
        <v>0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Animal Proofing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10646.613600000001</v>
      </c>
      <c r="E61" s="141">
        <f>E13</f>
        <v>0</v>
      </c>
      <c r="F61" s="141">
        <f>E37/E9*F9</f>
        <v>10646.613600000001</v>
      </c>
      <c r="G61" s="141">
        <f>F37/F9*G9</f>
        <v>0</v>
      </c>
      <c r="H61" s="141">
        <f t="shared" ref="H61:Y61" si="9">G37/G9*H9</f>
        <v>0</v>
      </c>
      <c r="I61" s="141">
        <f t="shared" si="9"/>
        <v>0</v>
      </c>
      <c r="J61" s="141">
        <f t="shared" si="9"/>
        <v>0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7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7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7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7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7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7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7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7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7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7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7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7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7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7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7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7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7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10646.613600000001</v>
      </c>
      <c r="E80" s="68">
        <f>SUM(E61:E79)</f>
        <v>0</v>
      </c>
      <c r="F80" s="69">
        <f t="shared" ref="F80:Y80" si="18">SUM(F61:F79)</f>
        <v>10646.613600000001</v>
      </c>
      <c r="G80" s="69">
        <f t="shared" si="18"/>
        <v>0</v>
      </c>
      <c r="H80" s="69">
        <f t="shared" si="18"/>
        <v>0</v>
      </c>
      <c r="I80" s="69">
        <f t="shared" si="18"/>
        <v>0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9797.196650409498</v>
      </c>
      <c r="E81" s="77">
        <f t="shared" ref="E81:Y81" si="19">E80/(1+$D$4)^E$7</f>
        <v>0</v>
      </c>
      <c r="F81" s="77">
        <f t="shared" si="19"/>
        <v>9797.196650409498</v>
      </c>
      <c r="G81" s="77">
        <f t="shared" si="19"/>
        <v>0</v>
      </c>
      <c r="H81" s="77">
        <f t="shared" si="19"/>
        <v>0</v>
      </c>
      <c r="I81" s="77">
        <f t="shared" si="19"/>
        <v>0</v>
      </c>
      <c r="J81" s="77">
        <f t="shared" si="19"/>
        <v>0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Animal Proofing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10853.157903840001</v>
      </c>
      <c r="E85" s="141">
        <f>E13</f>
        <v>0</v>
      </c>
      <c r="F85" s="141">
        <f>F13</f>
        <v>0</v>
      </c>
      <c r="G85" s="141">
        <f>E37/E9*G9</f>
        <v>10853.157903840001</v>
      </c>
      <c r="H85" s="141">
        <f t="shared" ref="H85:Y85" si="20">F37/F9*H9</f>
        <v>0</v>
      </c>
      <c r="I85" s="141">
        <f t="shared" si="20"/>
        <v>0</v>
      </c>
      <c r="J85" s="141">
        <f t="shared" si="20"/>
        <v>0</v>
      </c>
      <c r="K85" s="141">
        <f t="shared" si="20"/>
        <v>0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7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7">
        <v>0</v>
      </c>
      <c r="H88" s="697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7">
        <v>0</v>
      </c>
      <c r="H89" s="697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7">
        <v>0</v>
      </c>
      <c r="H90" s="697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7">
        <v>0</v>
      </c>
      <c r="H91" s="697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7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7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Cost 1</v>
      </c>
      <c r="D94" s="67">
        <f t="shared" si="21"/>
        <v>0</v>
      </c>
      <c r="E94" s="697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7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7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7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7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7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7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7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7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7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10853.157903840001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10853.157903840001</v>
      </c>
      <c r="H104" s="69">
        <f t="shared" si="54"/>
        <v>0</v>
      </c>
      <c r="I104" s="69">
        <f t="shared" si="54"/>
        <v>0</v>
      </c>
      <c r="J104" s="69">
        <f t="shared" si="54"/>
        <v>0</v>
      </c>
      <c r="K104" s="69">
        <f t="shared" si="54"/>
        <v>0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9190.4502304476318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9190.4502304476318</v>
      </c>
      <c r="H105" s="77">
        <f t="shared" si="55"/>
        <v>0</v>
      </c>
      <c r="I105" s="77">
        <f t="shared" si="55"/>
        <v>0</v>
      </c>
      <c r="J105" s="77">
        <f t="shared" si="55"/>
        <v>0</v>
      </c>
      <c r="K105" s="77">
        <f t="shared" si="55"/>
        <v>0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Animal Proofing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11063.709167174498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11063.709167174498</v>
      </c>
      <c r="I109" s="141">
        <f t="shared" ref="I109:N109" si="57">F37/F9*I9</f>
        <v>0</v>
      </c>
      <c r="J109" s="141">
        <f t="shared" si="57"/>
        <v>0</v>
      </c>
      <c r="K109" s="141">
        <f t="shared" si="57"/>
        <v>0</v>
      </c>
      <c r="L109" s="141">
        <f t="shared" si="57"/>
        <v>0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604.86659052325774</v>
      </c>
      <c r="E112" s="259">
        <v>0</v>
      </c>
      <c r="F112" s="259">
        <v>0</v>
      </c>
      <c r="G112" s="697">
        <v>0</v>
      </c>
      <c r="H112" s="697">
        <v>0</v>
      </c>
      <c r="I112" s="141">
        <f t="shared" ref="I112:I115" si="60">I16</f>
        <v>604.86659052325774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1996.9279782825256</v>
      </c>
      <c r="E113" s="259">
        <v>0</v>
      </c>
      <c r="F113" s="259">
        <v>0</v>
      </c>
      <c r="G113" s="697">
        <v>0</v>
      </c>
      <c r="H113" s="697">
        <v>0</v>
      </c>
      <c r="I113" s="141">
        <f t="shared" si="60"/>
        <v>1996.9279782825256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7">
        <v>0</v>
      </c>
      <c r="H114" s="697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7">
        <v>0</v>
      </c>
      <c r="H115" s="697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13665.503735980281</v>
      </c>
      <c r="E128" s="68">
        <f>SUM(E109:E127)</f>
        <v>0</v>
      </c>
      <c r="F128" s="69">
        <f t="shared" ref="F128:Y128" si="77">SUM(F109:F127)</f>
        <v>0</v>
      </c>
      <c r="G128" s="69">
        <f t="shared" si="77"/>
        <v>0</v>
      </c>
      <c r="H128" s="69">
        <f t="shared" si="77"/>
        <v>11063.709167174498</v>
      </c>
      <c r="I128" s="69">
        <f t="shared" si="77"/>
        <v>2601.7945688057835</v>
      </c>
      <c r="J128" s="69">
        <f t="shared" si="77"/>
        <v>0</v>
      </c>
      <c r="K128" s="69">
        <f t="shared" si="77"/>
        <v>0</v>
      </c>
      <c r="L128" s="69">
        <f t="shared" si="77"/>
        <v>0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10486.947869376119</v>
      </c>
      <c r="E129" s="77">
        <f t="shared" ref="E129:Y129" si="78">E128/(1+$D$4)^E$7</f>
        <v>0</v>
      </c>
      <c r="F129" s="77">
        <f t="shared" si="78"/>
        <v>0</v>
      </c>
      <c r="G129" s="77">
        <f t="shared" si="78"/>
        <v>0</v>
      </c>
      <c r="H129" s="77">
        <f t="shared" si="78"/>
        <v>8621.2799898024459</v>
      </c>
      <c r="I129" s="77">
        <f t="shared" si="78"/>
        <v>1865.6678795736725</v>
      </c>
      <c r="J129" s="77">
        <f t="shared" si="78"/>
        <v>0</v>
      </c>
      <c r="K129" s="77">
        <f t="shared" si="78"/>
        <v>0</v>
      </c>
      <c r="L129" s="77">
        <f t="shared" si="78"/>
        <v>0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Animal Proofing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11278.345125017682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11278.345125017682</v>
      </c>
      <c r="J133" s="141">
        <f t="shared" ref="J133:O133" si="80">F37/F9*J9</f>
        <v>0</v>
      </c>
      <c r="K133" s="141">
        <f t="shared" si="80"/>
        <v>0</v>
      </c>
      <c r="L133" s="141">
        <f t="shared" si="80"/>
        <v>0</v>
      </c>
      <c r="M133" s="141">
        <f t="shared" si="80"/>
        <v>0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1221.4675929026666</v>
      </c>
      <c r="E136" s="259">
        <v>0</v>
      </c>
      <c r="F136" s="259">
        <v>0</v>
      </c>
      <c r="G136" s="697">
        <v>0</v>
      </c>
      <c r="H136" s="697">
        <v>0</v>
      </c>
      <c r="I136" s="141">
        <f t="shared" si="79"/>
        <v>604.86659052325774</v>
      </c>
      <c r="J136" s="141">
        <f t="shared" si="79"/>
        <v>616.6010023794089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4032.5963593437318</v>
      </c>
      <c r="E137" s="259">
        <v>0</v>
      </c>
      <c r="F137" s="259">
        <v>0</v>
      </c>
      <c r="G137" s="697">
        <v>0</v>
      </c>
      <c r="H137" s="697">
        <v>0</v>
      </c>
      <c r="I137" s="141">
        <f t="shared" si="79"/>
        <v>1996.9279782825256</v>
      </c>
      <c r="J137" s="141">
        <f t="shared" si="79"/>
        <v>2035.6683810612064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7">
        <v>0</v>
      </c>
      <c r="H138" s="697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7">
        <v>0</v>
      </c>
      <c r="H139" s="697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16532.409077264081</v>
      </c>
      <c r="E152" s="68">
        <f>SUM(E133:E151)</f>
        <v>0</v>
      </c>
      <c r="F152" s="69">
        <f t="shared" ref="F152:Y152" si="97">SUM(F133:F151)</f>
        <v>0</v>
      </c>
      <c r="G152" s="69">
        <f t="shared" si="97"/>
        <v>0</v>
      </c>
      <c r="H152" s="69">
        <f t="shared" si="97"/>
        <v>0</v>
      </c>
      <c r="I152" s="69">
        <f t="shared" si="97"/>
        <v>13880.139693823465</v>
      </c>
      <c r="J152" s="69">
        <f t="shared" si="97"/>
        <v>2652.2693834406155</v>
      </c>
      <c r="K152" s="69">
        <f t="shared" si="97"/>
        <v>0</v>
      </c>
      <c r="L152" s="69">
        <f t="shared" si="97"/>
        <v>0</v>
      </c>
      <c r="M152" s="69">
        <f t="shared" si="97"/>
        <v>0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11703.152611369027</v>
      </c>
      <c r="E153" s="77">
        <f t="shared" ref="E153:Y153" si="98">E152/(1+$D$4)^E$7</f>
        <v>0</v>
      </c>
      <c r="F153" s="77">
        <f t="shared" si="98"/>
        <v>0</v>
      </c>
      <c r="G153" s="77">
        <f t="shared" si="98"/>
        <v>0</v>
      </c>
      <c r="H153" s="77">
        <f t="shared" si="98"/>
        <v>0</v>
      </c>
      <c r="I153" s="77">
        <f t="shared" si="98"/>
        <v>9953.026692129677</v>
      </c>
      <c r="J153" s="77">
        <f t="shared" si="98"/>
        <v>1750.1259192393502</v>
      </c>
      <c r="K153" s="77">
        <f t="shared" si="98"/>
        <v>0</v>
      </c>
      <c r="L153" s="77">
        <f t="shared" si="98"/>
        <v>0</v>
      </c>
      <c r="M153" s="77">
        <f t="shared" si="98"/>
        <v>0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0</v>
      </c>
      <c r="G160" s="81">
        <f t="shared" si="99"/>
        <v>0</v>
      </c>
      <c r="H160" s="81">
        <f t="shared" si="99"/>
        <v>2552.2803303960991</v>
      </c>
      <c r="I160" s="81">
        <f t="shared" si="99"/>
        <v>2601.7945688057835</v>
      </c>
      <c r="J160" s="81">
        <f t="shared" si="99"/>
        <v>2652.2693834406155</v>
      </c>
      <c r="K160" s="81">
        <f t="shared" si="99"/>
        <v>2703.7234094793635</v>
      </c>
      <c r="L160" s="81">
        <f t="shared" si="99"/>
        <v>2756.1756436232636</v>
      </c>
      <c r="M160" s="81">
        <f t="shared" si="99"/>
        <v>2809.6454511095544</v>
      </c>
      <c r="N160" s="81">
        <f t="shared" si="99"/>
        <v>2864.1525728610795</v>
      </c>
      <c r="O160" s="81">
        <f t="shared" si="99"/>
        <v>2919.7171327745846</v>
      </c>
      <c r="P160" s="81">
        <f t="shared" si="99"/>
        <v>2976.3596451504118</v>
      </c>
      <c r="Q160" s="81">
        <f t="shared" si="99"/>
        <v>3034.1010222663294</v>
      </c>
      <c r="R160" s="81">
        <f t="shared" si="99"/>
        <v>3092.9625820982965</v>
      </c>
      <c r="S160" s="81">
        <f t="shared" si="99"/>
        <v>3152.9660561910032</v>
      </c>
      <c r="T160" s="81">
        <f t="shared" si="99"/>
        <v>3214.1335976811083</v>
      </c>
      <c r="U160" s="81">
        <f t="shared" si="99"/>
        <v>3276.4877894761221</v>
      </c>
      <c r="V160" s="81">
        <f t="shared" si="99"/>
        <v>3340.0516525919588</v>
      </c>
      <c r="W160" s="81">
        <f t="shared" si="99"/>
        <v>3404.8486546522422</v>
      </c>
      <c r="X160" s="81">
        <f t="shared" si="99"/>
        <v>3470.9027185524956</v>
      </c>
      <c r="Y160" s="81">
        <f t="shared" si="99"/>
        <v>3538.2382312924137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Animal Proofing</v>
      </c>
      <c r="D161" s="2"/>
      <c r="E161" s="84">
        <f>E56</f>
        <v>10444</v>
      </c>
      <c r="F161" s="84">
        <f t="shared" ref="F161:Y161" si="100">F56</f>
        <v>0</v>
      </c>
      <c r="G161" s="84">
        <f t="shared" si="100"/>
        <v>0</v>
      </c>
      <c r="H161" s="84">
        <f t="shared" si="100"/>
        <v>0</v>
      </c>
      <c r="I161" s="84">
        <f t="shared" si="100"/>
        <v>0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Animal Proofing + 1yr</v>
      </c>
      <c r="D162" s="2"/>
      <c r="E162" s="84">
        <f>E80</f>
        <v>0</v>
      </c>
      <c r="F162" s="84">
        <f t="shared" ref="F162:Y162" si="101">F80</f>
        <v>10646.613600000001</v>
      </c>
      <c r="G162" s="84">
        <f t="shared" si="101"/>
        <v>0</v>
      </c>
      <c r="H162" s="84">
        <f t="shared" si="101"/>
        <v>0</v>
      </c>
      <c r="I162" s="84">
        <f t="shared" si="101"/>
        <v>0</v>
      </c>
      <c r="J162" s="84">
        <f t="shared" si="101"/>
        <v>0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Animal Proofing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10853.157903840001</v>
      </c>
      <c r="H163" s="84">
        <f t="shared" si="102"/>
        <v>0</v>
      </c>
      <c r="I163" s="84">
        <f t="shared" si="102"/>
        <v>0</v>
      </c>
      <c r="J163" s="84">
        <f t="shared" si="102"/>
        <v>0</v>
      </c>
      <c r="K163" s="84">
        <f t="shared" si="102"/>
        <v>0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Animal Proofing + 3yrs</v>
      </c>
      <c r="D164" s="2"/>
      <c r="E164" s="84">
        <f>E128</f>
        <v>0</v>
      </c>
      <c r="F164" s="84">
        <f t="shared" ref="F164:Y164" si="103">F128</f>
        <v>0</v>
      </c>
      <c r="G164" s="84">
        <f t="shared" si="103"/>
        <v>0</v>
      </c>
      <c r="H164" s="84">
        <f t="shared" si="103"/>
        <v>11063.709167174498</v>
      </c>
      <c r="I164" s="84">
        <f t="shared" si="103"/>
        <v>2601.7945688057835</v>
      </c>
      <c r="J164" s="84">
        <f t="shared" si="103"/>
        <v>0</v>
      </c>
      <c r="K164" s="84">
        <f t="shared" si="103"/>
        <v>0</v>
      </c>
      <c r="L164" s="84">
        <f t="shared" si="103"/>
        <v>0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Animal Proofing + 4yrs</v>
      </c>
      <c r="D165" s="2"/>
      <c r="E165" s="84">
        <f>E152</f>
        <v>0</v>
      </c>
      <c r="F165" s="84">
        <f t="shared" ref="F165:Y165" si="104">F152</f>
        <v>0</v>
      </c>
      <c r="G165" s="84">
        <f t="shared" si="104"/>
        <v>0</v>
      </c>
      <c r="H165" s="84">
        <f t="shared" si="104"/>
        <v>0</v>
      </c>
      <c r="I165" s="84">
        <f t="shared" si="104"/>
        <v>13880.139693823465</v>
      </c>
      <c r="J165" s="84">
        <f t="shared" si="104"/>
        <v>2652.2693834406155</v>
      </c>
      <c r="K165" s="84">
        <f t="shared" si="104"/>
        <v>0</v>
      </c>
      <c r="L165" s="84">
        <f t="shared" si="104"/>
        <v>0</v>
      </c>
      <c r="M165" s="84">
        <f t="shared" si="104"/>
        <v>0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0</v>
      </c>
      <c r="G169" s="81">
        <f>G33</f>
        <v>0</v>
      </c>
      <c r="H169" s="81">
        <f>H33</f>
        <v>1988.8378308149008</v>
      </c>
      <c r="I169" s="81">
        <f>I33</f>
        <v>1865.6678795736725</v>
      </c>
      <c r="J169" s="81">
        <f t="shared" ref="J169:Y169" si="105">J33</f>
        <v>1750.1259192393502</v>
      </c>
      <c r="K169" s="81">
        <f t="shared" si="105"/>
        <v>1641.7395436390848</v>
      </c>
      <c r="L169" s="81">
        <f t="shared" si="105"/>
        <v>1540.0656030051377</v>
      </c>
      <c r="M169" s="81">
        <f t="shared" si="105"/>
        <v>1444.6883921076997</v>
      </c>
      <c r="N169" s="81">
        <f t="shared" si="105"/>
        <v>1355.2179505977629</v>
      </c>
      <c r="O169" s="81">
        <f t="shared" si="105"/>
        <v>1271.288468610803</v>
      </c>
      <c r="P169" s="81">
        <f t="shared" si="105"/>
        <v>1192.5567911124069</v>
      </c>
      <c r="Q169" s="81">
        <f t="shared" si="105"/>
        <v>1118.7010148706979</v>
      </c>
      <c r="R169" s="81">
        <f t="shared" si="105"/>
        <v>1049.4191723191218</v>
      </c>
      <c r="S169" s="81">
        <f t="shared" si="105"/>
        <v>984.42799692841868</v>
      </c>
      <c r="T169" s="81">
        <f t="shared" si="105"/>
        <v>923.46176503987272</v>
      </c>
      <c r="U169" s="81">
        <f t="shared" si="105"/>
        <v>866.27120942453894</v>
      </c>
      <c r="V169" s="81">
        <f t="shared" si="105"/>
        <v>812.62250012641471</v>
      </c>
      <c r="W169" s="81">
        <f t="shared" si="105"/>
        <v>762.29628842262548</v>
      </c>
      <c r="X169" s="81">
        <f t="shared" si="105"/>
        <v>715.08680999174044</v>
      </c>
      <c r="Y169" s="81">
        <f t="shared" si="105"/>
        <v>670.80104362342888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Animal Proofing</v>
      </c>
      <c r="D170" s="2"/>
      <c r="E170" s="81">
        <f>E57</f>
        <v>10444</v>
      </c>
      <c r="F170" s="81">
        <f>F57</f>
        <v>0</v>
      </c>
      <c r="G170" s="81">
        <f>G57</f>
        <v>0</v>
      </c>
      <c r="H170" s="81">
        <f>H57</f>
        <v>0</v>
      </c>
      <c r="I170" s="81">
        <f>I57</f>
        <v>0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Animal Proofing + 1yr</v>
      </c>
      <c r="D171" s="2"/>
      <c r="E171" s="81">
        <f>E81</f>
        <v>0</v>
      </c>
      <c r="F171" s="81">
        <f>F81</f>
        <v>9797.196650409498</v>
      </c>
      <c r="G171" s="81">
        <f>G81</f>
        <v>0</v>
      </c>
      <c r="H171" s="81">
        <f>H81</f>
        <v>0</v>
      </c>
      <c r="I171" s="81">
        <f>I81</f>
        <v>0</v>
      </c>
      <c r="J171" s="81">
        <f t="shared" ref="J171:Y171" si="107">J81</f>
        <v>0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Animal Proofing + 2yrs</v>
      </c>
      <c r="D172" s="2"/>
      <c r="E172" s="81">
        <f>E105</f>
        <v>0</v>
      </c>
      <c r="F172" s="81">
        <f>F105</f>
        <v>0</v>
      </c>
      <c r="G172" s="81">
        <f>G105</f>
        <v>9190.4502304476318</v>
      </c>
      <c r="H172" s="81">
        <f>H105</f>
        <v>0</v>
      </c>
      <c r="I172" s="81">
        <f>I105</f>
        <v>0</v>
      </c>
      <c r="J172" s="81">
        <f t="shared" ref="J172:Y172" si="108">J105</f>
        <v>0</v>
      </c>
      <c r="K172" s="81">
        <f t="shared" si="108"/>
        <v>0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Animal Proofing + 3yrs</v>
      </c>
      <c r="D173" s="2"/>
      <c r="E173" s="81">
        <f>E129</f>
        <v>0</v>
      </c>
      <c r="F173" s="81">
        <f>F129</f>
        <v>0</v>
      </c>
      <c r="G173" s="81">
        <f>G129</f>
        <v>0</v>
      </c>
      <c r="H173" s="81">
        <f>H129</f>
        <v>8621.2799898024459</v>
      </c>
      <c r="I173" s="81">
        <f>I129</f>
        <v>1865.6678795736725</v>
      </c>
      <c r="J173" s="81">
        <f t="shared" ref="J173:Y173" si="109">J129</f>
        <v>0</v>
      </c>
      <c r="K173" s="81">
        <f t="shared" si="109"/>
        <v>0</v>
      </c>
      <c r="L173" s="81">
        <f t="shared" si="109"/>
        <v>0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Animal Proofing + 4yrs</v>
      </c>
      <c r="D174" s="2"/>
      <c r="E174" s="81">
        <f>E153</f>
        <v>0</v>
      </c>
      <c r="F174" s="81">
        <f>F153</f>
        <v>0</v>
      </c>
      <c r="G174" s="81">
        <f>G153</f>
        <v>0</v>
      </c>
      <c r="H174" s="81">
        <f>H153</f>
        <v>0</v>
      </c>
      <c r="I174" s="81">
        <f>I153</f>
        <v>9953.026692129677</v>
      </c>
      <c r="J174" s="81">
        <f t="shared" ref="J174:Y174" si="110">J153</f>
        <v>1750.1259192393502</v>
      </c>
      <c r="K174" s="81">
        <f t="shared" si="110"/>
        <v>0</v>
      </c>
      <c r="L174" s="81">
        <f t="shared" si="110"/>
        <v>0</v>
      </c>
      <c r="M174" s="81">
        <f t="shared" si="110"/>
        <v>0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Animal Proofing</v>
      </c>
      <c r="D179" s="80"/>
      <c r="E179" s="302">
        <f>E37</f>
        <v>10444</v>
      </c>
      <c r="F179" s="302">
        <f t="shared" ref="F179:Y179" si="112">F37</f>
        <v>0</v>
      </c>
      <c r="G179" s="302">
        <f t="shared" si="112"/>
        <v>0</v>
      </c>
      <c r="H179" s="302">
        <f t="shared" si="112"/>
        <v>0</v>
      </c>
      <c r="I179" s="302">
        <f t="shared" si="112"/>
        <v>0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Animal Proofing + 1yr</v>
      </c>
      <c r="D180" s="80"/>
      <c r="E180" s="302">
        <f>E61</f>
        <v>0</v>
      </c>
      <c r="F180" s="302">
        <f t="shared" ref="F180:Y180" si="113">F61</f>
        <v>10646.613600000001</v>
      </c>
      <c r="G180" s="302">
        <f t="shared" si="113"/>
        <v>0</v>
      </c>
      <c r="H180" s="302">
        <f t="shared" si="113"/>
        <v>0</v>
      </c>
      <c r="I180" s="302">
        <f t="shared" si="113"/>
        <v>0</v>
      </c>
      <c r="J180" s="302">
        <f t="shared" si="113"/>
        <v>0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Animal Proofing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10853.157903840001</v>
      </c>
      <c r="H181" s="302">
        <f t="shared" si="114"/>
        <v>0</v>
      </c>
      <c r="I181" s="302">
        <f t="shared" si="114"/>
        <v>0</v>
      </c>
      <c r="J181" s="302">
        <f t="shared" si="114"/>
        <v>0</v>
      </c>
      <c r="K181" s="302">
        <f t="shared" si="114"/>
        <v>0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Animal Proofing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11063.709167174498</v>
      </c>
      <c r="I182" s="302">
        <f t="shared" si="115"/>
        <v>0</v>
      </c>
      <c r="J182" s="302">
        <f t="shared" si="115"/>
        <v>0</v>
      </c>
      <c r="K182" s="302">
        <f t="shared" si="115"/>
        <v>0</v>
      </c>
      <c r="L182" s="302">
        <f t="shared" si="115"/>
        <v>0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Animal Proofing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11278.345125017682</v>
      </c>
      <c r="J183" s="302">
        <f t="shared" si="116"/>
        <v>0</v>
      </c>
      <c r="K183" s="302">
        <f t="shared" si="116"/>
        <v>0</v>
      </c>
      <c r="L183" s="302">
        <f t="shared" si="116"/>
        <v>0</v>
      </c>
      <c r="M183" s="302">
        <f t="shared" si="116"/>
        <v>0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Animal Proofing + 2yrs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0</v>
      </c>
      <c r="G187" s="145">
        <f t="shared" si="117"/>
        <v>0</v>
      </c>
      <c r="H187" s="145">
        <f t="shared" si="117"/>
        <v>-2552.2803303960991</v>
      </c>
      <c r="I187" s="145">
        <f t="shared" si="117"/>
        <v>-2601.7945688057835</v>
      </c>
      <c r="J187" s="145">
        <f t="shared" si="117"/>
        <v>-2652.2693834406155</v>
      </c>
      <c r="K187" s="145">
        <f t="shared" si="117"/>
        <v>-2703.7234094793635</v>
      </c>
      <c r="L187" s="145">
        <f t="shared" si="117"/>
        <v>-2756.1756436232636</v>
      </c>
      <c r="M187" s="145">
        <f t="shared" si="117"/>
        <v>-2809.6454511095544</v>
      </c>
      <c r="N187" s="145">
        <f t="shared" si="117"/>
        <v>-2864.1525728610795</v>
      </c>
      <c r="O187" s="145">
        <f t="shared" si="117"/>
        <v>-2919.7171327745846</v>
      </c>
      <c r="P187" s="145">
        <f t="shared" si="117"/>
        <v>-2976.3596451504118</v>
      </c>
      <c r="Q187" s="145">
        <f t="shared" si="117"/>
        <v>-3034.1010222663294</v>
      </c>
      <c r="R187" s="145">
        <f t="shared" si="117"/>
        <v>-3092.9625820982965</v>
      </c>
      <c r="S187" s="145">
        <f t="shared" si="117"/>
        <v>-3152.9660561910032</v>
      </c>
      <c r="T187" s="145">
        <f t="shared" si="117"/>
        <v>-3214.1335976811083</v>
      </c>
      <c r="U187" s="145">
        <f t="shared" si="117"/>
        <v>-3276.4877894761221</v>
      </c>
      <c r="V187" s="145">
        <f>-V160</f>
        <v>-3340.0516525919588</v>
      </c>
      <c r="W187" s="145">
        <f>-W160</f>
        <v>-3404.8486546522422</v>
      </c>
      <c r="X187" s="145">
        <f>-X160</f>
        <v>-3470.9027185524956</v>
      </c>
      <c r="Y187" s="145">
        <f>-Y160</f>
        <v>-3538.2382312924137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Animal Proofing + 2yrs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-10853.157903840001</v>
      </c>
      <c r="H188" s="145">
        <f t="shared" si="118"/>
        <v>0</v>
      </c>
      <c r="I188" s="145">
        <f t="shared" si="118"/>
        <v>0</v>
      </c>
      <c r="J188" s="145">
        <f t="shared" si="118"/>
        <v>0</v>
      </c>
      <c r="K188" s="145">
        <f t="shared" si="118"/>
        <v>0</v>
      </c>
      <c r="L188" s="145">
        <f t="shared" si="118"/>
        <v>0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-10853.157903840001</v>
      </c>
      <c r="H189" s="82">
        <f t="shared" si="119"/>
        <v>2552.2803303960991</v>
      </c>
      <c r="I189" s="82">
        <f t="shared" si="119"/>
        <v>2601.7945688057835</v>
      </c>
      <c r="J189" s="82">
        <f t="shared" si="119"/>
        <v>2652.2693834406155</v>
      </c>
      <c r="K189" s="82">
        <f t="shared" si="119"/>
        <v>2703.7234094793635</v>
      </c>
      <c r="L189" s="82">
        <f t="shared" si="119"/>
        <v>2756.1756436232636</v>
      </c>
      <c r="M189" s="82">
        <f t="shared" si="119"/>
        <v>2809.6454511095544</v>
      </c>
      <c r="N189" s="82">
        <f t="shared" si="119"/>
        <v>2864.1525728610795</v>
      </c>
      <c r="O189" s="82">
        <f t="shared" si="119"/>
        <v>2919.7171327745846</v>
      </c>
      <c r="P189" s="82">
        <f t="shared" si="119"/>
        <v>2976.3596451504118</v>
      </c>
      <c r="Q189" s="82">
        <f t="shared" si="119"/>
        <v>3034.1010222663294</v>
      </c>
      <c r="R189" s="82">
        <f t="shared" si="119"/>
        <v>3092.9625820982965</v>
      </c>
      <c r="S189" s="82">
        <f t="shared" si="119"/>
        <v>3152.9660561910032</v>
      </c>
      <c r="T189" s="82">
        <f t="shared" si="119"/>
        <v>3214.1335976811083</v>
      </c>
      <c r="U189" s="82">
        <f t="shared" si="119"/>
        <v>3276.4877894761221</v>
      </c>
      <c r="V189" s="82">
        <f t="shared" si="119"/>
        <v>3340.0516525919588</v>
      </c>
      <c r="W189" s="82">
        <f t="shared" si="119"/>
        <v>3404.8486546522422</v>
      </c>
      <c r="X189" s="82">
        <f t="shared" si="119"/>
        <v>3470.9027185524956</v>
      </c>
      <c r="Y189" s="82">
        <f t="shared" si="119"/>
        <v>3538.2382312924137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0</v>
      </c>
      <c r="G191" s="81">
        <f t="shared" si="120"/>
        <v>0</v>
      </c>
      <c r="H191" s="81">
        <f t="shared" si="120"/>
        <v>-1988.8378308149008</v>
      </c>
      <c r="I191" s="81">
        <f t="shared" si="120"/>
        <v>-1865.6678795736725</v>
      </c>
      <c r="J191" s="81">
        <f t="shared" si="120"/>
        <v>-1750.1259192393502</v>
      </c>
      <c r="K191" s="81">
        <f t="shared" si="120"/>
        <v>-1641.7395436390848</v>
      </c>
      <c r="L191" s="81">
        <f t="shared" si="120"/>
        <v>-1540.0656030051377</v>
      </c>
      <c r="M191" s="81">
        <f t="shared" si="120"/>
        <v>-1444.6883921076997</v>
      </c>
      <c r="N191" s="81">
        <f t="shared" si="120"/>
        <v>-1355.2179505977629</v>
      </c>
      <c r="O191" s="81">
        <f t="shared" si="120"/>
        <v>-1271.288468610803</v>
      </c>
      <c r="P191" s="81">
        <f t="shared" si="120"/>
        <v>-1192.5567911124069</v>
      </c>
      <c r="Q191" s="81">
        <f t="shared" si="120"/>
        <v>-1118.7010148706979</v>
      </c>
      <c r="R191" s="81">
        <f t="shared" si="120"/>
        <v>-1049.4191723191218</v>
      </c>
      <c r="S191" s="81">
        <f t="shared" si="120"/>
        <v>-984.42799692841868</v>
      </c>
      <c r="T191" s="81">
        <f t="shared" si="120"/>
        <v>-923.46176503987272</v>
      </c>
      <c r="U191" s="81">
        <f t="shared" si="120"/>
        <v>-866.27120942453894</v>
      </c>
      <c r="V191" s="81">
        <f t="shared" si="120"/>
        <v>-812.62250012641471</v>
      </c>
      <c r="W191" s="81">
        <f t="shared" si="120"/>
        <v>-762.29628842262548</v>
      </c>
      <c r="X191" s="81">
        <f t="shared" si="120"/>
        <v>-715.08680999174044</v>
      </c>
      <c r="Y191" s="81">
        <f t="shared" si="120"/>
        <v>-670.80104362342888</v>
      </c>
      <c r="Z191" s="154"/>
    </row>
    <row r="192" spans="1:26" s="3" customFormat="1" x14ac:dyDescent="0.2">
      <c r="A192" s="2"/>
      <c r="B192" s="13"/>
      <c r="C192" s="80" t="str">
        <f>"PV - "&amp;+D221</f>
        <v>PV - Option 1: Animal Proofing + 2yrs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-9190.4502304476318</v>
      </c>
      <c r="H192" s="81">
        <f t="shared" si="121"/>
        <v>0</v>
      </c>
      <c r="I192" s="81">
        <f t="shared" si="121"/>
        <v>0</v>
      </c>
      <c r="J192" s="81">
        <f t="shared" si="121"/>
        <v>0</v>
      </c>
      <c r="K192" s="81">
        <f t="shared" si="121"/>
        <v>0</v>
      </c>
      <c r="L192" s="81">
        <f t="shared" si="121"/>
        <v>0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-9190.4502304476318</v>
      </c>
      <c r="H193" s="82">
        <f t="shared" si="122"/>
        <v>1988.8378308149008</v>
      </c>
      <c r="I193" s="82">
        <f t="shared" si="122"/>
        <v>1865.6678795736725</v>
      </c>
      <c r="J193" s="82">
        <f t="shared" si="122"/>
        <v>1750.1259192393502</v>
      </c>
      <c r="K193" s="82">
        <f t="shared" si="122"/>
        <v>1641.7395436390848</v>
      </c>
      <c r="L193" s="82">
        <f t="shared" si="122"/>
        <v>1540.0656030051377</v>
      </c>
      <c r="M193" s="82">
        <f t="shared" si="122"/>
        <v>1444.6883921076997</v>
      </c>
      <c r="N193" s="82">
        <f t="shared" si="122"/>
        <v>1355.2179505977629</v>
      </c>
      <c r="O193" s="82">
        <f t="shared" si="122"/>
        <v>1271.288468610803</v>
      </c>
      <c r="P193" s="82">
        <f t="shared" si="122"/>
        <v>1192.5567911124069</v>
      </c>
      <c r="Q193" s="82">
        <f t="shared" si="122"/>
        <v>1118.7010148706979</v>
      </c>
      <c r="R193" s="82">
        <f t="shared" si="122"/>
        <v>1049.4191723191218</v>
      </c>
      <c r="S193" s="82">
        <f t="shared" si="122"/>
        <v>984.42799692841868</v>
      </c>
      <c r="T193" s="82">
        <f t="shared" si="122"/>
        <v>923.46176503987272</v>
      </c>
      <c r="U193" s="82">
        <f t="shared" si="122"/>
        <v>866.27120942453894</v>
      </c>
      <c r="V193" s="82">
        <f t="shared" si="122"/>
        <v>812.62250012641471</v>
      </c>
      <c r="W193" s="82">
        <f t="shared" si="122"/>
        <v>762.29628842262548</v>
      </c>
      <c r="X193" s="82">
        <f t="shared" si="122"/>
        <v>715.08680999174044</v>
      </c>
      <c r="Y193" s="82">
        <f t="shared" si="122"/>
        <v>670.80104362342888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-9190.4502304476318</v>
      </c>
      <c r="H194" s="105">
        <f t="shared" si="123"/>
        <v>-7201.6123996327315</v>
      </c>
      <c r="I194" s="105">
        <f t="shared" si="123"/>
        <v>-5335.944520059059</v>
      </c>
      <c r="J194" s="105">
        <f t="shared" si="123"/>
        <v>-3585.818600819709</v>
      </c>
      <c r="K194" s="105">
        <f t="shared" si="123"/>
        <v>-1944.0790571806242</v>
      </c>
      <c r="L194" s="105">
        <f t="shared" si="123"/>
        <v>-404.01345417548646</v>
      </c>
      <c r="M194" s="105">
        <f t="shared" si="123"/>
        <v>1040.6749379322132</v>
      </c>
      <c r="N194" s="105">
        <f t="shared" si="123"/>
        <v>2395.8928885299761</v>
      </c>
      <c r="O194" s="105">
        <f t="shared" si="123"/>
        <v>3667.1813571407793</v>
      </c>
      <c r="P194" s="105">
        <f t="shared" si="123"/>
        <v>4859.7381482531864</v>
      </c>
      <c r="Q194" s="105">
        <f t="shared" si="123"/>
        <v>5978.4391631238841</v>
      </c>
      <c r="R194" s="105">
        <f t="shared" si="123"/>
        <v>7027.8583354430057</v>
      </c>
      <c r="S194" s="105">
        <f t="shared" si="123"/>
        <v>8012.2863323714246</v>
      </c>
      <c r="T194" s="105">
        <f t="shared" si="123"/>
        <v>8935.7480974112968</v>
      </c>
      <c r="U194" s="105">
        <f t="shared" si="123"/>
        <v>9802.0193068358349</v>
      </c>
      <c r="V194" s="105">
        <f t="shared" si="123"/>
        <v>10614.641806962249</v>
      </c>
      <c r="W194" s="105">
        <f t="shared" si="123"/>
        <v>11376.938095384874</v>
      </c>
      <c r="X194" s="105">
        <f t="shared" si="123"/>
        <v>12092.024905376615</v>
      </c>
      <c r="Y194" s="105">
        <f t="shared" si="123"/>
        <v>12762.825949000044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12762.825949000044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>
        <f>IRR(E189:Y189)</f>
        <v>0.24844204177867812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6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51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Animal Proofing</v>
      </c>
      <c r="F203" s="387" t="str">
        <f>B59</f>
        <v>Option 1: Animal Proofing + 1yr</v>
      </c>
      <c r="G203" s="388" t="str">
        <f>B83</f>
        <v>Option 1: Animal Proofing + 2yrs</v>
      </c>
      <c r="H203" s="388" t="str">
        <f>B107</f>
        <v>Option 1: Animal Proofing + 3yrs</v>
      </c>
      <c r="I203" s="388" t="str">
        <f>B131</f>
        <v>Option 1: Animal Proofing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10444</v>
      </c>
      <c r="F205" s="125">
        <f>D61</f>
        <v>10646.613600000001</v>
      </c>
      <c r="G205" s="115">
        <f>D85</f>
        <v>10853.157903840001</v>
      </c>
      <c r="H205" s="115">
        <f>D109</f>
        <v>11063.709167174498</v>
      </c>
      <c r="I205" s="115">
        <f>D133</f>
        <v>11278.345125017682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54360.810442442715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2601.7945688057835</v>
      </c>
      <c r="I207" s="115">
        <f>SUM(D136:D139)</f>
        <v>5254.0639522463989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54360.810442442715</v>
      </c>
      <c r="E216" s="122">
        <f t="shared" si="130"/>
        <v>10444</v>
      </c>
      <c r="F216" s="122">
        <f t="shared" si="130"/>
        <v>10646.613600000001</v>
      </c>
      <c r="G216" s="122">
        <f t="shared" si="130"/>
        <v>10853.157903840001</v>
      </c>
      <c r="H216" s="122">
        <f t="shared" si="130"/>
        <v>13665.503735980281</v>
      </c>
      <c r="I216" s="122">
        <f t="shared" si="130"/>
        <v>16532.409077264081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1">
        <f>IF(D216=0," ",D33)</f>
        <v>21953.276179447676</v>
      </c>
      <c r="E218" s="691">
        <f>IF(E216=0," ",D57)</f>
        <v>10444</v>
      </c>
      <c r="F218" s="692">
        <f>IF(F216=0," ",D81)</f>
        <v>9797.196650409498</v>
      </c>
      <c r="G218" s="693">
        <f>IF(G216=0," ",D105)</f>
        <v>9190.4502304476318</v>
      </c>
      <c r="H218" s="693">
        <f>IF(H216=0," ",D129)</f>
        <v>10486.947869376119</v>
      </c>
      <c r="I218" s="693">
        <f>IF(I216=0," ",D153)</f>
        <v>11703.152611369027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9190.4502304476318</v>
      </c>
      <c r="E220" s="2"/>
      <c r="F220" s="17">
        <f t="shared" ref="F220:H220" si="131">F218-$D$220</f>
        <v>606.7464199618662</v>
      </c>
      <c r="G220" s="17">
        <f t="shared" si="131"/>
        <v>0</v>
      </c>
      <c r="H220" s="17">
        <f t="shared" si="131"/>
        <v>1296.4976389284875</v>
      </c>
      <c r="I220" s="17">
        <f>I218-$D$220</f>
        <v>2512.7023809213952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Animal Proofing + 2yrs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0</v>
      </c>
      <c r="G228" s="145">
        <f t="shared" si="133"/>
        <v>0</v>
      </c>
      <c r="H228" s="145">
        <f t="shared" si="133"/>
        <v>2552.2803303960991</v>
      </c>
      <c r="I228" s="145">
        <f t="shared" si="133"/>
        <v>2601.7945688057835</v>
      </c>
      <c r="J228" s="145">
        <f t="shared" si="133"/>
        <v>2652.2693834406155</v>
      </c>
      <c r="K228" s="145">
        <f t="shared" si="133"/>
        <v>2703.7234094793635</v>
      </c>
      <c r="L228" s="145">
        <f t="shared" si="133"/>
        <v>2756.1756436232636</v>
      </c>
      <c r="M228" s="145">
        <f t="shared" si="133"/>
        <v>2809.6454511095544</v>
      </c>
      <c r="N228" s="145">
        <f t="shared" si="133"/>
        <v>2864.1525728610795</v>
      </c>
      <c r="O228" s="145">
        <f t="shared" si="133"/>
        <v>2919.7171327745846</v>
      </c>
      <c r="P228" s="145">
        <f t="shared" si="133"/>
        <v>2976.3596451504118</v>
      </c>
      <c r="Q228" s="145">
        <f t="shared" si="133"/>
        <v>3034.1010222663294</v>
      </c>
      <c r="R228" s="145">
        <f t="shared" si="133"/>
        <v>3092.9625820982965</v>
      </c>
      <c r="S228" s="145">
        <f t="shared" si="133"/>
        <v>3152.9660561910032</v>
      </c>
      <c r="T228" s="145">
        <f t="shared" si="133"/>
        <v>3214.1335976811083</v>
      </c>
      <c r="U228" s="145">
        <f t="shared" si="133"/>
        <v>3276.4877894761221</v>
      </c>
      <c r="V228" s="145">
        <f t="shared" si="133"/>
        <v>3340.0516525919588</v>
      </c>
      <c r="W228" s="145">
        <f t="shared" si="133"/>
        <v>3404.8486546522422</v>
      </c>
      <c r="X228" s="145">
        <f t="shared" si="133"/>
        <v>3470.9027185524956</v>
      </c>
      <c r="Y228" s="145">
        <f t="shared" si="133"/>
        <v>3538.2382312924137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Animal Proofing + 2yrs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940.96879026292811</v>
      </c>
      <c r="H229" s="145">
        <f t="shared" si="134"/>
        <v>940.96879026292811</v>
      </c>
      <c r="I229" s="145">
        <f t="shared" si="134"/>
        <v>940.96879026292811</v>
      </c>
      <c r="J229" s="145">
        <f t="shared" si="134"/>
        <v>940.96879026292811</v>
      </c>
      <c r="K229" s="145">
        <f t="shared" si="134"/>
        <v>940.96879026292811</v>
      </c>
      <c r="L229" s="145">
        <f t="shared" si="134"/>
        <v>940.96879026292811</v>
      </c>
      <c r="M229" s="145">
        <f t="shared" si="134"/>
        <v>940.96879026292811</v>
      </c>
      <c r="N229" s="145">
        <f t="shared" si="134"/>
        <v>940.96879026292811</v>
      </c>
      <c r="O229" s="145">
        <f t="shared" si="134"/>
        <v>940.96879026292811</v>
      </c>
      <c r="P229" s="145">
        <f t="shared" si="134"/>
        <v>940.96879026292811</v>
      </c>
      <c r="Q229" s="145">
        <f t="shared" si="134"/>
        <v>940.96879026292811</v>
      </c>
      <c r="R229" s="145">
        <f t="shared" si="134"/>
        <v>940.96879026292811</v>
      </c>
      <c r="S229" s="145">
        <f t="shared" si="134"/>
        <v>940.96879026292811</v>
      </c>
      <c r="T229" s="145">
        <f t="shared" si="134"/>
        <v>940.96879026292811</v>
      </c>
      <c r="U229" s="145">
        <f t="shared" si="134"/>
        <v>940.96879026292811</v>
      </c>
      <c r="V229" s="145">
        <f t="shared" si="134"/>
        <v>940.96879026292811</v>
      </c>
      <c r="W229" s="145">
        <f t="shared" si="134"/>
        <v>940.96879026292811</v>
      </c>
      <c r="X229" s="145">
        <f t="shared" si="134"/>
        <v>940.96879026292811</v>
      </c>
      <c r="Y229" s="145">
        <f t="shared" si="134"/>
        <v>940.96879026292811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Animal Proofing + 2yrs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9190.4502304476318</v>
      </c>
      <c r="H230" s="145">
        <f>VLOOKUP($B$238,$A$169:$Y$174,8)</f>
        <v>0</v>
      </c>
      <c r="I230" s="145">
        <f>VLOOKUP($B$238,$A$169:$Y$174,9)</f>
        <v>0</v>
      </c>
      <c r="J230" s="145">
        <f>VLOOKUP($B$238,$A$169:$Y$174,10)</f>
        <v>0</v>
      </c>
      <c r="K230" s="145">
        <f>VLOOKUP($B$238,$A$169:$Y$174,11)</f>
        <v>0</v>
      </c>
      <c r="L230" s="145">
        <f>VLOOKUP($B$238,$A$169:$Y$174,12)</f>
        <v>0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2552.2803303960991</v>
      </c>
      <c r="I235" s="145">
        <f t="shared" si="135"/>
        <v>2601.7945688057835</v>
      </c>
      <c r="J235" s="145">
        <f t="shared" si="135"/>
        <v>2652.2693834406155</v>
      </c>
      <c r="K235" s="145">
        <f t="shared" si="135"/>
        <v>2703.7234094793635</v>
      </c>
      <c r="L235" s="145">
        <f t="shared" si="135"/>
        <v>2756.1756436232636</v>
      </c>
      <c r="M235" s="145">
        <f t="shared" si="135"/>
        <v>2809.6454511095544</v>
      </c>
      <c r="N235" s="145">
        <f t="shared" si="135"/>
        <v>2864.1525728610795</v>
      </c>
      <c r="O235" s="145">
        <f t="shared" si="135"/>
        <v>2919.7171327745846</v>
      </c>
      <c r="P235" s="145">
        <f t="shared" si="135"/>
        <v>2976.3596451504118</v>
      </c>
      <c r="Q235" s="145">
        <f t="shared" si="135"/>
        <v>3034.1010222663294</v>
      </c>
      <c r="R235" s="145">
        <f t="shared" si="135"/>
        <v>3092.9625820982965</v>
      </c>
      <c r="S235" s="145">
        <f t="shared" si="135"/>
        <v>3152.9660561910032</v>
      </c>
      <c r="T235" s="145">
        <f t="shared" si="135"/>
        <v>3214.1335976811083</v>
      </c>
      <c r="U235" s="145">
        <f t="shared" si="135"/>
        <v>3276.4877894761221</v>
      </c>
      <c r="V235" s="145">
        <f t="shared" si="135"/>
        <v>3340.0516525919588</v>
      </c>
      <c r="W235" s="145">
        <f t="shared" si="135"/>
        <v>3404.8486546522422</v>
      </c>
      <c r="X235" s="145">
        <f t="shared" si="135"/>
        <v>3470.9027185524956</v>
      </c>
      <c r="Y235" s="145">
        <f t="shared" si="135"/>
        <v>3538.2382312924137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0</v>
      </c>
      <c r="G236" s="145">
        <f t="shared" si="136"/>
        <v>0</v>
      </c>
      <c r="H236" s="145">
        <f t="shared" si="136"/>
        <v>2552.2803303960991</v>
      </c>
      <c r="I236" s="145">
        <f t="shared" si="136"/>
        <v>2601.7945688057835</v>
      </c>
      <c r="J236" s="145">
        <f t="shared" si="136"/>
        <v>2652.2693834406155</v>
      </c>
      <c r="K236" s="145">
        <f t="shared" si="136"/>
        <v>2703.7234094793635</v>
      </c>
      <c r="L236" s="145">
        <f t="shared" si="136"/>
        <v>2756.1756436232636</v>
      </c>
      <c r="M236" s="145">
        <f t="shared" si="136"/>
        <v>2809.6454511095544</v>
      </c>
      <c r="N236" s="145">
        <f t="shared" si="136"/>
        <v>2864.1525728610795</v>
      </c>
      <c r="O236" s="145">
        <f t="shared" si="136"/>
        <v>2919.7171327745846</v>
      </c>
      <c r="P236" s="145">
        <f t="shared" si="136"/>
        <v>2976.3596451504118</v>
      </c>
      <c r="Q236" s="145">
        <f t="shared" si="136"/>
        <v>3034.1010222663294</v>
      </c>
      <c r="R236" s="145">
        <f t="shared" si="136"/>
        <v>3092.9625820982965</v>
      </c>
      <c r="S236" s="145">
        <f t="shared" si="136"/>
        <v>3152.9660561910032</v>
      </c>
      <c r="T236" s="145">
        <f t="shared" si="136"/>
        <v>3214.1335976811083</v>
      </c>
      <c r="U236" s="145">
        <f t="shared" si="136"/>
        <v>3276.4877894761221</v>
      </c>
      <c r="V236" s="145">
        <f t="shared" si="136"/>
        <v>3340.0516525919588</v>
      </c>
      <c r="W236" s="145">
        <f t="shared" si="136"/>
        <v>3404.8486546522422</v>
      </c>
      <c r="X236" s="145">
        <f t="shared" si="136"/>
        <v>3470.9027185524956</v>
      </c>
      <c r="Y236" s="145">
        <f t="shared" si="136"/>
        <v>3538.2382312924137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4</v>
      </c>
      <c r="C238" s="80"/>
      <c r="D238" s="194" t="str">
        <f>"Recommended Case: "&amp;+D221</f>
        <v>Recommended Case: Option 1: Animal Proofing + 2yrs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10853.157903840001</v>
      </c>
      <c r="H239" s="145">
        <f>G239+VLOOKUP($B$238,$A$178:$Y$183,8)</f>
        <v>10853.157903840001</v>
      </c>
      <c r="I239" s="145">
        <f>H239+VLOOKUP($B$238,$A$178:$Y$183,9)</f>
        <v>10853.157903840001</v>
      </c>
      <c r="J239" s="145">
        <f>I239+VLOOKUP($B$238,$A$178:$Y$183,10)</f>
        <v>10853.157903840001</v>
      </c>
      <c r="K239" s="145">
        <f>J239+VLOOKUP($B$238,$A$178:$Y$183,11)</f>
        <v>10853.157903840001</v>
      </c>
      <c r="L239" s="145">
        <f>K239+VLOOKUP($B$238,$A$178:$Y$183,12)</f>
        <v>10853.157903840001</v>
      </c>
      <c r="M239" s="145">
        <f>L239+VLOOKUP($B$238,$A$178:$Y$183,13)</f>
        <v>10853.157903840001</v>
      </c>
      <c r="N239" s="145">
        <f>M239+VLOOKUP($B$238,$A$178:$Y$183,14)</f>
        <v>10853.157903840001</v>
      </c>
      <c r="O239" s="145">
        <f>N239+VLOOKUP($B$238,$A$178:$Y$183,15)</f>
        <v>10853.157903840001</v>
      </c>
      <c r="P239" s="145">
        <f>O239+VLOOKUP($B$238,$A$178:$Y$183,16)</f>
        <v>10853.157903840001</v>
      </c>
      <c r="Q239" s="145">
        <f>P239+VLOOKUP($B$238,$A$178:$Y$183,17)</f>
        <v>10853.157903840001</v>
      </c>
      <c r="R239" s="145">
        <f>Q239+VLOOKUP($B$238,$A$178:$Y$183,18)</f>
        <v>10853.157903840001</v>
      </c>
      <c r="S239" s="145">
        <f>R239+VLOOKUP($B$238,$A$178:$Y$183,19)</f>
        <v>10853.157903840001</v>
      </c>
      <c r="T239" s="145">
        <f>S239+VLOOKUP($B$238,$A$178:$Y$183,20)</f>
        <v>10853.157903840001</v>
      </c>
      <c r="U239" s="145">
        <f>T239+VLOOKUP($B$238,$A$178:$Y$183,21)</f>
        <v>10853.157903840001</v>
      </c>
      <c r="V239" s="145">
        <f>U239+VLOOKUP($B$238,$A$178:$Y$183,22)</f>
        <v>10853.157903840001</v>
      </c>
      <c r="W239" s="145">
        <f>V239+VLOOKUP($B$238,$A$178:$Y$183,23)</f>
        <v>10853.157903840001</v>
      </c>
      <c r="X239" s="145">
        <f>W239+VLOOKUP($B$238,$A$178:$Y$183,24)</f>
        <v>10853.157903840001</v>
      </c>
      <c r="Y239" s="145">
        <f>X239+VLOOKUP($B$238,$A$178:$Y$183,25)</f>
        <v>10853.157903840001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940.96879026292811</v>
      </c>
      <c r="H240" s="145">
        <f>H239*'Administrator Input'!$F$22</f>
        <v>940.96879026292811</v>
      </c>
      <c r="I240" s="145">
        <f>I239*'Administrator Input'!$F$22</f>
        <v>940.96879026292811</v>
      </c>
      <c r="J240" s="145">
        <f>J239*'Administrator Input'!$F$22</f>
        <v>940.96879026292811</v>
      </c>
      <c r="K240" s="145">
        <f>K239*'Administrator Input'!$F$22</f>
        <v>940.96879026292811</v>
      </c>
      <c r="L240" s="145">
        <f>L239*'Administrator Input'!$F$22</f>
        <v>940.96879026292811</v>
      </c>
      <c r="M240" s="145">
        <f>M239*'Administrator Input'!$F$22</f>
        <v>940.96879026292811</v>
      </c>
      <c r="N240" s="145">
        <f>N239*'Administrator Input'!$F$22</f>
        <v>940.96879026292811</v>
      </c>
      <c r="O240" s="145">
        <f>O239*'Administrator Input'!$F$22</f>
        <v>940.96879026292811</v>
      </c>
      <c r="P240" s="145">
        <f>P239*'Administrator Input'!$F$22</f>
        <v>940.96879026292811</v>
      </c>
      <c r="Q240" s="145">
        <f>Q239*'Administrator Input'!$F$22</f>
        <v>940.96879026292811</v>
      </c>
      <c r="R240" s="145">
        <f>R239*'Administrator Input'!$F$22</f>
        <v>940.96879026292811</v>
      </c>
      <c r="S240" s="145">
        <f>S239*'Administrator Input'!$F$22</f>
        <v>940.96879026292811</v>
      </c>
      <c r="T240" s="145">
        <f>T239*'Administrator Input'!$F$22</f>
        <v>940.96879026292811</v>
      </c>
      <c r="U240" s="145">
        <f>U239*'Administrator Input'!$F$22</f>
        <v>940.96879026292811</v>
      </c>
      <c r="V240" s="145">
        <f>V239*'Administrator Input'!$F$22</f>
        <v>940.96879026292811</v>
      </c>
      <c r="W240" s="145">
        <f>W239*'Administrator Input'!$F$22</f>
        <v>940.96879026292811</v>
      </c>
      <c r="X240" s="145">
        <f>X239*'Administrator Input'!$F$22</f>
        <v>940.96879026292811</v>
      </c>
      <c r="Y240" s="145">
        <f>Y239*'Administrator Input'!$F$22</f>
        <v>940.96879026292811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940.96879026292811</v>
      </c>
      <c r="H242" s="145">
        <f t="shared" si="137"/>
        <v>940.96879026292811</v>
      </c>
      <c r="I242" s="145">
        <f t="shared" si="137"/>
        <v>940.96879026292811</v>
      </c>
      <c r="J242" s="145">
        <f t="shared" si="137"/>
        <v>940.96879026292811</v>
      </c>
      <c r="K242" s="145">
        <f t="shared" si="137"/>
        <v>940.96879026292811</v>
      </c>
      <c r="L242" s="145">
        <f t="shared" si="137"/>
        <v>940.96879026292811</v>
      </c>
      <c r="M242" s="145">
        <f t="shared" si="137"/>
        <v>940.96879026292811</v>
      </c>
      <c r="N242" s="145">
        <f t="shared" si="137"/>
        <v>940.96879026292811</v>
      </c>
      <c r="O242" s="145">
        <f t="shared" si="137"/>
        <v>940.96879026292811</v>
      </c>
      <c r="P242" s="145">
        <f t="shared" si="137"/>
        <v>940.96879026292811</v>
      </c>
      <c r="Q242" s="145">
        <f t="shared" si="137"/>
        <v>940.96879026292811</v>
      </c>
      <c r="R242" s="145">
        <f t="shared" si="137"/>
        <v>940.96879026292811</v>
      </c>
      <c r="S242" s="145">
        <f t="shared" si="137"/>
        <v>940.96879026292811</v>
      </c>
      <c r="T242" s="145">
        <f t="shared" si="137"/>
        <v>940.96879026292811</v>
      </c>
      <c r="U242" s="145">
        <f t="shared" si="137"/>
        <v>940.96879026292811</v>
      </c>
      <c r="V242" s="145">
        <f t="shared" si="137"/>
        <v>940.96879026292811</v>
      </c>
      <c r="W242" s="145">
        <f t="shared" si="137"/>
        <v>940.96879026292811</v>
      </c>
      <c r="X242" s="145">
        <f t="shared" si="137"/>
        <v>940.96879026292811</v>
      </c>
      <c r="Y242" s="145">
        <f t="shared" si="137"/>
        <v>940.96879026292811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topLeftCell="A121" zoomScaleNormal="85" workbookViewId="0">
      <selection activeCell="G93" sqref="G93"/>
    </sheetView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2" t="s">
        <v>0</v>
      </c>
      <c r="E4" s="592" t="str">
        <f>'User Input'!E4</f>
        <v>Animal Proofing 2016-20</v>
      </c>
      <c r="F4" s="593"/>
      <c r="G4" s="469"/>
      <c r="H4" s="594" t="s">
        <v>28</v>
      </c>
      <c r="I4" s="595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9"/>
      <c r="E5" s="499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2" t="s">
        <v>24</v>
      </c>
      <c r="E6" s="596">
        <f>'User Input'!E6</f>
        <v>2016</v>
      </c>
      <c r="F6" s="469"/>
      <c r="G6" s="469"/>
      <c r="H6" s="597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9"/>
      <c r="E7" s="499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2" t="s">
        <v>25</v>
      </c>
      <c r="E8" s="598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9" t="str">
        <f>"*"&amp;IF('Administrator Input'!D6=1,'Administrator Input'!C88,IF('Administrator Input'!D6=2,'Administrator Input'!C89))</f>
        <v>*Business WACC (Pre-tax Nominal WACC)</v>
      </c>
      <c r="E9" s="499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9"/>
      <c r="E10" s="499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2" t="s">
        <v>23</v>
      </c>
      <c r="E11" s="593" t="str">
        <f>VLOOKUP('User Input'!E8,'Administrator Input'!C92:D96,2)</f>
        <v>Discretionary (asset replacement or refurbushment)</v>
      </c>
      <c r="F11" s="593"/>
      <c r="G11" s="593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9"/>
      <c r="E12" s="469"/>
      <c r="F12" s="600"/>
      <c r="G12" s="469"/>
      <c r="H12" s="499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2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9"/>
      <c r="E14" s="469"/>
      <c r="F14" s="600"/>
      <c r="G14" s="601" t="s">
        <v>241</v>
      </c>
      <c r="H14" s="499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3" t="str">
        <f>IF('User Input'!I8=1,"Customer Initiated",0)</f>
        <v>Customer Initiated</v>
      </c>
      <c r="E15" s="604">
        <f>IF('User Input'!$I$6=Output!D15,100%,0)</f>
        <v>0</v>
      </c>
      <c r="F15" s="600"/>
      <c r="G15" s="607"/>
      <c r="H15" s="608"/>
      <c r="I15" s="604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3" t="str">
        <f>IF('User Input'!I8=1,"Demand (Reinforcement)",0)</f>
        <v>Demand (Reinforcement)</v>
      </c>
      <c r="E16" s="604">
        <f>IF('User Input'!$I$6=Output!D16,100%,0)</f>
        <v>0</v>
      </c>
      <c r="F16" s="469"/>
      <c r="G16" s="607"/>
      <c r="H16" s="609"/>
      <c r="I16" s="604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3" t="str">
        <f>IF('User Input'!I8=1,"Reliability &amp; Power Quality Maintained",0)</f>
        <v>Reliability &amp; Power Quality Maintained</v>
      </c>
      <c r="E17" s="604">
        <f>IF('User Input'!$I$6=Output!D17,100%,0)</f>
        <v>1</v>
      </c>
      <c r="F17" s="469"/>
      <c r="G17" s="607"/>
      <c r="H17" s="609"/>
      <c r="I17" s="604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3" t="str">
        <f>IF('User Input'!I8=1,"Reliability &amp; Power Quality Improved",0)</f>
        <v>Reliability &amp; Power Quality Improved</v>
      </c>
      <c r="E18" s="604">
        <f>IF('User Input'!$I$6=Output!D18,100%,0)</f>
        <v>0</v>
      </c>
      <c r="F18" s="469"/>
      <c r="G18" s="607"/>
      <c r="H18" s="609"/>
      <c r="I18" s="604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3" t="str">
        <f>IF('User Input'!I8=1,"SCADA &amp; Network Control",0)</f>
        <v>SCADA &amp; Network Control</v>
      </c>
      <c r="E19" s="604">
        <f>IF('User Input'!$I$6=Output!D19,100%,0)</f>
        <v>0</v>
      </c>
      <c r="F19" s="469"/>
      <c r="G19" s="607"/>
      <c r="H19" s="609"/>
      <c r="I19" s="604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3" t="str">
        <f>IF('User Input'!I8=1,"Environmental, Safety &amp; Legal",0)</f>
        <v>Environmental, Safety &amp; Legal</v>
      </c>
      <c r="E20" s="604">
        <f>IF('User Input'!$I$6=Output!D20,100%,0)</f>
        <v>0</v>
      </c>
      <c r="F20" s="469"/>
      <c r="G20" s="607"/>
      <c r="H20" s="609"/>
      <c r="I20" s="604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3" t="str">
        <f>IF('User Input'!I8=1,"Non-Network IT",0)</f>
        <v>Non-Network IT</v>
      </c>
      <c r="E21" s="604">
        <f>IF('User Input'!$I$6=Output!D21,100%,0)</f>
        <v>0</v>
      </c>
      <c r="F21" s="469"/>
      <c r="G21" s="607"/>
      <c r="H21" s="609"/>
      <c r="I21" s="604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3" t="str">
        <f>IF('User Input'!I8=1,"Non-Network general other",0)</f>
        <v>Non-Network general other</v>
      </c>
      <c r="E22" s="604">
        <f>IF('User Input'!$I$6=Output!D22,100%,0)</f>
        <v>0</v>
      </c>
      <c r="F22" s="469"/>
      <c r="G22" s="607"/>
      <c r="H22" s="609"/>
      <c r="I22" s="604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3" t="s">
        <v>35</v>
      </c>
      <c r="E23" s="604">
        <f>IF('User Input'!$I$6=Output!D23,100%,0)</f>
        <v>0</v>
      </c>
      <c r="F23" s="469"/>
      <c r="G23" s="607"/>
      <c r="H23" s="609"/>
      <c r="I23" s="604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10"/>
      <c r="E25" s="610"/>
      <c r="F25" s="610"/>
      <c r="G25" s="610"/>
      <c r="H25" s="610"/>
      <c r="I25" s="610"/>
      <c r="J25" s="610"/>
      <c r="K25" s="610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2" t="s">
        <v>26</v>
      </c>
      <c r="D27" s="593"/>
      <c r="E27" s="593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3" t="s">
        <v>22</v>
      </c>
      <c r="E29" s="611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3" t="s">
        <v>21</v>
      </c>
      <c r="E30" s="612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2" t="s">
        <v>74</v>
      </c>
      <c r="D32" s="593"/>
      <c r="E32" s="593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3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2" t="s">
        <v>81</v>
      </c>
      <c r="E35" s="592" t="str">
        <f>Calculations!D222</f>
        <v>Option 1: Animal Proofing</v>
      </c>
      <c r="F35" s="593"/>
      <c r="G35" s="593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4" t="s">
        <v>106</v>
      </c>
      <c r="E36" s="615">
        <f>Calculations!D221</f>
        <v>9797.196650409498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9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47.25" x14ac:dyDescent="0.25">
      <c r="A39" s="434"/>
      <c r="B39" s="440"/>
      <c r="C39" s="469"/>
      <c r="D39" s="620" t="s">
        <v>75</v>
      </c>
      <c r="E39" s="619" t="str">
        <f>'User Input'!D24</f>
        <v>"Status Quo" Reference Case</v>
      </c>
      <c r="F39" s="619" t="str">
        <f>'User Input'!D16&amp;" "&amp;'User Input'!E16</f>
        <v>Option 1 Animal Proofing</v>
      </c>
      <c r="G39" s="619" t="str">
        <f>'User Input'!D17&amp;" "&amp;'User Input'!E17</f>
        <v xml:space="preserve">Option 2 </v>
      </c>
      <c r="H39" s="619" t="str">
        <f>'User Input'!D18&amp;" "&amp;'User Input'!E18</f>
        <v xml:space="preserve">Option 3 </v>
      </c>
      <c r="I39" s="619" t="str">
        <f>'User Input'!D19&amp;" "&amp;'User Input'!E19</f>
        <v xml:space="preserve">Option 4 </v>
      </c>
      <c r="J39" s="619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3" t="str">
        <f>Calculations!C14</f>
        <v>Capital Costs</v>
      </c>
      <c r="E40" s="621">
        <f>Calculations!D206</f>
        <v>0</v>
      </c>
      <c r="F40" s="621">
        <f>Calculations!E206</f>
        <v>10646.613600000001</v>
      </c>
      <c r="G40" s="621">
        <f>Calculations!F206</f>
        <v>0</v>
      </c>
      <c r="H40" s="621">
        <f>Calculations!G206</f>
        <v>0</v>
      </c>
      <c r="I40" s="621">
        <f>Calculations!H206</f>
        <v>0</v>
      </c>
      <c r="J40" s="621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3" t="str">
        <f>Calculations!C15</f>
        <v>Maintenance Costs</v>
      </c>
      <c r="E41" s="621">
        <f>Calculations!D207</f>
        <v>0</v>
      </c>
      <c r="F41" s="621">
        <f>Calculations!E207</f>
        <v>0</v>
      </c>
      <c r="G41" s="621">
        <f>Calculations!F207</f>
        <v>0</v>
      </c>
      <c r="H41" s="621">
        <f>Calculations!G207</f>
        <v>0</v>
      </c>
      <c r="I41" s="621">
        <f>Calculations!H207</f>
        <v>0</v>
      </c>
      <c r="J41" s="621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3" t="str">
        <f>Calculations!C16</f>
        <v>Negative Impact on Revenue (STPIS)</v>
      </c>
      <c r="E42" s="621">
        <f>Calculations!D208</f>
        <v>55415.410165026107</v>
      </c>
      <c r="F42" s="621">
        <f>Calculations!E208</f>
        <v>0</v>
      </c>
      <c r="G42" s="621">
        <f>Calculations!F208</f>
        <v>0</v>
      </c>
      <c r="H42" s="621">
        <f>Calculations!G208</f>
        <v>0</v>
      </c>
      <c r="I42" s="621">
        <f>Calculations!H208</f>
        <v>0</v>
      </c>
      <c r="J42" s="621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3" t="str">
        <f>Calculations!C21</f>
        <v>Network Outage Costs</v>
      </c>
      <c r="E43" s="621">
        <f>Calculations!D209</f>
        <v>0</v>
      </c>
      <c r="F43" s="621">
        <f>Calculations!E209</f>
        <v>0</v>
      </c>
      <c r="G43" s="621">
        <f>Calculations!F209</f>
        <v>0</v>
      </c>
      <c r="H43" s="621">
        <f>Calculations!G209</f>
        <v>0</v>
      </c>
      <c r="I43" s="621">
        <f>Calculations!H209</f>
        <v>0</v>
      </c>
      <c r="J43" s="621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3" t="str">
        <f>Calculations!C22</f>
        <v>Loss of F Factor Benefit</v>
      </c>
      <c r="E44" s="621">
        <f>Calculations!D210</f>
        <v>0</v>
      </c>
      <c r="F44" s="621">
        <f>Calculations!E210</f>
        <v>0</v>
      </c>
      <c r="G44" s="621">
        <f>Calculations!F210</f>
        <v>0</v>
      </c>
      <c r="H44" s="621">
        <f>Calculations!G210</f>
        <v>0</v>
      </c>
      <c r="I44" s="621">
        <f>Calculations!H210</f>
        <v>0</v>
      </c>
      <c r="J44" s="621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3" t="str">
        <f>Calculations!C23</f>
        <v>Cost 1</v>
      </c>
      <c r="E45" s="621">
        <f>Calculations!D211</f>
        <v>0</v>
      </c>
      <c r="F45" s="621">
        <f>Calculations!E211</f>
        <v>0</v>
      </c>
      <c r="G45" s="621">
        <f>Calculations!F211</f>
        <v>0</v>
      </c>
      <c r="H45" s="621">
        <f>Calculations!G211</f>
        <v>0</v>
      </c>
      <c r="I45" s="621">
        <f>Calculations!H211</f>
        <v>0</v>
      </c>
      <c r="J45" s="621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3" t="str">
        <f>Calculations!C24</f>
        <v>Cost 2</v>
      </c>
      <c r="E46" s="621">
        <f>Calculations!D212</f>
        <v>0</v>
      </c>
      <c r="F46" s="621">
        <f>Calculations!E212</f>
        <v>0</v>
      </c>
      <c r="G46" s="621">
        <f>Calculations!F212</f>
        <v>0</v>
      </c>
      <c r="H46" s="621">
        <f>Calculations!G212</f>
        <v>0</v>
      </c>
      <c r="I46" s="621">
        <f>Calculations!H212</f>
        <v>0</v>
      </c>
      <c r="J46" s="621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3" t="str">
        <f>Calculations!C25</f>
        <v>Cost 3</v>
      </c>
      <c r="E47" s="621">
        <f>Calculations!D213</f>
        <v>0</v>
      </c>
      <c r="F47" s="621">
        <f>Calculations!E213</f>
        <v>0</v>
      </c>
      <c r="G47" s="621">
        <f>Calculations!F213</f>
        <v>0</v>
      </c>
      <c r="H47" s="621">
        <f>Calculations!G213</f>
        <v>0</v>
      </c>
      <c r="I47" s="621">
        <f>Calculations!H213</f>
        <v>0</v>
      </c>
      <c r="J47" s="621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3" t="str">
        <f>Calculations!C26</f>
        <v>Cost 4</v>
      </c>
      <c r="E48" s="621">
        <f>Calculations!D214</f>
        <v>0</v>
      </c>
      <c r="F48" s="621">
        <f>Calculations!E214</f>
        <v>0</v>
      </c>
      <c r="G48" s="621">
        <f>Calculations!F214</f>
        <v>0</v>
      </c>
      <c r="H48" s="621">
        <f>Calculations!G214</f>
        <v>0</v>
      </c>
      <c r="I48" s="621">
        <f>Calculations!H214</f>
        <v>0</v>
      </c>
      <c r="J48" s="621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3" t="str">
        <f>Calculations!C27</f>
        <v>Cost 5</v>
      </c>
      <c r="E49" s="621">
        <f>Calculations!D215</f>
        <v>0</v>
      </c>
      <c r="F49" s="621">
        <f>Calculations!E215</f>
        <v>0</v>
      </c>
      <c r="G49" s="621">
        <f>Calculations!F215</f>
        <v>0</v>
      </c>
      <c r="H49" s="621">
        <f>Calculations!G215</f>
        <v>0</v>
      </c>
      <c r="I49" s="621">
        <f>Calculations!H215</f>
        <v>0</v>
      </c>
      <c r="J49" s="621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8" t="s">
        <v>293</v>
      </c>
      <c r="E50" s="622">
        <f>Calculations!D216</f>
        <v>0</v>
      </c>
      <c r="F50" s="622">
        <f>Calculations!E216</f>
        <v>0</v>
      </c>
      <c r="G50" s="622">
        <f>Calculations!F216</f>
        <v>0</v>
      </c>
      <c r="H50" s="622">
        <f>Calculations!G216</f>
        <v>0</v>
      </c>
      <c r="I50" s="622">
        <f>Calculations!H216</f>
        <v>0</v>
      </c>
      <c r="J50" s="622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7" t="str">
        <f>Calculations!C33</f>
        <v>Total Costs</v>
      </c>
      <c r="E51" s="623">
        <f>Calculations!D217</f>
        <v>55415.410165026107</v>
      </c>
      <c r="F51" s="623">
        <f>Calculations!E217</f>
        <v>10646.613600000001</v>
      </c>
      <c r="G51" s="623">
        <f>Calculations!F217</f>
        <v>0</v>
      </c>
      <c r="H51" s="623">
        <f>Calculations!G217</f>
        <v>0</v>
      </c>
      <c r="I51" s="623">
        <f>Calculations!H217</f>
        <v>0</v>
      </c>
      <c r="J51" s="623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3" t="s">
        <v>84</v>
      </c>
      <c r="E53" s="633">
        <f>Calculations!D219</f>
        <v>20593.696270662516</v>
      </c>
      <c r="F53" s="633">
        <f>Calculations!E219</f>
        <v>9797.196650409498</v>
      </c>
      <c r="G53" s="633" t="str">
        <f>Calculations!F219</f>
        <v xml:space="preserve"> </v>
      </c>
      <c r="H53" s="633" t="str">
        <f>Calculations!G219</f>
        <v xml:space="preserve"> </v>
      </c>
      <c r="I53" s="633" t="str">
        <f>Calculations!H219</f>
        <v xml:space="preserve"> </v>
      </c>
      <c r="J53" s="633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6" t="s">
        <v>126</v>
      </c>
      <c r="E54" s="634">
        <f t="shared" ref="E54:J54" si="0">IF(E53=" "," ",RANK(E53,$E$53:$J$53,1))</f>
        <v>2</v>
      </c>
      <c r="F54" s="634">
        <f t="shared" si="0"/>
        <v>1</v>
      </c>
      <c r="G54" s="634" t="str">
        <f t="shared" si="0"/>
        <v xml:space="preserve"> </v>
      </c>
      <c r="H54" s="634" t="str">
        <f t="shared" si="0"/>
        <v xml:space="preserve"> </v>
      </c>
      <c r="I54" s="634" t="str">
        <f t="shared" si="0"/>
        <v xml:space="preserve"> </v>
      </c>
      <c r="J54" s="634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8"/>
      <c r="G55" s="688"/>
      <c r="H55" s="688"/>
      <c r="I55" s="688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40" t="s">
        <v>235</v>
      </c>
      <c r="E56" s="605"/>
      <c r="F56" s="630"/>
      <c r="G56" s="606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1" t="str">
        <f>'User Input'!D53</f>
        <v>Option 1: Animal Proofing</v>
      </c>
      <c r="E57" s="627"/>
      <c r="F57" s="628"/>
      <c r="G57" s="629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1" t="str">
        <f>'User Input'!D82</f>
        <v xml:space="preserve">Option 2: </v>
      </c>
      <c r="E58" s="624"/>
      <c r="F58" s="625"/>
      <c r="G58" s="626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1" t="str">
        <f>'User Input'!D111</f>
        <v xml:space="preserve">Option 3: </v>
      </c>
      <c r="E59" s="624"/>
      <c r="F59" s="625"/>
      <c r="G59" s="626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1" t="str">
        <f>'User Input'!D140</f>
        <v xml:space="preserve">Option 4: </v>
      </c>
      <c r="E60" s="624"/>
      <c r="F60" s="625"/>
      <c r="G60" s="626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1" t="str">
        <f>'User Input'!D169</f>
        <v xml:space="preserve">Option 5: </v>
      </c>
      <c r="E61" s="624"/>
      <c r="F61" s="625"/>
      <c r="G61" s="626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2" t="str">
        <f>"Timing Analysis - "&amp;+E4</f>
        <v>Timing Analysis - Animal Proofing 2016-20</v>
      </c>
      <c r="E63" s="593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hidden="1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9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9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9" t="s">
        <v>93</v>
      </c>
      <c r="E86" s="469"/>
      <c r="F86" s="631">
        <f>Calculations!D198</f>
        <v>10796.499620253024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9" t="s">
        <v>233</v>
      </c>
      <c r="E87" s="469"/>
      <c r="F87" s="631">
        <f>E53/E36</f>
        <v>2.1019988681968278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9" t="s">
        <v>86</v>
      </c>
      <c r="E88" s="469"/>
      <c r="F88" s="632">
        <f>Calculations!D199</f>
        <v>0.18211678040836277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9" t="s">
        <v>31</v>
      </c>
      <c r="E89" s="469"/>
      <c r="F89" s="631">
        <f>Calculations!D200</f>
        <v>9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2" t="s">
        <v>198</v>
      </c>
      <c r="D93" s="593"/>
      <c r="E93" s="593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47.25" x14ac:dyDescent="0.25">
      <c r="A95" s="434"/>
      <c r="B95" s="440"/>
      <c r="C95" s="469"/>
      <c r="D95" s="620" t="s">
        <v>75</v>
      </c>
      <c r="E95" s="619" t="str">
        <f t="shared" ref="E95:J95" si="1">E39</f>
        <v>"Status Quo" Reference Case</v>
      </c>
      <c r="F95" s="619" t="str">
        <f t="shared" si="1"/>
        <v>Option 1 Animal Proofing</v>
      </c>
      <c r="G95" s="619" t="str">
        <f t="shared" si="1"/>
        <v xml:space="preserve">Option 2 </v>
      </c>
      <c r="H95" s="619" t="str">
        <f t="shared" si="1"/>
        <v xml:space="preserve">Option 3 </v>
      </c>
      <c r="I95" s="619" t="str">
        <f t="shared" si="1"/>
        <v xml:space="preserve">Option 4 </v>
      </c>
      <c r="J95" s="619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3" t="str">
        <f>'Calc (Sensitivities)'!C193</f>
        <v>Capital Costs</v>
      </c>
      <c r="E96" s="621">
        <f>'Calc (Sensitivities)'!D193</f>
        <v>0</v>
      </c>
      <c r="F96" s="621">
        <f>'Calc (Sensitivities)'!E193</f>
        <v>9581.9522400000005</v>
      </c>
      <c r="G96" s="621">
        <f>'Calc (Sensitivities)'!F193</f>
        <v>0</v>
      </c>
      <c r="H96" s="621">
        <f>'Calc (Sensitivities)'!G193</f>
        <v>0</v>
      </c>
      <c r="I96" s="621">
        <f>'Calc (Sensitivities)'!H193</f>
        <v>0</v>
      </c>
      <c r="J96" s="621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8" t="s">
        <v>115</v>
      </c>
      <c r="E97" s="622">
        <f>SUM('Calc (Sensitivities)'!D195:D203)</f>
        <v>49873.869148523496</v>
      </c>
      <c r="F97" s="622">
        <f>SUM('Calc (Sensitivities)'!E195:E203)</f>
        <v>0</v>
      </c>
      <c r="G97" s="622">
        <f>SUM('Calc (Sensitivities)'!F195:F203)</f>
        <v>0</v>
      </c>
      <c r="H97" s="622">
        <f>SUM('Calc (Sensitivities)'!G195:G203)</f>
        <v>0</v>
      </c>
      <c r="I97" s="622">
        <f>SUM('Calc (Sensitivities)'!H195:H203)</f>
        <v>0</v>
      </c>
      <c r="J97" s="622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9" t="s">
        <v>2</v>
      </c>
      <c r="E98" s="636">
        <f t="shared" ref="E98:J98" si="2">SUM(E96:E97)</f>
        <v>49873.869148523496</v>
      </c>
      <c r="F98" s="636">
        <f t="shared" si="2"/>
        <v>9581.9522400000005</v>
      </c>
      <c r="G98" s="636">
        <f t="shared" si="2"/>
        <v>0</v>
      </c>
      <c r="H98" s="636">
        <f t="shared" si="2"/>
        <v>0</v>
      </c>
      <c r="I98" s="636">
        <f t="shared" si="2"/>
        <v>0</v>
      </c>
      <c r="J98" s="636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2" t="s">
        <v>1</v>
      </c>
      <c r="E100" s="637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9"/>
      <c r="E101" s="638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3" t="s">
        <v>84</v>
      </c>
      <c r="E102" s="635">
        <f>'Calc (Sensitivities)'!D206</f>
        <v>20505.664344006651</v>
      </c>
      <c r="F102" s="635">
        <f>'Calc (Sensitivities)'!E206</f>
        <v>8899.3705210365006</v>
      </c>
      <c r="G102" s="635" t="str">
        <f>'Calc (Sensitivities)'!F206</f>
        <v xml:space="preserve"> </v>
      </c>
      <c r="H102" s="635" t="str">
        <f>'Calc (Sensitivities)'!G206</f>
        <v xml:space="preserve"> </v>
      </c>
      <c r="I102" s="635" t="str">
        <f>'Calc (Sensitivities)'!H206</f>
        <v xml:space="preserve"> </v>
      </c>
      <c r="J102" s="635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6" t="s">
        <v>126</v>
      </c>
      <c r="E103" s="634">
        <f t="shared" ref="E103:J103" si="3">IF(E102=" "," ",RANK(E102,$E$102:$J$102,1))</f>
        <v>2</v>
      </c>
      <c r="F103" s="634">
        <f t="shared" si="3"/>
        <v>1</v>
      </c>
      <c r="G103" s="634" t="str">
        <f t="shared" si="3"/>
        <v xml:space="preserve"> </v>
      </c>
      <c r="H103" s="634" t="str">
        <f t="shared" si="3"/>
        <v xml:space="preserve"> </v>
      </c>
      <c r="I103" s="634" t="str">
        <f t="shared" si="3"/>
        <v xml:space="preserve"> </v>
      </c>
      <c r="J103" s="634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2" t="s">
        <v>202</v>
      </c>
      <c r="D105" s="593"/>
      <c r="E105" s="593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47.25" x14ac:dyDescent="0.25">
      <c r="A107" s="434"/>
      <c r="B107" s="440"/>
      <c r="C107" s="469"/>
      <c r="D107" s="620" t="s">
        <v>75</v>
      </c>
      <c r="E107" s="619" t="str">
        <f t="shared" ref="E107:J107" si="4">E39</f>
        <v>"Status Quo" Reference Case</v>
      </c>
      <c r="F107" s="619" t="str">
        <f t="shared" si="4"/>
        <v>Option 1 Animal Proofing</v>
      </c>
      <c r="G107" s="619" t="str">
        <f t="shared" si="4"/>
        <v xml:space="preserve">Option 2 </v>
      </c>
      <c r="H107" s="619" t="str">
        <f t="shared" si="4"/>
        <v xml:space="preserve">Option 3 </v>
      </c>
      <c r="I107" s="619" t="str">
        <f t="shared" si="4"/>
        <v xml:space="preserve">Option 4 </v>
      </c>
      <c r="J107" s="619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3" t="str">
        <f>'Calc (Sensitivities)'!C253</f>
        <v>Capital Costs</v>
      </c>
      <c r="E108" s="621">
        <f>'Calc (Sensitivities)'!D419</f>
        <v>0</v>
      </c>
      <c r="F108" s="621">
        <f>'Calc (Sensitivities)'!E419</f>
        <v>11711.274960000002</v>
      </c>
      <c r="G108" s="621">
        <f>'Calc (Sensitivities)'!F419</f>
        <v>0</v>
      </c>
      <c r="H108" s="621">
        <f>'Calc (Sensitivities)'!G419</f>
        <v>0</v>
      </c>
      <c r="I108" s="621">
        <f>'Calc (Sensitivities)'!H419</f>
        <v>0</v>
      </c>
      <c r="J108" s="621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8" t="s">
        <v>115</v>
      </c>
      <c r="E109" s="622">
        <f>SUM('Calc (Sensitivities)'!D420:D429)</f>
        <v>49873.869148523496</v>
      </c>
      <c r="F109" s="622">
        <f>SUM('Calc (Sensitivities)'!E420:E429)</f>
        <v>0</v>
      </c>
      <c r="G109" s="622">
        <f>SUM('Calc (Sensitivities)'!F420:F429)</f>
        <v>0</v>
      </c>
      <c r="H109" s="622">
        <f>SUM('Calc (Sensitivities)'!G420:G429)</f>
        <v>0</v>
      </c>
      <c r="I109" s="622">
        <f>SUM('Calc (Sensitivities)'!H420:H429)</f>
        <v>0</v>
      </c>
      <c r="J109" s="622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9" t="s">
        <v>2</v>
      </c>
      <c r="E110" s="636">
        <f t="shared" ref="E110:J110" si="5">SUM(E108:E109)</f>
        <v>49873.869148523496</v>
      </c>
      <c r="F110" s="636">
        <f t="shared" si="5"/>
        <v>11711.274960000002</v>
      </c>
      <c r="G110" s="636">
        <f t="shared" si="5"/>
        <v>0</v>
      </c>
      <c r="H110" s="636">
        <f t="shared" si="5"/>
        <v>0</v>
      </c>
      <c r="I110" s="636">
        <f t="shared" si="5"/>
        <v>0</v>
      </c>
      <c r="J110" s="636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2" t="s">
        <v>1</v>
      </c>
      <c r="E112" s="637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9"/>
      <c r="E113" s="638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3" t="s">
        <v>84</v>
      </c>
      <c r="E114" s="635">
        <f>'Calc (Sensitivities)'!D432</f>
        <v>18428.621354063915</v>
      </c>
      <c r="F114" s="635">
        <f>'Calc (Sensitivities)'!E432</f>
        <v>11711.274960000002</v>
      </c>
      <c r="G114" s="635" t="str">
        <f>'Calc (Sensitivities)'!F432</f>
        <v xml:space="preserve"> </v>
      </c>
      <c r="H114" s="635" t="str">
        <f>'Calc (Sensitivities)'!G432</f>
        <v xml:space="preserve"> </v>
      </c>
      <c r="I114" s="635" t="str">
        <f>'Calc (Sensitivities)'!H432</f>
        <v xml:space="preserve"> </v>
      </c>
      <c r="J114" s="635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6" t="s">
        <v>126</v>
      </c>
      <c r="E115" s="634">
        <f t="shared" ref="E115:J115" si="6">IF(E114=" "," ",RANK(E114,$E$114:$J$114,1))</f>
        <v>2</v>
      </c>
      <c r="F115" s="634">
        <f t="shared" si="6"/>
        <v>1</v>
      </c>
      <c r="G115" s="634" t="str">
        <f t="shared" si="6"/>
        <v xml:space="preserve"> </v>
      </c>
      <c r="H115" s="634" t="str">
        <f t="shared" si="6"/>
        <v xml:space="preserve"> </v>
      </c>
      <c r="I115" s="634" t="str">
        <f t="shared" si="6"/>
        <v xml:space="preserve"> </v>
      </c>
      <c r="J115" s="634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10"/>
      <c r="E118" s="610"/>
      <c r="F118" s="610"/>
      <c r="G118" s="610"/>
      <c r="H118" s="610"/>
      <c r="I118" s="610"/>
      <c r="J118" s="610"/>
      <c r="K118" s="610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2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47.25" x14ac:dyDescent="0.25">
      <c r="A122" s="434"/>
      <c r="B122" s="440"/>
      <c r="C122" s="469"/>
      <c r="D122" s="620" t="s">
        <v>75</v>
      </c>
      <c r="E122" s="619" t="str">
        <f t="shared" ref="E122:J122" si="7">E39</f>
        <v>"Status Quo" Reference Case</v>
      </c>
      <c r="F122" s="619" t="str">
        <f t="shared" si="7"/>
        <v>Option 1 Animal Proofing</v>
      </c>
      <c r="G122" s="619" t="str">
        <f t="shared" si="7"/>
        <v xml:space="preserve">Option 2 </v>
      </c>
      <c r="H122" s="619" t="str">
        <f t="shared" si="7"/>
        <v xml:space="preserve">Option 3 </v>
      </c>
      <c r="I122" s="619" t="str">
        <f t="shared" si="7"/>
        <v xml:space="preserve">Option 4 </v>
      </c>
      <c r="J122" s="619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3" t="s">
        <v>93</v>
      </c>
      <c r="E123" s="643">
        <f>'Calculations (RIT-D)'!D10</f>
        <v>0</v>
      </c>
      <c r="F123" s="643" t="str">
        <f>'Calculations (RIT-D)'!D11</f>
        <v xml:space="preserve"> </v>
      </c>
      <c r="G123" s="643" t="str">
        <f>'Calculations (RIT-D)'!D12</f>
        <v xml:space="preserve"> </v>
      </c>
      <c r="H123" s="643" t="str">
        <f>'Calculations (RIT-D)'!D13</f>
        <v xml:space="preserve"> </v>
      </c>
      <c r="I123" s="643" t="str">
        <f>'Calculations (RIT-D)'!D14</f>
        <v xml:space="preserve"> </v>
      </c>
      <c r="J123" s="643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6" t="s">
        <v>126</v>
      </c>
      <c r="E125" s="634">
        <f>'Calculations (RIT-D)'!E10</f>
        <v>1</v>
      </c>
      <c r="F125" s="634" t="str">
        <f>'Calculations (RIT-D)'!E11</f>
        <v xml:space="preserve"> </v>
      </c>
      <c r="G125" s="634" t="str">
        <f>'Calculations (RIT-D)'!E12</f>
        <v xml:space="preserve"> </v>
      </c>
      <c r="H125" s="634" t="str">
        <f>'Calculations (RIT-D)'!E13</f>
        <v xml:space="preserve"> </v>
      </c>
      <c r="I125" s="634" t="str">
        <f>'Calculations (RIT-D)'!E14</f>
        <v xml:space="preserve"> </v>
      </c>
      <c r="J125" s="634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4"/>
      <c r="E126" s="645"/>
      <c r="F126" s="645"/>
      <c r="G126" s="645"/>
      <c r="H126" s="645"/>
      <c r="I126" s="645"/>
      <c r="J126" s="645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6"/>
      <c r="D127" s="646"/>
      <c r="E127" s="646"/>
      <c r="F127" s="646"/>
      <c r="G127" s="646"/>
      <c r="H127" s="646"/>
      <c r="I127" s="646"/>
      <c r="J127" s="646"/>
      <c r="K127" s="646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1" t="str">
        <f>'User Input'!C357</f>
        <v>Version 1.3</v>
      </c>
      <c r="D128" s="459"/>
      <c r="E128" s="648" t="str">
        <f>"Date Issued : "</f>
        <v xml:space="preserve">Date Issued : </v>
      </c>
      <c r="F128" s="649">
        <f>'Version Control'!E3</f>
        <v>41956</v>
      </c>
      <c r="G128" s="648" t="str">
        <f>"Review Date : "</f>
        <v xml:space="preserve">Review Date : </v>
      </c>
      <c r="H128" s="649">
        <f>F128+365</f>
        <v>42321</v>
      </c>
      <c r="I128" s="650"/>
      <c r="J128" s="591"/>
      <c r="K128" s="647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4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YK5s1f5lMbEHlkmRT3CNQtf6jpwmMbrY0poIPFH7e0eDYIthxGDgaA2LLmbrtc4JbZPVV9AX2gMTLVmx3IGXAA==" saltValue="rgX7lYiuC60EgMBjSwVhZw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>
      <selection activeCell="B2" sqref="B2"/>
    </sheetView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3"/>
      <c r="C2" s="668"/>
      <c r="D2" s="438"/>
      <c r="E2" s="438"/>
      <c r="F2" s="438"/>
      <c r="G2" s="438"/>
      <c r="H2" s="438"/>
      <c r="I2" s="438"/>
      <c r="J2" s="438"/>
      <c r="K2" s="438"/>
      <c r="L2" s="664"/>
    </row>
    <row r="3" spans="2:12" ht="18.75" thickBot="1" x14ac:dyDescent="0.3">
      <c r="B3" s="440"/>
      <c r="C3" s="477" t="s">
        <v>258</v>
      </c>
      <c r="D3" s="479"/>
      <c r="E3" s="500" t="str">
        <f>'User Input'!E4</f>
        <v>Animal Proofing 2016-20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2" t="s">
        <v>259</v>
      </c>
      <c r="E5" s="592"/>
      <c r="F5" s="592"/>
      <c r="G5" s="592"/>
      <c r="H5" s="592"/>
      <c r="I5" s="592"/>
      <c r="J5" s="592"/>
      <c r="K5" s="499"/>
      <c r="L5" s="441"/>
    </row>
    <row r="6" spans="2:12" ht="9" customHeight="1" x14ac:dyDescent="0.25">
      <c r="B6" s="440"/>
      <c r="C6" s="469"/>
      <c r="D6" s="499"/>
      <c r="E6" s="469"/>
      <c r="F6" s="469"/>
      <c r="G6" s="469"/>
      <c r="H6" s="469"/>
      <c r="I6" s="469"/>
      <c r="J6" s="469"/>
      <c r="K6" s="469"/>
      <c r="L6" s="441"/>
    </row>
    <row r="7" spans="2:12" ht="31.5" x14ac:dyDescent="0.25">
      <c r="B7" s="440"/>
      <c r="C7" s="469"/>
      <c r="D7" s="620"/>
      <c r="E7" s="619" t="s">
        <v>264</v>
      </c>
      <c r="F7" s="619" t="str">
        <f>"Option 1: 
"&amp;+'User Input'!E16</f>
        <v>Option 1: 
Animal Proofing</v>
      </c>
      <c r="G7" s="619" t="str">
        <f>"Option 2: 
"&amp;+'User Input'!E17</f>
        <v xml:space="preserve">Option 2: 
</v>
      </c>
      <c r="H7" s="619" t="str">
        <f>"Option 3: 
"&amp;+'User Input'!E18</f>
        <v xml:space="preserve">Option 3: 
</v>
      </c>
      <c r="I7" s="619" t="str">
        <f>"Option 4: 
"&amp;+'User Input'!E19</f>
        <v xml:space="preserve">Option 4: 
</v>
      </c>
      <c r="J7" s="619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3" t="s">
        <v>260</v>
      </c>
      <c r="E8" s="671">
        <f>'Present Value'!E9*1000</f>
        <v>0</v>
      </c>
      <c r="F8" s="671">
        <f>'Present Value'!E34*1000</f>
        <v>9797196.6504094973</v>
      </c>
      <c r="G8" s="671">
        <f>'Present Value'!E59*1000</f>
        <v>0</v>
      </c>
      <c r="H8" s="671">
        <f>'Present Value'!E84*1000</f>
        <v>0</v>
      </c>
      <c r="I8" s="671">
        <f>'Present Value'!E109*1000</f>
        <v>0</v>
      </c>
      <c r="J8" s="671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3" t="s">
        <v>261</v>
      </c>
      <c r="E9" s="671">
        <f>SUM('Present Value'!E10,'Present Value'!E16,'Present Value'!E18:E22)*1000</f>
        <v>0</v>
      </c>
      <c r="F9" s="671">
        <f>SUM('Present Value'!E35,'Present Value'!E41,'Present Value'!E43:E47)*1000</f>
        <v>0</v>
      </c>
      <c r="G9" s="671">
        <f>SUM('Present Value'!E60,'Present Value'!E66,'Present Value'!E68:E72)*1000</f>
        <v>0</v>
      </c>
      <c r="H9" s="671">
        <f>SUM('Present Value'!E85,'Present Value'!E91,'Present Value'!E93:E97)*1000</f>
        <v>0</v>
      </c>
      <c r="I9" s="671">
        <f>SUM('Present Value'!E110,'Present Value'!E116,'Present Value'!E118:E122)*1000</f>
        <v>0</v>
      </c>
      <c r="J9" s="671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3" t="s">
        <v>262</v>
      </c>
      <c r="E10" s="671">
        <f>'Present Value'!E11*1000</f>
        <v>20593696.270662528</v>
      </c>
      <c r="F10" s="671">
        <f>'Present Value'!E36*1000</f>
        <v>0</v>
      </c>
      <c r="G10" s="671">
        <f>'Present Value'!E61*1000</f>
        <v>0</v>
      </c>
      <c r="H10" s="671">
        <f>'Present Value'!E86*1000</f>
        <v>0</v>
      </c>
      <c r="I10" s="671">
        <f>'Present Value'!E111*1000</f>
        <v>0</v>
      </c>
      <c r="J10" s="671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3" t="str">
        <f>'Present Value'!D17</f>
        <v>Loss of F Factor Benefit</v>
      </c>
      <c r="E11" s="671">
        <f>'Present Value'!E17*1000</f>
        <v>0</v>
      </c>
      <c r="F11" s="671">
        <f>'Present Value'!E42*1000</f>
        <v>0</v>
      </c>
      <c r="G11" s="671">
        <f>'Present Value'!E67*1000</f>
        <v>0</v>
      </c>
      <c r="H11" s="671">
        <f>'Present Value'!E92*1000</f>
        <v>0</v>
      </c>
      <c r="I11" s="671">
        <f>'Present Value'!E117*1000</f>
        <v>0</v>
      </c>
      <c r="J11" s="671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3" t="s">
        <v>263</v>
      </c>
      <c r="E12" s="671">
        <f>SUM('Present Value'!E23:E27)*1000</f>
        <v>0</v>
      </c>
      <c r="F12" s="671">
        <f>SUM('Present Value'!E48:E52)*1000</f>
        <v>0</v>
      </c>
      <c r="G12" s="671">
        <f>SUM('Present Value'!E73:E77)*1000</f>
        <v>0</v>
      </c>
      <c r="H12" s="671">
        <f>SUM('Present Value'!E98:E102)*1000</f>
        <v>0</v>
      </c>
      <c r="I12" s="671">
        <f>SUM('Present Value'!E123:E127)*1000</f>
        <v>0</v>
      </c>
      <c r="J12" s="671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3" t="s">
        <v>317</v>
      </c>
      <c r="E13" s="671">
        <f>IF(Calculations!D219=" "," ", Calculations!D219*1000)</f>
        <v>20593696.270662516</v>
      </c>
      <c r="F13" s="671">
        <f>IF(Calculations!E219=" "," ", Calculations!E219*1000)</f>
        <v>9797196.6504094973</v>
      </c>
      <c r="G13" s="671" t="str">
        <f>IF(Calculations!F219=" "," ", Calculations!F219*1000)</f>
        <v xml:space="preserve"> </v>
      </c>
      <c r="H13" s="671" t="str">
        <f>IF(Calculations!G219=" "," ", Calculations!G219*1000)</f>
        <v xml:space="preserve"> </v>
      </c>
      <c r="I13" s="671" t="str">
        <f>IF(Calculations!H219=" "," ", Calculations!H219*1000)</f>
        <v xml:space="preserve"> </v>
      </c>
      <c r="J13" s="671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8"/>
      <c r="F14" s="678"/>
      <c r="G14" s="678"/>
      <c r="H14" s="678"/>
      <c r="I14" s="678"/>
      <c r="J14" s="678"/>
      <c r="K14" s="469"/>
      <c r="L14" s="441"/>
    </row>
    <row r="15" spans="2:12" ht="18.75" customHeight="1" x14ac:dyDescent="0.2">
      <c r="B15" s="440"/>
      <c r="C15" s="469"/>
      <c r="D15" s="616" t="s">
        <v>126</v>
      </c>
      <c r="E15" s="673">
        <f t="shared" ref="E15:J15" si="0">IF(E13=" "," ",_xlfn.RANK.EQ(E13,$E$13:$J$13,1))</f>
        <v>2</v>
      </c>
      <c r="F15" s="673">
        <f t="shared" si="0"/>
        <v>1</v>
      </c>
      <c r="G15" s="673" t="str">
        <f t="shared" si="0"/>
        <v xml:space="preserve"> </v>
      </c>
      <c r="H15" s="673" t="str">
        <f t="shared" si="0"/>
        <v xml:space="preserve"> </v>
      </c>
      <c r="I15" s="673" t="str">
        <f t="shared" si="0"/>
        <v xml:space="preserve"> </v>
      </c>
      <c r="J15" s="673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4"/>
      <c r="F16" s="674"/>
      <c r="G16" s="674"/>
      <c r="H16" s="674"/>
      <c r="I16" s="674"/>
      <c r="J16" s="674"/>
      <c r="K16" s="469"/>
      <c r="L16" s="441"/>
    </row>
    <row r="17" spans="2:12" ht="16.5" thickBot="1" x14ac:dyDescent="0.3">
      <c r="B17" s="440"/>
      <c r="C17" s="469"/>
      <c r="D17" s="592" t="s">
        <v>269</v>
      </c>
      <c r="E17" s="592"/>
      <c r="F17" s="592"/>
      <c r="G17" s="592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2" t="s">
        <v>265</v>
      </c>
      <c r="E19" s="709" t="s">
        <v>266</v>
      </c>
      <c r="F19" s="709"/>
      <c r="G19" s="670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9" t="s">
        <v>267</v>
      </c>
      <c r="E20" s="704"/>
      <c r="F20" s="704"/>
      <c r="G20" s="671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9" t="s">
        <v>268</v>
      </c>
      <c r="E21" s="704"/>
      <c r="F21" s="704"/>
      <c r="G21" s="671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9" t="s">
        <v>270</v>
      </c>
      <c r="E22" s="704" t="str">
        <f>TEXT('User Input'!F31,"0.00")&amp;" (minutes per annum)"</f>
        <v>6.16 (minutes per annum)</v>
      </c>
      <c r="F22" s="704"/>
      <c r="G22" s="671">
        <f>'Present Value'!E13*1000</f>
        <v>15806062.766136978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9" t="s">
        <v>276</v>
      </c>
      <c r="E23" s="704" t="str">
        <f>TEXT('User Input'!F30,"0.000")&amp;" (Interuptions per annum)"</f>
        <v>0.027 (Interuptions per annum)</v>
      </c>
      <c r="F23" s="704"/>
      <c r="G23" s="671">
        <f>'Present Value'!E12*1000</f>
        <v>4787633.5045255469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9" t="s">
        <v>277</v>
      </c>
      <c r="E24" s="704" t="str">
        <f>TEXT('User Input'!F32,"0.000")&amp;" (Interuptions per annum)"</f>
        <v>0.000 (Interuptions per annum)</v>
      </c>
      <c r="F24" s="704"/>
      <c r="G24" s="671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9" t="s">
        <v>295</v>
      </c>
      <c r="E25" s="704" t="str">
        <f>TEXT('Administrator Input'!$F$49*1000,"$#,##0")&amp;" per min"</f>
        <v>$56,500 per min</v>
      </c>
      <c r="F25" s="704"/>
      <c r="G25" s="671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9" t="s">
        <v>296</v>
      </c>
      <c r="E26" s="705" t="s">
        <v>298</v>
      </c>
      <c r="F26" s="706"/>
      <c r="G26" s="671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9" t="s">
        <v>271</v>
      </c>
      <c r="E27" s="704"/>
      <c r="F27" s="704"/>
      <c r="G27" s="671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3" t="s">
        <v>263</v>
      </c>
      <c r="E28" s="704"/>
      <c r="F28" s="704"/>
      <c r="G28" s="671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2" t="str">
        <f>"Project Costs - Option 1: "&amp;+'User Input'!E16</f>
        <v>Project Costs - Option 1: Animal Proofing</v>
      </c>
      <c r="E30" s="592"/>
      <c r="F30" s="592"/>
      <c r="G30" s="592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2" t="s">
        <v>265</v>
      </c>
      <c r="E32" s="709" t="s">
        <v>266</v>
      </c>
      <c r="F32" s="709"/>
      <c r="G32" s="679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9" t="s">
        <v>267</v>
      </c>
      <c r="E33" s="704"/>
      <c r="F33" s="704"/>
      <c r="G33" s="671">
        <f>'Present Value'!E34*1000</f>
        <v>9797196.6504094973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9" t="s">
        <v>268</v>
      </c>
      <c r="E34" s="704"/>
      <c r="F34" s="704"/>
      <c r="G34" s="671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9" t="s">
        <v>270</v>
      </c>
      <c r="E35" s="704" t="str">
        <f>TEXT('User Input'!F60,"0.00")&amp;" (minutes per annum)"</f>
        <v>0.00 (minutes per annum)</v>
      </c>
      <c r="F35" s="704"/>
      <c r="G35" s="671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9" t="s">
        <v>276</v>
      </c>
      <c r="E36" s="704" t="str">
        <f>TEXT('User Input'!F59,"0.000")&amp;" (Interuptions per annum)"</f>
        <v>0.000 (Interuptions per annum)</v>
      </c>
      <c r="F36" s="704"/>
      <c r="G36" s="671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9" t="s">
        <v>277</v>
      </c>
      <c r="E37" s="704" t="str">
        <f>TEXT('User Input'!F61,"0.000")&amp;" (Interuptions per annum)"</f>
        <v>0.000 (Interuptions per annum)</v>
      </c>
      <c r="F37" s="704"/>
      <c r="G37" s="671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9" t="s">
        <v>295</v>
      </c>
      <c r="E38" s="704" t="str">
        <f>TEXT('Administrator Input'!$F$49*1000,"$#,##0")&amp;" per min"</f>
        <v>$56,500 per min</v>
      </c>
      <c r="F38" s="704"/>
      <c r="G38" s="671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9" t="s">
        <v>296</v>
      </c>
      <c r="E39" s="705" t="s">
        <v>298</v>
      </c>
      <c r="F39" s="706"/>
      <c r="G39" s="671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9" t="s">
        <v>271</v>
      </c>
      <c r="E40" s="707"/>
      <c r="F40" s="708"/>
      <c r="G40" s="671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9" t="s">
        <v>263</v>
      </c>
      <c r="E41" s="704"/>
      <c r="F41" s="704"/>
      <c r="G41" s="671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2" t="str">
        <f>"Project Costs - Option 2: "&amp;+'User Input'!E17</f>
        <v xml:space="preserve">Project Costs - Option 2: </v>
      </c>
      <c r="E43" s="592"/>
      <c r="F43" s="592"/>
      <c r="G43" s="592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2" t="s">
        <v>265</v>
      </c>
      <c r="E45" s="709" t="s">
        <v>266</v>
      </c>
      <c r="F45" s="709"/>
      <c r="G45" s="679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9" t="s">
        <v>267</v>
      </c>
      <c r="E46" s="704"/>
      <c r="F46" s="704"/>
      <c r="G46" s="671">
        <f>'Present Value'!E59*1000</f>
        <v>0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9" t="s">
        <v>268</v>
      </c>
      <c r="E47" s="704"/>
      <c r="F47" s="704"/>
      <c r="G47" s="671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9" t="s">
        <v>270</v>
      </c>
      <c r="E48" s="704" t="str">
        <f>TEXT('User Input'!F89,"0.00")&amp;" (minutes per annum)"</f>
        <v>0.00 (minutes per annum)</v>
      </c>
      <c r="F48" s="704"/>
      <c r="G48" s="671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9" t="s">
        <v>276</v>
      </c>
      <c r="E49" s="704" t="str">
        <f>TEXT('User Input'!F88,"0.000")&amp;" (Interuptions per annum)"</f>
        <v>0.000 (Interuptions per annum)</v>
      </c>
      <c r="F49" s="704"/>
      <c r="G49" s="671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9" t="s">
        <v>277</v>
      </c>
      <c r="E50" s="704" t="str">
        <f>TEXT('User Input'!F90,"0.000")&amp;" (Interuptions per annum)"</f>
        <v>0.000 (Interuptions per annum)</v>
      </c>
      <c r="F50" s="704"/>
      <c r="G50" s="671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9" t="s">
        <v>271</v>
      </c>
      <c r="E51" s="704" t="str">
        <f>TEXT('Administrator Input'!$F$49*1000,"$#,##0")&amp;" per min"</f>
        <v>$56,500 per min</v>
      </c>
      <c r="F51" s="704"/>
      <c r="G51" s="671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9" t="s">
        <v>296</v>
      </c>
      <c r="E52" s="705" t="s">
        <v>298</v>
      </c>
      <c r="F52" s="706"/>
      <c r="G52" s="671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9" t="s">
        <v>271</v>
      </c>
      <c r="E53" s="707"/>
      <c r="F53" s="708"/>
      <c r="G53" s="671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9" t="s">
        <v>263</v>
      </c>
      <c r="E54" s="704"/>
      <c r="F54" s="704"/>
      <c r="G54" s="671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2" t="str">
        <f>"Project Costs - Option 3: "&amp;+'User Input'!E18</f>
        <v xml:space="preserve">Project Costs - Option 3: </v>
      </c>
      <c r="E56" s="592"/>
      <c r="F56" s="592"/>
      <c r="G56" s="592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2" t="s">
        <v>265</v>
      </c>
      <c r="E58" s="709" t="s">
        <v>266</v>
      </c>
      <c r="F58" s="709"/>
      <c r="G58" s="679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9" t="s">
        <v>267</v>
      </c>
      <c r="E59" s="704"/>
      <c r="F59" s="704"/>
      <c r="G59" s="671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9" t="s">
        <v>268</v>
      </c>
      <c r="E60" s="704"/>
      <c r="F60" s="704"/>
      <c r="G60" s="671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9" t="s">
        <v>270</v>
      </c>
      <c r="E61" s="704" t="str">
        <f>TEXT('User Input'!F118,"0.00")&amp;" (minutes per annum)"</f>
        <v>0.00 (minutes per annum)</v>
      </c>
      <c r="F61" s="704"/>
      <c r="G61" s="671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9" t="s">
        <v>276</v>
      </c>
      <c r="E62" s="704" t="str">
        <f>TEXT('User Input'!F117,"0.000")&amp;" (Interuptions per annum)"</f>
        <v>0.000 (Interuptions per annum)</v>
      </c>
      <c r="F62" s="704"/>
      <c r="G62" s="671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9" t="s">
        <v>277</v>
      </c>
      <c r="E63" s="704" t="str">
        <f>TEXT('User Input'!F119,"0.000")&amp;" (Interuptions per annum)"</f>
        <v>0.000 (Interuptions per annum)</v>
      </c>
      <c r="F63" s="704"/>
      <c r="G63" s="671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9" t="s">
        <v>271</v>
      </c>
      <c r="E64" s="704" t="str">
        <f>TEXT('Administrator Input'!$F$49*1000,"$#,##0")&amp;" per min"</f>
        <v>$56,500 per min</v>
      </c>
      <c r="F64" s="704"/>
      <c r="G64" s="671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9" t="s">
        <v>296</v>
      </c>
      <c r="E65" s="705" t="s">
        <v>298</v>
      </c>
      <c r="F65" s="706"/>
      <c r="G65" s="671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9" t="s">
        <v>271</v>
      </c>
      <c r="E66" s="707"/>
      <c r="F66" s="708"/>
      <c r="G66" s="671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9" t="s">
        <v>263</v>
      </c>
      <c r="E67" s="704"/>
      <c r="F67" s="704"/>
      <c r="G67" s="671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2" t="str">
        <f>"Project Costs - Option 4: "&amp;+'User Input'!E19</f>
        <v xml:space="preserve">Project Costs - Option 4: </v>
      </c>
      <c r="E69" s="592"/>
      <c r="F69" s="592"/>
      <c r="G69" s="592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2" t="s">
        <v>265</v>
      </c>
      <c r="E71" s="709" t="s">
        <v>266</v>
      </c>
      <c r="F71" s="709"/>
      <c r="G71" s="679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9" t="s">
        <v>267</v>
      </c>
      <c r="E72" s="704"/>
      <c r="F72" s="704"/>
      <c r="G72" s="671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9" t="s">
        <v>268</v>
      </c>
      <c r="E73" s="704"/>
      <c r="F73" s="704"/>
      <c r="G73" s="671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9" t="s">
        <v>270</v>
      </c>
      <c r="E74" s="704" t="str">
        <f>TEXT('User Input'!F147,"0.00")&amp;" (minutes per annum)"</f>
        <v>0.00 (minutes per annum)</v>
      </c>
      <c r="F74" s="704"/>
      <c r="G74" s="671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9" t="s">
        <v>276</v>
      </c>
      <c r="E75" s="704" t="str">
        <f>TEXT('User Input'!F146,"0.000")&amp;" (Interuptions per annum)"</f>
        <v>0.000 (Interuptions per annum)</v>
      </c>
      <c r="F75" s="704"/>
      <c r="G75" s="671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9" t="s">
        <v>277</v>
      </c>
      <c r="E76" s="704" t="str">
        <f>TEXT('User Input'!F148,"0.000")&amp;" (Interuptions per annum)"</f>
        <v>0.000 (Interuptions per annum)</v>
      </c>
      <c r="F76" s="704"/>
      <c r="G76" s="671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9" t="s">
        <v>271</v>
      </c>
      <c r="E77" s="704" t="str">
        <f>TEXT('Administrator Input'!$F$49*1000,"$#,##0")&amp;" per min"</f>
        <v>$56,500 per min</v>
      </c>
      <c r="F77" s="704"/>
      <c r="G77" s="671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9" t="s">
        <v>296</v>
      </c>
      <c r="E78" s="705" t="s">
        <v>298</v>
      </c>
      <c r="F78" s="706"/>
      <c r="G78" s="671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9" t="s">
        <v>271</v>
      </c>
      <c r="E79" s="707"/>
      <c r="F79" s="708"/>
      <c r="G79" s="671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9" t="s">
        <v>263</v>
      </c>
      <c r="E80" s="704"/>
      <c r="F80" s="704"/>
      <c r="G80" s="671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2" t="str">
        <f>"Project Costs - Option 5: "&amp;+'User Input'!E20</f>
        <v xml:space="preserve">Project Costs - Option 5: </v>
      </c>
      <c r="E82" s="592"/>
      <c r="F82" s="592"/>
      <c r="G82" s="592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2" t="s">
        <v>265</v>
      </c>
      <c r="E84" s="709" t="s">
        <v>266</v>
      </c>
      <c r="F84" s="709"/>
      <c r="G84" s="679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9" t="s">
        <v>267</v>
      </c>
      <c r="E85" s="704"/>
      <c r="F85" s="704"/>
      <c r="G85" s="671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9" t="s">
        <v>268</v>
      </c>
      <c r="E86" s="704"/>
      <c r="F86" s="704"/>
      <c r="G86" s="671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9" t="s">
        <v>270</v>
      </c>
      <c r="E87" s="704" t="str">
        <f>TEXT('User Input'!F176,"0.00")&amp;" (minutes per annum)"</f>
        <v>0.00 (minutes per annum)</v>
      </c>
      <c r="F87" s="704"/>
      <c r="G87" s="671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9" t="s">
        <v>276</v>
      </c>
      <c r="E88" s="704" t="str">
        <f>TEXT('User Input'!F175,"0.000")&amp;" (Interuptions per annum)"</f>
        <v>0.000 (Interuptions per annum)</v>
      </c>
      <c r="F88" s="704"/>
      <c r="G88" s="671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9" t="s">
        <v>277</v>
      </c>
      <c r="E89" s="704" t="str">
        <f>TEXT('User Input'!F177,"0.000")&amp;" (Interuptions per annum)"</f>
        <v>0.000 (Interuptions per annum)</v>
      </c>
      <c r="F89" s="704"/>
      <c r="G89" s="671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9" t="s">
        <v>271</v>
      </c>
      <c r="E90" s="704" t="str">
        <f>TEXT('Administrator Input'!$F$49*1000,"$#,##0")&amp;" per min"</f>
        <v>$56,500 per min</v>
      </c>
      <c r="F90" s="704"/>
      <c r="G90" s="671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9" t="s">
        <v>296</v>
      </c>
      <c r="E91" s="705" t="s">
        <v>298</v>
      </c>
      <c r="F91" s="706"/>
      <c r="G91" s="671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9" t="s">
        <v>271</v>
      </c>
      <c r="E92" s="707"/>
      <c r="F92" s="708"/>
      <c r="G92" s="671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9" t="s">
        <v>263</v>
      </c>
      <c r="E93" s="704"/>
      <c r="F93" s="704"/>
      <c r="G93" s="671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5"/>
      <c r="C125" s="666"/>
      <c r="D125" s="666"/>
      <c r="E125" s="666"/>
      <c r="F125" s="666"/>
      <c r="G125" s="666"/>
      <c r="H125" s="666"/>
      <c r="I125" s="666"/>
      <c r="J125" s="666"/>
      <c r="K125" s="666"/>
      <c r="L125" s="667"/>
    </row>
  </sheetData>
  <mergeCells count="60"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61:F61"/>
    <mergeCell ref="E64:F64"/>
    <mergeCell ref="E71:F71"/>
    <mergeCell ref="E72:F72"/>
    <mergeCell ref="E73:F73"/>
    <mergeCell ref="E62:F62"/>
    <mergeCell ref="E63:F63"/>
    <mergeCell ref="E27:F27"/>
    <mergeCell ref="E28:F28"/>
    <mergeCell ref="E26:F26"/>
    <mergeCell ref="E39:F39"/>
    <mergeCell ref="E40:F40"/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3" customWidth="1"/>
    <col min="3" max="3" width="3.140625" customWidth="1"/>
    <col min="4" max="4" width="36.7109375" customWidth="1"/>
    <col min="5" max="26" width="14.28515625" customWidth="1"/>
    <col min="27" max="28" width="3.140625" style="513" customWidth="1"/>
    <col min="29" max="535" width="9.140625" style="433"/>
  </cols>
  <sheetData>
    <row r="1" spans="3:45" s="433" customFormat="1" x14ac:dyDescent="0.2"/>
    <row r="2" spans="3:45" ht="16.5" customHeight="1" x14ac:dyDescent="0.2"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3:45" ht="16.5" customHeight="1" x14ac:dyDescent="0.25">
      <c r="C3" s="513"/>
      <c r="D3" s="651" t="s">
        <v>255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</row>
    <row r="4" spans="3:45" ht="16.5" customHeight="1" x14ac:dyDescent="0.2"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</row>
    <row r="5" spans="3:45" ht="16.5" customHeight="1" x14ac:dyDescent="0.25">
      <c r="C5" s="513"/>
      <c r="D5" s="651" t="str">
        <f>'User Input'!D24</f>
        <v>"Status Quo" Reference Case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</row>
    <row r="6" spans="3:45" ht="16.5" customHeight="1" x14ac:dyDescent="0.25">
      <c r="C6" s="513"/>
      <c r="D6" s="499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</row>
    <row r="7" spans="3:45" ht="16.5" customHeight="1" x14ac:dyDescent="0.25">
      <c r="C7" s="513"/>
      <c r="D7" s="654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</row>
    <row r="8" spans="3:45" ht="16.5" customHeight="1" x14ac:dyDescent="0.25">
      <c r="C8" s="513"/>
      <c r="D8" s="654"/>
      <c r="E8" s="655" t="s">
        <v>254</v>
      </c>
      <c r="F8" s="655">
        <f>'User Input'!$E$6</f>
        <v>2016</v>
      </c>
      <c r="G8" s="655">
        <f>F8+1</f>
        <v>2017</v>
      </c>
      <c r="H8" s="655">
        <f t="shared" ref="H8:Z8" si="0">G8+1</f>
        <v>2018</v>
      </c>
      <c r="I8" s="655">
        <f t="shared" si="0"/>
        <v>2019</v>
      </c>
      <c r="J8" s="655">
        <f t="shared" si="0"/>
        <v>2020</v>
      </c>
      <c r="K8" s="655">
        <f t="shared" si="0"/>
        <v>2021</v>
      </c>
      <c r="L8" s="655">
        <f t="shared" si="0"/>
        <v>2022</v>
      </c>
      <c r="M8" s="655">
        <f t="shared" si="0"/>
        <v>2023</v>
      </c>
      <c r="N8" s="655">
        <f t="shared" si="0"/>
        <v>2024</v>
      </c>
      <c r="O8" s="655">
        <f t="shared" si="0"/>
        <v>2025</v>
      </c>
      <c r="P8" s="655">
        <f t="shared" si="0"/>
        <v>2026</v>
      </c>
      <c r="Q8" s="655">
        <f t="shared" si="0"/>
        <v>2027</v>
      </c>
      <c r="R8" s="655">
        <f t="shared" si="0"/>
        <v>2028</v>
      </c>
      <c r="S8" s="655">
        <f t="shared" si="0"/>
        <v>2029</v>
      </c>
      <c r="T8" s="655">
        <f t="shared" si="0"/>
        <v>2030</v>
      </c>
      <c r="U8" s="655">
        <f t="shared" si="0"/>
        <v>2031</v>
      </c>
      <c r="V8" s="655">
        <f t="shared" si="0"/>
        <v>2032</v>
      </c>
      <c r="W8" s="655">
        <f t="shared" si="0"/>
        <v>2033</v>
      </c>
      <c r="X8" s="655">
        <f t="shared" si="0"/>
        <v>2034</v>
      </c>
      <c r="Y8" s="655">
        <f t="shared" si="0"/>
        <v>2035</v>
      </c>
      <c r="Z8" s="655">
        <f t="shared" si="0"/>
        <v>2036</v>
      </c>
      <c r="AA8" s="652"/>
      <c r="AB8" s="652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3:45" ht="16.5" customHeight="1" x14ac:dyDescent="0.2">
      <c r="C9" s="513"/>
      <c r="D9" s="656" t="str">
        <f>Calculations!C14</f>
        <v>Capital Costs</v>
      </c>
      <c r="E9" s="657">
        <f>SUM(F9:Z9)</f>
        <v>0</v>
      </c>
      <c r="F9" s="659">
        <f>Calculations!E14/Calculations!E$9</f>
        <v>0</v>
      </c>
      <c r="G9" s="659">
        <f>Calculations!F14/Calculations!F$9</f>
        <v>0</v>
      </c>
      <c r="H9" s="659">
        <f>Calculations!G14/Calculations!G$9</f>
        <v>0</v>
      </c>
      <c r="I9" s="659">
        <f>Calculations!H14/Calculations!H$9</f>
        <v>0</v>
      </c>
      <c r="J9" s="659">
        <f>Calculations!I14/Calculations!I$9</f>
        <v>0</v>
      </c>
      <c r="K9" s="659">
        <f>Calculations!J14/Calculations!J$9</f>
        <v>0</v>
      </c>
      <c r="L9" s="659">
        <f>Calculations!K14/Calculations!K$9</f>
        <v>0</v>
      </c>
      <c r="M9" s="659">
        <f>Calculations!L14/Calculations!L$9</f>
        <v>0</v>
      </c>
      <c r="N9" s="659">
        <f>Calculations!M14/Calculations!M$9</f>
        <v>0</v>
      </c>
      <c r="O9" s="659">
        <f>Calculations!N14/Calculations!N$9</f>
        <v>0</v>
      </c>
      <c r="P9" s="659">
        <f>Calculations!O14/Calculations!O$9</f>
        <v>0</v>
      </c>
      <c r="Q9" s="659">
        <f>Calculations!P14/Calculations!P$9</f>
        <v>0</v>
      </c>
      <c r="R9" s="659">
        <f>Calculations!Q14/Calculations!Q$9</f>
        <v>0</v>
      </c>
      <c r="S9" s="659">
        <f>Calculations!R14/Calculations!R$9</f>
        <v>0</v>
      </c>
      <c r="T9" s="659">
        <f>Calculations!S14/Calculations!S$9</f>
        <v>0</v>
      </c>
      <c r="U9" s="659">
        <f>Calculations!T14/Calculations!T$9</f>
        <v>0</v>
      </c>
      <c r="V9" s="659">
        <f>Calculations!U14/Calculations!U$9</f>
        <v>0</v>
      </c>
      <c r="W9" s="659">
        <f>Calculations!V14/Calculations!V$9</f>
        <v>0</v>
      </c>
      <c r="X9" s="659">
        <f>Calculations!W14/Calculations!W$9</f>
        <v>0</v>
      </c>
      <c r="Y9" s="659">
        <f>Calculations!X14/Calculations!X$9</f>
        <v>0</v>
      </c>
      <c r="Z9" s="659">
        <f>Calculations!Y14/Calculations!Y$9</f>
        <v>0</v>
      </c>
    </row>
    <row r="10" spans="3:45" ht="16.5" customHeight="1" x14ac:dyDescent="0.2">
      <c r="C10" s="513"/>
      <c r="D10" s="656" t="str">
        <f>Calculations!C15</f>
        <v>Maintenance Costs</v>
      </c>
      <c r="E10" s="657">
        <f>SUM(F10:Z10)</f>
        <v>0</v>
      </c>
      <c r="F10" s="659">
        <f>Calculations!E15/Calculations!E$9</f>
        <v>0</v>
      </c>
      <c r="G10" s="659">
        <f>Calculations!F15/Calculations!F$9</f>
        <v>0</v>
      </c>
      <c r="H10" s="659">
        <f>Calculations!G15/Calculations!G$9</f>
        <v>0</v>
      </c>
      <c r="I10" s="659">
        <f>Calculations!H15/Calculations!H$9</f>
        <v>0</v>
      </c>
      <c r="J10" s="659">
        <f>Calculations!I15/Calculations!I$9</f>
        <v>0</v>
      </c>
      <c r="K10" s="659">
        <f>Calculations!J15/Calculations!J$9</f>
        <v>0</v>
      </c>
      <c r="L10" s="659">
        <f>Calculations!K15/Calculations!K$9</f>
        <v>0</v>
      </c>
      <c r="M10" s="659">
        <f>Calculations!L15/Calculations!L$9</f>
        <v>0</v>
      </c>
      <c r="N10" s="659">
        <f>Calculations!M15/Calculations!M$9</f>
        <v>0</v>
      </c>
      <c r="O10" s="659">
        <f>Calculations!N15/Calculations!N$9</f>
        <v>0</v>
      </c>
      <c r="P10" s="659">
        <f>Calculations!O15/Calculations!O$9</f>
        <v>0</v>
      </c>
      <c r="Q10" s="659">
        <f>Calculations!P15/Calculations!P$9</f>
        <v>0</v>
      </c>
      <c r="R10" s="659">
        <f>Calculations!Q15/Calculations!Q$9</f>
        <v>0</v>
      </c>
      <c r="S10" s="659">
        <f>Calculations!R15/Calculations!R$9</f>
        <v>0</v>
      </c>
      <c r="T10" s="659">
        <f>Calculations!S15/Calculations!S$9</f>
        <v>0</v>
      </c>
      <c r="U10" s="659">
        <f>Calculations!T15/Calculations!T$9</f>
        <v>0</v>
      </c>
      <c r="V10" s="659">
        <f>Calculations!U15/Calculations!U$9</f>
        <v>0</v>
      </c>
      <c r="W10" s="659">
        <f>Calculations!V15/Calculations!V$9</f>
        <v>0</v>
      </c>
      <c r="X10" s="659">
        <f>Calculations!W15/Calculations!W$9</f>
        <v>0</v>
      </c>
      <c r="Y10" s="659">
        <f>Calculations!X15/Calculations!X$9</f>
        <v>0</v>
      </c>
      <c r="Z10" s="659">
        <f>Calculations!Y15/Calculations!Y$9</f>
        <v>0</v>
      </c>
    </row>
    <row r="11" spans="3:45" ht="16.5" customHeight="1" x14ac:dyDescent="0.2">
      <c r="C11" s="513"/>
      <c r="D11" s="656" t="str">
        <f>Calculations!C16</f>
        <v>Negative Impact on Revenue (STPIS)</v>
      </c>
      <c r="E11" s="657">
        <f>SUM(E12:E15)</f>
        <v>20593.696270662527</v>
      </c>
      <c r="F11" s="657">
        <f t="shared" ref="F11:Z11" si="1">SUM(F12:F15)</f>
        <v>0</v>
      </c>
      <c r="G11" s="657">
        <f t="shared" si="1"/>
        <v>0</v>
      </c>
      <c r="H11" s="657">
        <f t="shared" si="1"/>
        <v>0</v>
      </c>
      <c r="I11" s="657">
        <f t="shared" si="1"/>
        <v>1865.6678795736725</v>
      </c>
      <c r="J11" s="657">
        <f t="shared" si="1"/>
        <v>1750.12591923935</v>
      </c>
      <c r="K11" s="657">
        <f t="shared" si="1"/>
        <v>1641.7395436390848</v>
      </c>
      <c r="L11" s="657">
        <f t="shared" si="1"/>
        <v>1540.0656030051377</v>
      </c>
      <c r="M11" s="657">
        <f t="shared" si="1"/>
        <v>1444.6883921076994</v>
      </c>
      <c r="N11" s="657">
        <f t="shared" si="1"/>
        <v>1355.2179505977629</v>
      </c>
      <c r="O11" s="657">
        <f t="shared" si="1"/>
        <v>1271.288468610803</v>
      </c>
      <c r="P11" s="657">
        <f t="shared" si="1"/>
        <v>1192.5567911124067</v>
      </c>
      <c r="Q11" s="657">
        <f t="shared" si="1"/>
        <v>1118.7010148706979</v>
      </c>
      <c r="R11" s="657">
        <f t="shared" si="1"/>
        <v>1049.4191723191216</v>
      </c>
      <c r="S11" s="657">
        <f t="shared" si="1"/>
        <v>984.42799692841868</v>
      </c>
      <c r="T11" s="657">
        <f t="shared" si="1"/>
        <v>923.46176503987272</v>
      </c>
      <c r="U11" s="657">
        <f t="shared" si="1"/>
        <v>866.27120942453882</v>
      </c>
      <c r="V11" s="657">
        <f t="shared" si="1"/>
        <v>812.62250012641471</v>
      </c>
      <c r="W11" s="657">
        <f t="shared" si="1"/>
        <v>762.29628842262548</v>
      </c>
      <c r="X11" s="657">
        <f t="shared" si="1"/>
        <v>715.08680999174055</v>
      </c>
      <c r="Y11" s="657">
        <f t="shared" si="1"/>
        <v>670.80104362342877</v>
      </c>
      <c r="Z11" s="657">
        <f t="shared" si="1"/>
        <v>629.25792202974458</v>
      </c>
    </row>
    <row r="12" spans="3:45" ht="16.5" customHeight="1" x14ac:dyDescent="0.2">
      <c r="C12" s="513"/>
      <c r="D12" s="660" t="str">
        <f>Calculations!C17</f>
        <v xml:space="preserve">SAIFI sustained </v>
      </c>
      <c r="E12" s="657">
        <f t="shared" ref="E12:E27" si="2">SUM(F12:Z12)</f>
        <v>4787.6335045255473</v>
      </c>
      <c r="F12" s="659">
        <f>Calculations!E17/Calculations!E$9</f>
        <v>0</v>
      </c>
      <c r="G12" s="659">
        <f>Calculations!F17/Calculations!F$9</f>
        <v>0</v>
      </c>
      <c r="H12" s="659">
        <f>Calculations!G17/Calculations!G$9</f>
        <v>0</v>
      </c>
      <c r="I12" s="659">
        <f>Calculations!H17/Calculations!H$9</f>
        <v>433.73146477296723</v>
      </c>
      <c r="J12" s="659">
        <f>Calculations!I17/Calculations!I$9</f>
        <v>406.87020814351962</v>
      </c>
      <c r="K12" s="659">
        <f>Calculations!J17/Calculations!J$9</f>
        <v>381.67248567360258</v>
      </c>
      <c r="L12" s="659">
        <f>Calculations!K17/Calculations!K$9</f>
        <v>358.0352736686026</v>
      </c>
      <c r="M12" s="659">
        <f>Calculations!L17/Calculations!L$9</f>
        <v>335.86192875473768</v>
      </c>
      <c r="N12" s="659">
        <f>Calculations!M17/Calculations!M$9</f>
        <v>315.0617927418603</v>
      </c>
      <c r="O12" s="659">
        <f>Calculations!N17/Calculations!N$9</f>
        <v>295.54982195735016</v>
      </c>
      <c r="P12" s="659">
        <f>Calculations!O17/Calculations!O$9</f>
        <v>277.24623953558734</v>
      </c>
      <c r="Q12" s="659">
        <f>Calculations!P17/Calculations!P$9</f>
        <v>260.07620924135244</v>
      </c>
      <c r="R12" s="659">
        <f>Calculations!Q17/Calculations!Q$9</f>
        <v>243.9695294935444</v>
      </c>
      <c r="S12" s="659">
        <f>Calculations!R17/Calculations!R$9</f>
        <v>228.86034633819742</v>
      </c>
      <c r="T12" s="659">
        <f>Calculations!S17/Calculations!S$9</f>
        <v>214.68688419725629</v>
      </c>
      <c r="U12" s="659">
        <f>Calculations!T17/Calculations!T$9</f>
        <v>201.39119329224539</v>
      </c>
      <c r="V12" s="659">
        <f>Calculations!U17/Calculations!U$9</f>
        <v>188.91891271014535</v>
      </c>
      <c r="W12" s="659">
        <f>Calculations!V17/Calculations!V$9</f>
        <v>177.21904814274606</v>
      </c>
      <c r="X12" s="659">
        <f>Calculations!W17/Calculations!W$9</f>
        <v>166.24376339073831</v>
      </c>
      <c r="Y12" s="659">
        <f>Calculations!X17/Calculations!X$9</f>
        <v>155.94818478008523</v>
      </c>
      <c r="Z12" s="659">
        <f>Calculations!Y17/Calculations!Y$9</f>
        <v>146.29021769100848</v>
      </c>
    </row>
    <row r="13" spans="3:45" ht="16.5" customHeight="1" x14ac:dyDescent="0.2">
      <c r="C13" s="513"/>
      <c r="D13" s="660" t="str">
        <f>Calculations!C18</f>
        <v xml:space="preserve">SAIDI accidental </v>
      </c>
      <c r="E13" s="657">
        <f t="shared" si="2"/>
        <v>15806.062766136978</v>
      </c>
      <c r="F13" s="659">
        <f>Calculations!E18/Calculations!E$9</f>
        <v>0</v>
      </c>
      <c r="G13" s="659">
        <f>Calculations!F18/Calculations!F$9</f>
        <v>0</v>
      </c>
      <c r="H13" s="659">
        <f>Calculations!G18/Calculations!G$9</f>
        <v>0</v>
      </c>
      <c r="I13" s="659">
        <f>Calculations!H18/Calculations!H$9</f>
        <v>1431.9364148007053</v>
      </c>
      <c r="J13" s="659">
        <f>Calculations!I18/Calculations!I$9</f>
        <v>1343.2557110958303</v>
      </c>
      <c r="K13" s="659">
        <f>Calculations!J18/Calculations!J$9</f>
        <v>1260.0670579654823</v>
      </c>
      <c r="L13" s="659">
        <f>Calculations!K18/Calculations!K$9</f>
        <v>1182.030329336535</v>
      </c>
      <c r="M13" s="659">
        <f>Calculations!L18/Calculations!L$9</f>
        <v>1108.8264633529618</v>
      </c>
      <c r="N13" s="659">
        <f>Calculations!M18/Calculations!M$9</f>
        <v>1040.1561578559026</v>
      </c>
      <c r="O13" s="659">
        <f>Calculations!N18/Calculations!N$9</f>
        <v>975.73864665345275</v>
      </c>
      <c r="P13" s="659">
        <f>Calculations!O18/Calculations!O$9</f>
        <v>915.31055157681942</v>
      </c>
      <c r="Q13" s="659">
        <f>Calculations!P18/Calculations!P$9</f>
        <v>858.62480562934547</v>
      </c>
      <c r="R13" s="659">
        <f>Calculations!Q18/Calculations!Q$9</f>
        <v>805.44964282557726</v>
      </c>
      <c r="S13" s="659">
        <f>Calculations!R18/Calculations!R$9</f>
        <v>755.56765059022132</v>
      </c>
      <c r="T13" s="659">
        <f>Calculations!S18/Calculations!S$9</f>
        <v>708.77488084261643</v>
      </c>
      <c r="U13" s="659">
        <f>Calculations!T18/Calculations!T$9</f>
        <v>664.88001613229346</v>
      </c>
      <c r="V13" s="659">
        <f>Calculations!U18/Calculations!U$9</f>
        <v>623.70358741626933</v>
      </c>
      <c r="W13" s="659">
        <f>Calculations!V18/Calculations!V$9</f>
        <v>585.07724027987945</v>
      </c>
      <c r="X13" s="659">
        <f>Calculations!W18/Calculations!W$9</f>
        <v>548.84304660100224</v>
      </c>
      <c r="Y13" s="659">
        <f>Calculations!X18/Calculations!X$9</f>
        <v>514.8528588433436</v>
      </c>
      <c r="Z13" s="659">
        <f>Calculations!Y18/Calculations!Y$9</f>
        <v>482.96770433873616</v>
      </c>
    </row>
    <row r="14" spans="3:45" ht="16.5" customHeight="1" x14ac:dyDescent="0.2">
      <c r="C14" s="513"/>
      <c r="D14" s="660" t="str">
        <f>Calculations!C19</f>
        <v xml:space="preserve">MAIFI momentary </v>
      </c>
      <c r="E14" s="657">
        <f t="shared" si="2"/>
        <v>0</v>
      </c>
      <c r="F14" s="659">
        <f>Calculations!E19/Calculations!E$9</f>
        <v>0</v>
      </c>
      <c r="G14" s="659">
        <f>Calculations!F19/Calculations!F$9</f>
        <v>0</v>
      </c>
      <c r="H14" s="659">
        <f>Calculations!G19/Calculations!G$9</f>
        <v>0</v>
      </c>
      <c r="I14" s="659">
        <f>Calculations!H19/Calculations!H$9</f>
        <v>0</v>
      </c>
      <c r="J14" s="659">
        <f>Calculations!I19/Calculations!I$9</f>
        <v>0</v>
      </c>
      <c r="K14" s="659">
        <f>Calculations!J19/Calculations!J$9</f>
        <v>0</v>
      </c>
      <c r="L14" s="659">
        <f>Calculations!K19/Calculations!K$9</f>
        <v>0</v>
      </c>
      <c r="M14" s="659">
        <f>Calculations!L19/Calculations!L$9</f>
        <v>0</v>
      </c>
      <c r="N14" s="659">
        <f>Calculations!M19/Calculations!M$9</f>
        <v>0</v>
      </c>
      <c r="O14" s="659">
        <f>Calculations!N19/Calculations!N$9</f>
        <v>0</v>
      </c>
      <c r="P14" s="659">
        <f>Calculations!O19/Calculations!O$9</f>
        <v>0</v>
      </c>
      <c r="Q14" s="659">
        <f>Calculations!P19/Calculations!P$9</f>
        <v>0</v>
      </c>
      <c r="R14" s="659">
        <f>Calculations!Q19/Calculations!Q$9</f>
        <v>0</v>
      </c>
      <c r="S14" s="659">
        <f>Calculations!R19/Calculations!R$9</f>
        <v>0</v>
      </c>
      <c r="T14" s="659">
        <f>Calculations!S19/Calculations!S$9</f>
        <v>0</v>
      </c>
      <c r="U14" s="659">
        <f>Calculations!T19/Calculations!T$9</f>
        <v>0</v>
      </c>
      <c r="V14" s="659">
        <f>Calculations!U19/Calculations!U$9</f>
        <v>0</v>
      </c>
      <c r="W14" s="659">
        <f>Calculations!V19/Calculations!V$9</f>
        <v>0</v>
      </c>
      <c r="X14" s="659">
        <f>Calculations!W19/Calculations!W$9</f>
        <v>0</v>
      </c>
      <c r="Y14" s="659">
        <f>Calculations!X19/Calculations!X$9</f>
        <v>0</v>
      </c>
      <c r="Z14" s="659">
        <f>Calculations!Y19/Calculations!Y$9</f>
        <v>0</v>
      </c>
    </row>
    <row r="15" spans="3:45" ht="16.5" customHeight="1" x14ac:dyDescent="0.2">
      <c r="C15" s="513"/>
      <c r="D15" s="660" t="str">
        <f>Calculations!C20</f>
        <v xml:space="preserve">Call centre response </v>
      </c>
      <c r="E15" s="657">
        <f t="shared" si="2"/>
        <v>0</v>
      </c>
      <c r="F15" s="659">
        <f>Calculations!E20/Calculations!E$9</f>
        <v>0</v>
      </c>
      <c r="G15" s="659">
        <f>Calculations!F20/Calculations!F$9</f>
        <v>0</v>
      </c>
      <c r="H15" s="659">
        <f>Calculations!G20/Calculations!G$9</f>
        <v>0</v>
      </c>
      <c r="I15" s="659">
        <f>Calculations!H20/Calculations!H$9</f>
        <v>0</v>
      </c>
      <c r="J15" s="659">
        <f>Calculations!I20/Calculations!I$9</f>
        <v>0</v>
      </c>
      <c r="K15" s="659">
        <f>Calculations!J20/Calculations!J$9</f>
        <v>0</v>
      </c>
      <c r="L15" s="659">
        <f>Calculations!K20/Calculations!K$9</f>
        <v>0</v>
      </c>
      <c r="M15" s="659">
        <f>Calculations!L20/Calculations!L$9</f>
        <v>0</v>
      </c>
      <c r="N15" s="659">
        <f>Calculations!M20/Calculations!M$9</f>
        <v>0</v>
      </c>
      <c r="O15" s="659">
        <f>Calculations!N20/Calculations!N$9</f>
        <v>0</v>
      </c>
      <c r="P15" s="659">
        <f>Calculations!O20/Calculations!O$9</f>
        <v>0</v>
      </c>
      <c r="Q15" s="659">
        <f>Calculations!P20/Calculations!P$9</f>
        <v>0</v>
      </c>
      <c r="R15" s="659">
        <f>Calculations!Q20/Calculations!Q$9</f>
        <v>0</v>
      </c>
      <c r="S15" s="659">
        <f>Calculations!R20/Calculations!R$9</f>
        <v>0</v>
      </c>
      <c r="T15" s="659">
        <f>Calculations!S20/Calculations!S$9</f>
        <v>0</v>
      </c>
      <c r="U15" s="659">
        <f>Calculations!T20/Calculations!T$9</f>
        <v>0</v>
      </c>
      <c r="V15" s="659">
        <f>Calculations!U20/Calculations!U$9</f>
        <v>0</v>
      </c>
      <c r="W15" s="659">
        <f>Calculations!V20/Calculations!V$9</f>
        <v>0</v>
      </c>
      <c r="X15" s="659">
        <f>Calculations!W20/Calculations!W$9</f>
        <v>0</v>
      </c>
      <c r="Y15" s="659">
        <f>Calculations!X20/Calculations!X$9</f>
        <v>0</v>
      </c>
      <c r="Z15" s="659">
        <f>Calculations!Y20/Calculations!Y$9</f>
        <v>0</v>
      </c>
    </row>
    <row r="16" spans="3:45" ht="16.5" customHeight="1" x14ac:dyDescent="0.2">
      <c r="C16" s="513"/>
      <c r="D16" s="656" t="str">
        <f>Calculations!C21</f>
        <v>Network Outage Costs</v>
      </c>
      <c r="E16" s="657">
        <f t="shared" si="2"/>
        <v>0</v>
      </c>
      <c r="F16" s="659">
        <f>Calculations!E21/Calculations!E$9</f>
        <v>0</v>
      </c>
      <c r="G16" s="659">
        <f>Calculations!F21/Calculations!F$9</f>
        <v>0</v>
      </c>
      <c r="H16" s="659">
        <f>Calculations!G21/Calculations!G$9</f>
        <v>0</v>
      </c>
      <c r="I16" s="659">
        <f>Calculations!H21/Calculations!H$9</f>
        <v>0</v>
      </c>
      <c r="J16" s="659">
        <f>Calculations!I21/Calculations!I$9</f>
        <v>0</v>
      </c>
      <c r="K16" s="659">
        <f>Calculations!J21/Calculations!J$9</f>
        <v>0</v>
      </c>
      <c r="L16" s="659">
        <f>Calculations!K21/Calculations!K$9</f>
        <v>0</v>
      </c>
      <c r="M16" s="659">
        <f>Calculations!L21/Calculations!L$9</f>
        <v>0</v>
      </c>
      <c r="N16" s="659">
        <f>Calculations!M21/Calculations!M$9</f>
        <v>0</v>
      </c>
      <c r="O16" s="659">
        <f>Calculations!N21/Calculations!N$9</f>
        <v>0</v>
      </c>
      <c r="P16" s="659">
        <f>Calculations!O21/Calculations!O$9</f>
        <v>0</v>
      </c>
      <c r="Q16" s="659">
        <f>Calculations!P21/Calculations!P$9</f>
        <v>0</v>
      </c>
      <c r="R16" s="659">
        <f>Calculations!Q21/Calculations!Q$9</f>
        <v>0</v>
      </c>
      <c r="S16" s="659">
        <f>Calculations!R21/Calculations!R$9</f>
        <v>0</v>
      </c>
      <c r="T16" s="659">
        <f>Calculations!S21/Calculations!S$9</f>
        <v>0</v>
      </c>
      <c r="U16" s="659">
        <f>Calculations!T21/Calculations!T$9</f>
        <v>0</v>
      </c>
      <c r="V16" s="659">
        <f>Calculations!U21/Calculations!U$9</f>
        <v>0</v>
      </c>
      <c r="W16" s="659">
        <f>Calculations!V21/Calculations!V$9</f>
        <v>0</v>
      </c>
      <c r="X16" s="659">
        <f>Calculations!W21/Calculations!W$9</f>
        <v>0</v>
      </c>
      <c r="Y16" s="659">
        <f>Calculations!X21/Calculations!X$9</f>
        <v>0</v>
      </c>
      <c r="Z16" s="659">
        <f>Calculations!Y21/Calculations!Y$9</f>
        <v>0</v>
      </c>
    </row>
    <row r="17" spans="3:26" ht="16.5" customHeight="1" x14ac:dyDescent="0.2">
      <c r="C17" s="513"/>
      <c r="D17" s="656" t="str">
        <f>Calculations!C22</f>
        <v>Loss of F Factor Benefit</v>
      </c>
      <c r="E17" s="657">
        <f t="shared" si="2"/>
        <v>0</v>
      </c>
      <c r="F17" s="659">
        <f>Calculations!E22/Calculations!E$9</f>
        <v>0</v>
      </c>
      <c r="G17" s="659">
        <f>Calculations!F22/Calculations!F$9</f>
        <v>0</v>
      </c>
      <c r="H17" s="659">
        <f>Calculations!G22/Calculations!G$9</f>
        <v>0</v>
      </c>
      <c r="I17" s="659">
        <f>Calculations!H22/Calculations!H$9</f>
        <v>0</v>
      </c>
      <c r="J17" s="659">
        <f>Calculations!I22/Calculations!I$9</f>
        <v>0</v>
      </c>
      <c r="K17" s="659">
        <f>Calculations!J22/Calculations!J$9</f>
        <v>0</v>
      </c>
      <c r="L17" s="659">
        <f>Calculations!K22/Calculations!K$9</f>
        <v>0</v>
      </c>
      <c r="M17" s="659">
        <f>Calculations!L22/Calculations!L$9</f>
        <v>0</v>
      </c>
      <c r="N17" s="659">
        <f>Calculations!M22/Calculations!M$9</f>
        <v>0</v>
      </c>
      <c r="O17" s="659">
        <f>Calculations!N22/Calculations!N$9</f>
        <v>0</v>
      </c>
      <c r="P17" s="659">
        <f>Calculations!O22/Calculations!O$9</f>
        <v>0</v>
      </c>
      <c r="Q17" s="659">
        <f>Calculations!P22/Calculations!P$9</f>
        <v>0</v>
      </c>
      <c r="R17" s="659">
        <f>Calculations!Q22/Calculations!Q$9</f>
        <v>0</v>
      </c>
      <c r="S17" s="659">
        <f>Calculations!R22/Calculations!R$9</f>
        <v>0</v>
      </c>
      <c r="T17" s="659">
        <f>Calculations!S22/Calculations!S$9</f>
        <v>0</v>
      </c>
      <c r="U17" s="659">
        <f>Calculations!T22/Calculations!T$9</f>
        <v>0</v>
      </c>
      <c r="V17" s="659">
        <f>Calculations!U22/Calculations!U$9</f>
        <v>0</v>
      </c>
      <c r="W17" s="659">
        <f>Calculations!V22/Calculations!V$9</f>
        <v>0</v>
      </c>
      <c r="X17" s="659">
        <f>Calculations!W22/Calculations!W$9</f>
        <v>0</v>
      </c>
      <c r="Y17" s="659">
        <f>Calculations!X22/Calculations!X$9</f>
        <v>0</v>
      </c>
      <c r="Z17" s="659">
        <f>Calculations!Y22/Calculations!Y$9</f>
        <v>0</v>
      </c>
    </row>
    <row r="18" spans="3:26" ht="16.5" customHeight="1" x14ac:dyDescent="0.2">
      <c r="C18" s="513"/>
      <c r="D18" s="656" t="str">
        <f>Calculations!C23</f>
        <v>Cost 1</v>
      </c>
      <c r="E18" s="657">
        <f t="shared" si="2"/>
        <v>0</v>
      </c>
      <c r="F18" s="659">
        <f>Calculations!E23/Calculations!E$9</f>
        <v>0</v>
      </c>
      <c r="G18" s="659">
        <f>Calculations!F23/Calculations!F$9</f>
        <v>0</v>
      </c>
      <c r="H18" s="659">
        <f>Calculations!G23/Calculations!G$9</f>
        <v>0</v>
      </c>
      <c r="I18" s="659">
        <f>Calculations!H23/Calculations!H$9</f>
        <v>0</v>
      </c>
      <c r="J18" s="659">
        <f>Calculations!I23/Calculations!I$9</f>
        <v>0</v>
      </c>
      <c r="K18" s="659">
        <f>Calculations!J23/Calculations!J$9</f>
        <v>0</v>
      </c>
      <c r="L18" s="659">
        <f>Calculations!K23/Calculations!K$9</f>
        <v>0</v>
      </c>
      <c r="M18" s="659">
        <f>Calculations!L23/Calculations!L$9</f>
        <v>0</v>
      </c>
      <c r="N18" s="659">
        <f>Calculations!M23/Calculations!M$9</f>
        <v>0</v>
      </c>
      <c r="O18" s="659">
        <f>Calculations!N23/Calculations!N$9</f>
        <v>0</v>
      </c>
      <c r="P18" s="659">
        <f>Calculations!O23/Calculations!O$9</f>
        <v>0</v>
      </c>
      <c r="Q18" s="659">
        <f>Calculations!P23/Calculations!P$9</f>
        <v>0</v>
      </c>
      <c r="R18" s="659">
        <f>Calculations!Q23/Calculations!Q$9</f>
        <v>0</v>
      </c>
      <c r="S18" s="659">
        <f>Calculations!R23/Calculations!R$9</f>
        <v>0</v>
      </c>
      <c r="T18" s="659">
        <f>Calculations!S23/Calculations!S$9</f>
        <v>0</v>
      </c>
      <c r="U18" s="659">
        <f>Calculations!T23/Calculations!T$9</f>
        <v>0</v>
      </c>
      <c r="V18" s="659">
        <f>Calculations!U23/Calculations!U$9</f>
        <v>0</v>
      </c>
      <c r="W18" s="659">
        <f>Calculations!V23/Calculations!V$9</f>
        <v>0</v>
      </c>
      <c r="X18" s="659">
        <f>Calculations!W23/Calculations!W$9</f>
        <v>0</v>
      </c>
      <c r="Y18" s="659">
        <f>Calculations!X23/Calculations!X$9</f>
        <v>0</v>
      </c>
      <c r="Z18" s="659">
        <f>Calculations!Y23/Calculations!Y$9</f>
        <v>0</v>
      </c>
    </row>
    <row r="19" spans="3:26" ht="16.5" customHeight="1" x14ac:dyDescent="0.2">
      <c r="C19" s="513"/>
      <c r="D19" s="656" t="str">
        <f>Calculations!C24</f>
        <v>Cost 2</v>
      </c>
      <c r="E19" s="657">
        <f t="shared" si="2"/>
        <v>0</v>
      </c>
      <c r="F19" s="659">
        <f>Calculations!E24/Calculations!E$9</f>
        <v>0</v>
      </c>
      <c r="G19" s="659">
        <f>Calculations!F24/Calculations!F$9</f>
        <v>0</v>
      </c>
      <c r="H19" s="659">
        <f>Calculations!G24/Calculations!G$9</f>
        <v>0</v>
      </c>
      <c r="I19" s="659">
        <f>Calculations!H24/Calculations!H$9</f>
        <v>0</v>
      </c>
      <c r="J19" s="659">
        <f>Calculations!I24/Calculations!I$9</f>
        <v>0</v>
      </c>
      <c r="K19" s="659">
        <f>Calculations!J24/Calculations!J$9</f>
        <v>0</v>
      </c>
      <c r="L19" s="659">
        <f>Calculations!K24/Calculations!K$9</f>
        <v>0</v>
      </c>
      <c r="M19" s="659">
        <f>Calculations!L24/Calculations!L$9</f>
        <v>0</v>
      </c>
      <c r="N19" s="659">
        <f>Calculations!M24/Calculations!M$9</f>
        <v>0</v>
      </c>
      <c r="O19" s="659">
        <f>Calculations!N24/Calculations!N$9</f>
        <v>0</v>
      </c>
      <c r="P19" s="659">
        <f>Calculations!O24/Calculations!O$9</f>
        <v>0</v>
      </c>
      <c r="Q19" s="659">
        <f>Calculations!P24/Calculations!P$9</f>
        <v>0</v>
      </c>
      <c r="R19" s="659">
        <f>Calculations!Q24/Calculations!Q$9</f>
        <v>0</v>
      </c>
      <c r="S19" s="659">
        <f>Calculations!R24/Calculations!R$9</f>
        <v>0</v>
      </c>
      <c r="T19" s="659">
        <f>Calculations!S24/Calculations!S$9</f>
        <v>0</v>
      </c>
      <c r="U19" s="659">
        <f>Calculations!T24/Calculations!T$9</f>
        <v>0</v>
      </c>
      <c r="V19" s="659">
        <f>Calculations!U24/Calculations!U$9</f>
        <v>0</v>
      </c>
      <c r="W19" s="659">
        <f>Calculations!V24/Calculations!V$9</f>
        <v>0</v>
      </c>
      <c r="X19" s="659">
        <f>Calculations!W24/Calculations!W$9</f>
        <v>0</v>
      </c>
      <c r="Y19" s="659">
        <f>Calculations!X24/Calculations!X$9</f>
        <v>0</v>
      </c>
      <c r="Z19" s="659">
        <f>Calculations!Y24/Calculations!Y$9</f>
        <v>0</v>
      </c>
    </row>
    <row r="20" spans="3:26" ht="16.5" customHeight="1" x14ac:dyDescent="0.2">
      <c r="C20" s="513"/>
      <c r="D20" s="656" t="str">
        <f>Calculations!C25</f>
        <v>Cost 3</v>
      </c>
      <c r="E20" s="657">
        <f t="shared" si="2"/>
        <v>0</v>
      </c>
      <c r="F20" s="659">
        <f>Calculations!E25/Calculations!E$9</f>
        <v>0</v>
      </c>
      <c r="G20" s="659">
        <f>Calculations!F25/Calculations!F$9</f>
        <v>0</v>
      </c>
      <c r="H20" s="659">
        <f>Calculations!G25/Calculations!G$9</f>
        <v>0</v>
      </c>
      <c r="I20" s="659">
        <f>Calculations!H25/Calculations!H$9</f>
        <v>0</v>
      </c>
      <c r="J20" s="659">
        <f>Calculations!I25/Calculations!I$9</f>
        <v>0</v>
      </c>
      <c r="K20" s="659">
        <f>Calculations!J25/Calculations!J$9</f>
        <v>0</v>
      </c>
      <c r="L20" s="659">
        <f>Calculations!K25/Calculations!K$9</f>
        <v>0</v>
      </c>
      <c r="M20" s="659">
        <f>Calculations!L25/Calculations!L$9</f>
        <v>0</v>
      </c>
      <c r="N20" s="659">
        <f>Calculations!M25/Calculations!M$9</f>
        <v>0</v>
      </c>
      <c r="O20" s="659">
        <f>Calculations!N25/Calculations!N$9</f>
        <v>0</v>
      </c>
      <c r="P20" s="659">
        <f>Calculations!O25/Calculations!O$9</f>
        <v>0</v>
      </c>
      <c r="Q20" s="659">
        <f>Calculations!P25/Calculations!P$9</f>
        <v>0</v>
      </c>
      <c r="R20" s="659">
        <f>Calculations!Q25/Calculations!Q$9</f>
        <v>0</v>
      </c>
      <c r="S20" s="659">
        <f>Calculations!R25/Calculations!R$9</f>
        <v>0</v>
      </c>
      <c r="T20" s="659">
        <f>Calculations!S25/Calculations!S$9</f>
        <v>0</v>
      </c>
      <c r="U20" s="659">
        <f>Calculations!T25/Calculations!T$9</f>
        <v>0</v>
      </c>
      <c r="V20" s="659">
        <f>Calculations!U25/Calculations!U$9</f>
        <v>0</v>
      </c>
      <c r="W20" s="659">
        <f>Calculations!V25/Calculations!V$9</f>
        <v>0</v>
      </c>
      <c r="X20" s="659">
        <f>Calculations!W25/Calculations!W$9</f>
        <v>0</v>
      </c>
      <c r="Y20" s="659">
        <f>Calculations!X25/Calculations!X$9</f>
        <v>0</v>
      </c>
      <c r="Z20" s="659">
        <f>Calculations!Y25/Calculations!Y$9</f>
        <v>0</v>
      </c>
    </row>
    <row r="21" spans="3:26" ht="16.5" customHeight="1" x14ac:dyDescent="0.2">
      <c r="C21" s="513"/>
      <c r="D21" s="656" t="str">
        <f>Calculations!C26</f>
        <v>Cost 4</v>
      </c>
      <c r="E21" s="657">
        <f t="shared" si="2"/>
        <v>0</v>
      </c>
      <c r="F21" s="659">
        <f>Calculations!E26/Calculations!E$9</f>
        <v>0</v>
      </c>
      <c r="G21" s="659">
        <f>Calculations!F26/Calculations!F$9</f>
        <v>0</v>
      </c>
      <c r="H21" s="659">
        <f>Calculations!G26/Calculations!G$9</f>
        <v>0</v>
      </c>
      <c r="I21" s="659">
        <f>Calculations!H26/Calculations!H$9</f>
        <v>0</v>
      </c>
      <c r="J21" s="659">
        <f>Calculations!I26/Calculations!I$9</f>
        <v>0</v>
      </c>
      <c r="K21" s="659">
        <f>Calculations!J26/Calculations!J$9</f>
        <v>0</v>
      </c>
      <c r="L21" s="659">
        <f>Calculations!K26/Calculations!K$9</f>
        <v>0</v>
      </c>
      <c r="M21" s="659">
        <f>Calculations!L26/Calculations!L$9</f>
        <v>0</v>
      </c>
      <c r="N21" s="659">
        <f>Calculations!M26/Calculations!M$9</f>
        <v>0</v>
      </c>
      <c r="O21" s="659">
        <f>Calculations!N26/Calculations!N$9</f>
        <v>0</v>
      </c>
      <c r="P21" s="659">
        <f>Calculations!O26/Calculations!O$9</f>
        <v>0</v>
      </c>
      <c r="Q21" s="659">
        <f>Calculations!P26/Calculations!P$9</f>
        <v>0</v>
      </c>
      <c r="R21" s="659">
        <f>Calculations!Q26/Calculations!Q$9</f>
        <v>0</v>
      </c>
      <c r="S21" s="659">
        <f>Calculations!R26/Calculations!R$9</f>
        <v>0</v>
      </c>
      <c r="T21" s="659">
        <f>Calculations!S26/Calculations!S$9</f>
        <v>0</v>
      </c>
      <c r="U21" s="659">
        <f>Calculations!T26/Calculations!T$9</f>
        <v>0</v>
      </c>
      <c r="V21" s="659">
        <f>Calculations!U26/Calculations!U$9</f>
        <v>0</v>
      </c>
      <c r="W21" s="659">
        <f>Calculations!V26/Calculations!V$9</f>
        <v>0</v>
      </c>
      <c r="X21" s="659">
        <f>Calculations!W26/Calculations!W$9</f>
        <v>0</v>
      </c>
      <c r="Y21" s="659">
        <f>Calculations!X26/Calculations!X$9</f>
        <v>0</v>
      </c>
      <c r="Z21" s="659">
        <f>Calculations!Y26/Calculations!Y$9</f>
        <v>0</v>
      </c>
    </row>
    <row r="22" spans="3:26" ht="16.5" customHeight="1" x14ac:dyDescent="0.2">
      <c r="C22" s="513"/>
      <c r="D22" s="656" t="str">
        <f>Calculations!C27</f>
        <v>Cost 5</v>
      </c>
      <c r="E22" s="657">
        <f t="shared" si="2"/>
        <v>0</v>
      </c>
      <c r="F22" s="659">
        <f>Calculations!E27/Calculations!E$9</f>
        <v>0</v>
      </c>
      <c r="G22" s="659">
        <f>Calculations!F27/Calculations!F$9</f>
        <v>0</v>
      </c>
      <c r="H22" s="659">
        <f>Calculations!G27/Calculations!G$9</f>
        <v>0</v>
      </c>
      <c r="I22" s="659">
        <f>Calculations!H27/Calculations!H$9</f>
        <v>0</v>
      </c>
      <c r="J22" s="659">
        <f>Calculations!I27/Calculations!I$9</f>
        <v>0</v>
      </c>
      <c r="K22" s="659">
        <f>Calculations!J27/Calculations!J$9</f>
        <v>0</v>
      </c>
      <c r="L22" s="659">
        <f>Calculations!K27/Calculations!K$9</f>
        <v>0</v>
      </c>
      <c r="M22" s="659">
        <f>Calculations!L27/Calculations!L$9</f>
        <v>0</v>
      </c>
      <c r="N22" s="659">
        <f>Calculations!M27/Calculations!M$9</f>
        <v>0</v>
      </c>
      <c r="O22" s="659">
        <f>Calculations!N27/Calculations!N$9</f>
        <v>0</v>
      </c>
      <c r="P22" s="659">
        <f>Calculations!O27/Calculations!O$9</f>
        <v>0</v>
      </c>
      <c r="Q22" s="659">
        <f>Calculations!P27/Calculations!P$9</f>
        <v>0</v>
      </c>
      <c r="R22" s="659">
        <f>Calculations!Q27/Calculations!Q$9</f>
        <v>0</v>
      </c>
      <c r="S22" s="659">
        <f>Calculations!R27/Calculations!R$9</f>
        <v>0</v>
      </c>
      <c r="T22" s="659">
        <f>Calculations!S27/Calculations!S$9</f>
        <v>0</v>
      </c>
      <c r="U22" s="659">
        <f>Calculations!T27/Calculations!T$9</f>
        <v>0</v>
      </c>
      <c r="V22" s="659">
        <f>Calculations!U27/Calculations!U$9</f>
        <v>0</v>
      </c>
      <c r="W22" s="659">
        <f>Calculations!V27/Calculations!V$9</f>
        <v>0</v>
      </c>
      <c r="X22" s="659">
        <f>Calculations!W27/Calculations!W$9</f>
        <v>0</v>
      </c>
      <c r="Y22" s="659">
        <f>Calculations!X27/Calculations!X$9</f>
        <v>0</v>
      </c>
      <c r="Z22" s="659">
        <f>Calculations!Y27/Calculations!Y$9</f>
        <v>0</v>
      </c>
    </row>
    <row r="23" spans="3:26" ht="16.5" customHeight="1" x14ac:dyDescent="0.2">
      <c r="C23" s="513"/>
      <c r="D23" s="656" t="str">
        <f>Calculations!C28</f>
        <v>Risk 1</v>
      </c>
      <c r="E23" s="657">
        <f t="shared" si="2"/>
        <v>0</v>
      </c>
      <c r="F23" s="659">
        <f>Calculations!E28/Calculations!E$9</f>
        <v>0</v>
      </c>
      <c r="G23" s="659">
        <f>Calculations!F28/Calculations!F$9</f>
        <v>0</v>
      </c>
      <c r="H23" s="659">
        <f>Calculations!G28/Calculations!G$9</f>
        <v>0</v>
      </c>
      <c r="I23" s="659">
        <f>Calculations!H28/Calculations!H$9</f>
        <v>0</v>
      </c>
      <c r="J23" s="659">
        <f>Calculations!I28/Calculations!I$9</f>
        <v>0</v>
      </c>
      <c r="K23" s="659">
        <f>Calculations!J28/Calculations!J$9</f>
        <v>0</v>
      </c>
      <c r="L23" s="659">
        <f>Calculations!K28/Calculations!K$9</f>
        <v>0</v>
      </c>
      <c r="M23" s="659">
        <f>Calculations!L28/Calculations!L$9</f>
        <v>0</v>
      </c>
      <c r="N23" s="659">
        <f>Calculations!M28/Calculations!M$9</f>
        <v>0</v>
      </c>
      <c r="O23" s="659">
        <f>Calculations!N28/Calculations!N$9</f>
        <v>0</v>
      </c>
      <c r="P23" s="659">
        <f>Calculations!O28/Calculations!O$9</f>
        <v>0</v>
      </c>
      <c r="Q23" s="659">
        <f>Calculations!P28/Calculations!P$9</f>
        <v>0</v>
      </c>
      <c r="R23" s="659">
        <f>Calculations!Q28/Calculations!Q$9</f>
        <v>0</v>
      </c>
      <c r="S23" s="659">
        <f>Calculations!R28/Calculations!R$9</f>
        <v>0</v>
      </c>
      <c r="T23" s="659">
        <f>Calculations!S28/Calculations!S$9</f>
        <v>0</v>
      </c>
      <c r="U23" s="659">
        <f>Calculations!T28/Calculations!T$9</f>
        <v>0</v>
      </c>
      <c r="V23" s="659">
        <f>Calculations!U28/Calculations!U$9</f>
        <v>0</v>
      </c>
      <c r="W23" s="659">
        <f>Calculations!V28/Calculations!V$9</f>
        <v>0</v>
      </c>
      <c r="X23" s="659">
        <f>Calculations!W28/Calculations!W$9</f>
        <v>0</v>
      </c>
      <c r="Y23" s="659">
        <f>Calculations!X28/Calculations!X$9</f>
        <v>0</v>
      </c>
      <c r="Z23" s="659">
        <f>Calculations!Y28/Calculations!Y$9</f>
        <v>0</v>
      </c>
    </row>
    <row r="24" spans="3:26" ht="16.5" customHeight="1" x14ac:dyDescent="0.2">
      <c r="C24" s="513"/>
      <c r="D24" s="656" t="str">
        <f>Calculations!C29</f>
        <v>Risk 2</v>
      </c>
      <c r="E24" s="657">
        <f t="shared" si="2"/>
        <v>0</v>
      </c>
      <c r="F24" s="659">
        <f>Calculations!E29/Calculations!E$9</f>
        <v>0</v>
      </c>
      <c r="G24" s="659">
        <f>Calculations!F29/Calculations!F$9</f>
        <v>0</v>
      </c>
      <c r="H24" s="659">
        <f>Calculations!G29/Calculations!G$9</f>
        <v>0</v>
      </c>
      <c r="I24" s="659">
        <f>Calculations!H29/Calculations!H$9</f>
        <v>0</v>
      </c>
      <c r="J24" s="659">
        <f>Calculations!I29/Calculations!I$9</f>
        <v>0</v>
      </c>
      <c r="K24" s="659">
        <f>Calculations!J29/Calculations!J$9</f>
        <v>0</v>
      </c>
      <c r="L24" s="659">
        <f>Calculations!K29/Calculations!K$9</f>
        <v>0</v>
      </c>
      <c r="M24" s="659">
        <f>Calculations!L29/Calculations!L$9</f>
        <v>0</v>
      </c>
      <c r="N24" s="659">
        <f>Calculations!M29/Calculations!M$9</f>
        <v>0</v>
      </c>
      <c r="O24" s="659">
        <f>Calculations!N29/Calculations!N$9</f>
        <v>0</v>
      </c>
      <c r="P24" s="659">
        <f>Calculations!O29/Calculations!O$9</f>
        <v>0</v>
      </c>
      <c r="Q24" s="659">
        <f>Calculations!P29/Calculations!P$9</f>
        <v>0</v>
      </c>
      <c r="R24" s="659">
        <f>Calculations!Q29/Calculations!Q$9</f>
        <v>0</v>
      </c>
      <c r="S24" s="659">
        <f>Calculations!R29/Calculations!R$9</f>
        <v>0</v>
      </c>
      <c r="T24" s="659">
        <f>Calculations!S29/Calculations!S$9</f>
        <v>0</v>
      </c>
      <c r="U24" s="659">
        <f>Calculations!T29/Calculations!T$9</f>
        <v>0</v>
      </c>
      <c r="V24" s="659">
        <f>Calculations!U29/Calculations!U$9</f>
        <v>0</v>
      </c>
      <c r="W24" s="659">
        <f>Calculations!V29/Calculations!V$9</f>
        <v>0</v>
      </c>
      <c r="X24" s="659">
        <f>Calculations!W29/Calculations!W$9</f>
        <v>0</v>
      </c>
      <c r="Y24" s="659">
        <f>Calculations!X29/Calculations!X$9</f>
        <v>0</v>
      </c>
      <c r="Z24" s="659">
        <f>Calculations!Y29/Calculations!Y$9</f>
        <v>0</v>
      </c>
    </row>
    <row r="25" spans="3:26" ht="16.5" customHeight="1" x14ac:dyDescent="0.2">
      <c r="C25" s="513"/>
      <c r="D25" s="656" t="str">
        <f>Calculations!C30</f>
        <v>Risk 3</v>
      </c>
      <c r="E25" s="657">
        <f t="shared" si="2"/>
        <v>0</v>
      </c>
      <c r="F25" s="659">
        <f>Calculations!E30/Calculations!E$9</f>
        <v>0</v>
      </c>
      <c r="G25" s="659">
        <f>Calculations!F30/Calculations!F$9</f>
        <v>0</v>
      </c>
      <c r="H25" s="659">
        <f>Calculations!G30/Calculations!G$9</f>
        <v>0</v>
      </c>
      <c r="I25" s="659">
        <f>Calculations!H30/Calculations!H$9</f>
        <v>0</v>
      </c>
      <c r="J25" s="659">
        <f>Calculations!I30/Calculations!I$9</f>
        <v>0</v>
      </c>
      <c r="K25" s="659">
        <f>Calculations!J30/Calculations!J$9</f>
        <v>0</v>
      </c>
      <c r="L25" s="659">
        <f>Calculations!K30/Calculations!K$9</f>
        <v>0</v>
      </c>
      <c r="M25" s="659">
        <f>Calculations!L30/Calculations!L$9</f>
        <v>0</v>
      </c>
      <c r="N25" s="659">
        <f>Calculations!M30/Calculations!M$9</f>
        <v>0</v>
      </c>
      <c r="O25" s="659">
        <f>Calculations!N30/Calculations!N$9</f>
        <v>0</v>
      </c>
      <c r="P25" s="659">
        <f>Calculations!O30/Calculations!O$9</f>
        <v>0</v>
      </c>
      <c r="Q25" s="659">
        <f>Calculations!P30/Calculations!P$9</f>
        <v>0</v>
      </c>
      <c r="R25" s="659">
        <f>Calculations!Q30/Calculations!Q$9</f>
        <v>0</v>
      </c>
      <c r="S25" s="659">
        <f>Calculations!R30/Calculations!R$9</f>
        <v>0</v>
      </c>
      <c r="T25" s="659">
        <f>Calculations!S30/Calculations!S$9</f>
        <v>0</v>
      </c>
      <c r="U25" s="659">
        <f>Calculations!T30/Calculations!T$9</f>
        <v>0</v>
      </c>
      <c r="V25" s="659">
        <f>Calculations!U30/Calculations!U$9</f>
        <v>0</v>
      </c>
      <c r="W25" s="659">
        <f>Calculations!V30/Calculations!V$9</f>
        <v>0</v>
      </c>
      <c r="X25" s="659">
        <f>Calculations!W30/Calculations!W$9</f>
        <v>0</v>
      </c>
      <c r="Y25" s="659">
        <f>Calculations!X30/Calculations!X$9</f>
        <v>0</v>
      </c>
      <c r="Z25" s="659">
        <f>Calculations!Y30/Calculations!Y$9</f>
        <v>0</v>
      </c>
    </row>
    <row r="26" spans="3:26" ht="16.5" customHeight="1" x14ac:dyDescent="0.2">
      <c r="C26" s="513"/>
      <c r="D26" s="656" t="str">
        <f>Calculations!C31</f>
        <v>Risk 4</v>
      </c>
      <c r="E26" s="657">
        <f t="shared" si="2"/>
        <v>0</v>
      </c>
      <c r="F26" s="659">
        <f>Calculations!E31/Calculations!E$9</f>
        <v>0</v>
      </c>
      <c r="G26" s="659">
        <f>Calculations!F31/Calculations!F$9</f>
        <v>0</v>
      </c>
      <c r="H26" s="659">
        <f>Calculations!G31/Calculations!G$9</f>
        <v>0</v>
      </c>
      <c r="I26" s="659">
        <f>Calculations!H31/Calculations!H$9</f>
        <v>0</v>
      </c>
      <c r="J26" s="659">
        <f>Calculations!I31/Calculations!I$9</f>
        <v>0</v>
      </c>
      <c r="K26" s="659">
        <f>Calculations!J31/Calculations!J$9</f>
        <v>0</v>
      </c>
      <c r="L26" s="659">
        <f>Calculations!K31/Calculations!K$9</f>
        <v>0</v>
      </c>
      <c r="M26" s="659">
        <f>Calculations!L31/Calculations!L$9</f>
        <v>0</v>
      </c>
      <c r="N26" s="659">
        <f>Calculations!M31/Calculations!M$9</f>
        <v>0</v>
      </c>
      <c r="O26" s="659">
        <f>Calculations!N31/Calculations!N$9</f>
        <v>0</v>
      </c>
      <c r="P26" s="659">
        <f>Calculations!O31/Calculations!O$9</f>
        <v>0</v>
      </c>
      <c r="Q26" s="659">
        <f>Calculations!P31/Calculations!P$9</f>
        <v>0</v>
      </c>
      <c r="R26" s="659">
        <f>Calculations!Q31/Calculations!Q$9</f>
        <v>0</v>
      </c>
      <c r="S26" s="659">
        <f>Calculations!R31/Calculations!R$9</f>
        <v>0</v>
      </c>
      <c r="T26" s="659">
        <f>Calculations!S31/Calculations!S$9</f>
        <v>0</v>
      </c>
      <c r="U26" s="659">
        <f>Calculations!T31/Calculations!T$9</f>
        <v>0</v>
      </c>
      <c r="V26" s="659">
        <f>Calculations!U31/Calculations!U$9</f>
        <v>0</v>
      </c>
      <c r="W26" s="659">
        <f>Calculations!V31/Calculations!V$9</f>
        <v>0</v>
      </c>
      <c r="X26" s="659">
        <f>Calculations!W31/Calculations!W$9</f>
        <v>0</v>
      </c>
      <c r="Y26" s="659">
        <f>Calculations!X31/Calculations!X$9</f>
        <v>0</v>
      </c>
      <c r="Z26" s="659">
        <f>Calculations!Y31/Calculations!Y$9</f>
        <v>0</v>
      </c>
    </row>
    <row r="27" spans="3:26" ht="16.5" customHeight="1" x14ac:dyDescent="0.2">
      <c r="C27" s="513"/>
      <c r="D27" s="656" t="str">
        <f>Calculations!C32</f>
        <v>Risk 5</v>
      </c>
      <c r="E27" s="657">
        <f t="shared" si="2"/>
        <v>0</v>
      </c>
      <c r="F27" s="659">
        <f>Calculations!E32/Calculations!E$9</f>
        <v>0</v>
      </c>
      <c r="G27" s="659">
        <f>Calculations!F32/Calculations!F$9</f>
        <v>0</v>
      </c>
      <c r="H27" s="659">
        <f>Calculations!G32/Calculations!G$9</f>
        <v>0</v>
      </c>
      <c r="I27" s="659">
        <f>Calculations!H32/Calculations!H$9</f>
        <v>0</v>
      </c>
      <c r="J27" s="659">
        <f>Calculations!I32/Calculations!I$9</f>
        <v>0</v>
      </c>
      <c r="K27" s="659">
        <f>Calculations!J32/Calculations!J$9</f>
        <v>0</v>
      </c>
      <c r="L27" s="659">
        <f>Calculations!K32/Calculations!K$9</f>
        <v>0</v>
      </c>
      <c r="M27" s="659">
        <f>Calculations!L32/Calculations!L$9</f>
        <v>0</v>
      </c>
      <c r="N27" s="659">
        <f>Calculations!M32/Calculations!M$9</f>
        <v>0</v>
      </c>
      <c r="O27" s="659">
        <f>Calculations!N32/Calculations!N$9</f>
        <v>0</v>
      </c>
      <c r="P27" s="659">
        <f>Calculations!O32/Calculations!O$9</f>
        <v>0</v>
      </c>
      <c r="Q27" s="659">
        <f>Calculations!P32/Calculations!P$9</f>
        <v>0</v>
      </c>
      <c r="R27" s="659">
        <f>Calculations!Q32/Calculations!Q$9</f>
        <v>0</v>
      </c>
      <c r="S27" s="659">
        <f>Calculations!R32/Calculations!R$9</f>
        <v>0</v>
      </c>
      <c r="T27" s="659">
        <f>Calculations!S32/Calculations!S$9</f>
        <v>0</v>
      </c>
      <c r="U27" s="659">
        <f>Calculations!T32/Calculations!T$9</f>
        <v>0</v>
      </c>
      <c r="V27" s="659">
        <f>Calculations!U32/Calculations!U$9</f>
        <v>0</v>
      </c>
      <c r="W27" s="659">
        <f>Calculations!V32/Calculations!V$9</f>
        <v>0</v>
      </c>
      <c r="X27" s="659">
        <f>Calculations!W32/Calculations!W$9</f>
        <v>0</v>
      </c>
      <c r="Y27" s="659">
        <f>Calculations!X32/Calculations!X$9</f>
        <v>0</v>
      </c>
      <c r="Z27" s="659">
        <f>Calculations!Y32/Calculations!Y$9</f>
        <v>0</v>
      </c>
    </row>
    <row r="28" spans="3:26" ht="16.5" customHeight="1" x14ac:dyDescent="0.2">
      <c r="C28" s="513"/>
      <c r="D28" s="656" t="s">
        <v>254</v>
      </c>
      <c r="E28" s="657">
        <f>SUM(E9:E27)-E11</f>
        <v>20593.696270662527</v>
      </c>
      <c r="F28" s="657">
        <f t="shared" ref="F28:Z28" si="3">SUM(F9:F27)-F11</f>
        <v>0</v>
      </c>
      <c r="G28" s="657">
        <f t="shared" si="3"/>
        <v>0</v>
      </c>
      <c r="H28" s="657">
        <f t="shared" si="3"/>
        <v>0</v>
      </c>
      <c r="I28" s="657">
        <f t="shared" si="3"/>
        <v>1865.6678795736725</v>
      </c>
      <c r="J28" s="657">
        <f t="shared" si="3"/>
        <v>1750.12591923935</v>
      </c>
      <c r="K28" s="657">
        <f t="shared" si="3"/>
        <v>1641.7395436390848</v>
      </c>
      <c r="L28" s="657">
        <f t="shared" si="3"/>
        <v>1540.0656030051377</v>
      </c>
      <c r="M28" s="657">
        <f t="shared" si="3"/>
        <v>1444.6883921076994</v>
      </c>
      <c r="N28" s="657">
        <f t="shared" si="3"/>
        <v>1355.2179505977629</v>
      </c>
      <c r="O28" s="657">
        <f t="shared" si="3"/>
        <v>1271.288468610803</v>
      </c>
      <c r="P28" s="657">
        <f t="shared" si="3"/>
        <v>1192.5567911124067</v>
      </c>
      <c r="Q28" s="657">
        <f t="shared" si="3"/>
        <v>1118.7010148706979</v>
      </c>
      <c r="R28" s="657">
        <f t="shared" si="3"/>
        <v>1049.4191723191216</v>
      </c>
      <c r="S28" s="657">
        <f t="shared" si="3"/>
        <v>984.42799692841868</v>
      </c>
      <c r="T28" s="657">
        <f t="shared" si="3"/>
        <v>923.46176503987272</v>
      </c>
      <c r="U28" s="657">
        <f t="shared" si="3"/>
        <v>866.27120942453905</v>
      </c>
      <c r="V28" s="657">
        <f t="shared" si="3"/>
        <v>812.62250012641471</v>
      </c>
      <c r="W28" s="657">
        <f t="shared" si="3"/>
        <v>762.29628842262548</v>
      </c>
      <c r="X28" s="657">
        <f t="shared" si="3"/>
        <v>715.08680999174055</v>
      </c>
      <c r="Y28" s="657">
        <f t="shared" si="3"/>
        <v>670.80104362342877</v>
      </c>
      <c r="Z28" s="657">
        <f t="shared" si="3"/>
        <v>629.25792202974458</v>
      </c>
    </row>
    <row r="29" spans="3:26" ht="16.5" customHeight="1" x14ac:dyDescent="0.2">
      <c r="C29" s="513"/>
      <c r="D29" s="65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</row>
    <row r="30" spans="3:26" ht="16.5" customHeight="1" x14ac:dyDescent="0.25">
      <c r="C30" s="513"/>
      <c r="D30" s="651" t="str">
        <f>'User Input'!D53</f>
        <v>Option 1: Animal Proofing</v>
      </c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3:26" ht="16.5" customHeight="1" x14ac:dyDescent="0.25">
      <c r="C31" s="513"/>
      <c r="D31" s="499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</row>
    <row r="32" spans="3:26" ht="16.5" customHeight="1" x14ac:dyDescent="0.25">
      <c r="C32" s="513"/>
      <c r="D32" s="654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</row>
    <row r="33" spans="3:26" ht="16.5" customHeight="1" x14ac:dyDescent="0.25">
      <c r="C33" s="513"/>
      <c r="D33" s="654"/>
      <c r="E33" s="655" t="s">
        <v>254</v>
      </c>
      <c r="F33" s="655">
        <f>'User Input'!$E$6</f>
        <v>2016</v>
      </c>
      <c r="G33" s="655">
        <f>F33+1</f>
        <v>2017</v>
      </c>
      <c r="H33" s="655">
        <f t="shared" ref="H33:Z33" si="4">G33+1</f>
        <v>2018</v>
      </c>
      <c r="I33" s="655">
        <f t="shared" si="4"/>
        <v>2019</v>
      </c>
      <c r="J33" s="655">
        <f t="shared" si="4"/>
        <v>2020</v>
      </c>
      <c r="K33" s="655">
        <f t="shared" si="4"/>
        <v>2021</v>
      </c>
      <c r="L33" s="655">
        <f t="shared" si="4"/>
        <v>2022</v>
      </c>
      <c r="M33" s="655">
        <f t="shared" si="4"/>
        <v>2023</v>
      </c>
      <c r="N33" s="655">
        <f t="shared" si="4"/>
        <v>2024</v>
      </c>
      <c r="O33" s="655">
        <f t="shared" si="4"/>
        <v>2025</v>
      </c>
      <c r="P33" s="655">
        <f t="shared" si="4"/>
        <v>2026</v>
      </c>
      <c r="Q33" s="655">
        <f t="shared" si="4"/>
        <v>2027</v>
      </c>
      <c r="R33" s="655">
        <f t="shared" si="4"/>
        <v>2028</v>
      </c>
      <c r="S33" s="655">
        <f t="shared" si="4"/>
        <v>2029</v>
      </c>
      <c r="T33" s="655">
        <f t="shared" si="4"/>
        <v>2030</v>
      </c>
      <c r="U33" s="655">
        <f t="shared" si="4"/>
        <v>2031</v>
      </c>
      <c r="V33" s="655">
        <f t="shared" si="4"/>
        <v>2032</v>
      </c>
      <c r="W33" s="655">
        <f t="shared" si="4"/>
        <v>2033</v>
      </c>
      <c r="X33" s="655">
        <f t="shared" si="4"/>
        <v>2034</v>
      </c>
      <c r="Y33" s="655">
        <f t="shared" si="4"/>
        <v>2035</v>
      </c>
      <c r="Z33" s="655">
        <f t="shared" si="4"/>
        <v>2036</v>
      </c>
    </row>
    <row r="34" spans="3:26" ht="16.5" customHeight="1" x14ac:dyDescent="0.2">
      <c r="C34" s="513"/>
      <c r="D34" s="656" t="str">
        <f>Calculations!C38</f>
        <v>Capital Costs</v>
      </c>
      <c r="E34" s="657">
        <f>SUM(F34:Z34)</f>
        <v>9797.196650409498</v>
      </c>
      <c r="F34" s="659">
        <f>Calculations!E38/Calculations!E$9</f>
        <v>9797.196650409498</v>
      </c>
      <c r="G34" s="659">
        <f>Calculations!F38/Calculations!F$9</f>
        <v>0</v>
      </c>
      <c r="H34" s="659">
        <f>Calculations!G38/Calculations!G$9</f>
        <v>0</v>
      </c>
      <c r="I34" s="659">
        <f>Calculations!H38/Calculations!H$9</f>
        <v>0</v>
      </c>
      <c r="J34" s="659">
        <f>Calculations!I38/Calculations!I$9</f>
        <v>0</v>
      </c>
      <c r="K34" s="659">
        <f>Calculations!J38/Calculations!J$9</f>
        <v>0</v>
      </c>
      <c r="L34" s="659">
        <f>Calculations!K38/Calculations!K$9</f>
        <v>0</v>
      </c>
      <c r="M34" s="659">
        <f>Calculations!L38/Calculations!L$9</f>
        <v>0</v>
      </c>
      <c r="N34" s="659">
        <f>Calculations!M38/Calculations!M$9</f>
        <v>0</v>
      </c>
      <c r="O34" s="659">
        <f>Calculations!N38/Calculations!N$9</f>
        <v>0</v>
      </c>
      <c r="P34" s="659">
        <f>Calculations!O38/Calculations!O$9</f>
        <v>0</v>
      </c>
      <c r="Q34" s="659">
        <f>Calculations!P38/Calculations!P$9</f>
        <v>0</v>
      </c>
      <c r="R34" s="659">
        <f>Calculations!Q38/Calculations!Q$9</f>
        <v>0</v>
      </c>
      <c r="S34" s="659">
        <f>Calculations!R38/Calculations!R$9</f>
        <v>0</v>
      </c>
      <c r="T34" s="659">
        <f>Calculations!S38/Calculations!S$9</f>
        <v>0</v>
      </c>
      <c r="U34" s="659">
        <f>Calculations!T38/Calculations!T$9</f>
        <v>0</v>
      </c>
      <c r="V34" s="659">
        <f>Calculations!U38/Calculations!U$9</f>
        <v>0</v>
      </c>
      <c r="W34" s="659">
        <f>Calculations!V38/Calculations!V$9</f>
        <v>0</v>
      </c>
      <c r="X34" s="659">
        <f>Calculations!W38/Calculations!W$9</f>
        <v>0</v>
      </c>
      <c r="Y34" s="659">
        <f>Calculations!X38/Calculations!X$9</f>
        <v>0</v>
      </c>
      <c r="Z34" s="659">
        <f>Calculations!Y38/Calculations!Y$9</f>
        <v>0</v>
      </c>
    </row>
    <row r="35" spans="3:26" ht="16.5" customHeight="1" x14ac:dyDescent="0.2">
      <c r="C35" s="513"/>
      <c r="D35" s="656" t="str">
        <f>Calculations!C39</f>
        <v>Maintenance Costs</v>
      </c>
      <c r="E35" s="657">
        <f>SUM(F35:Z35)</f>
        <v>0</v>
      </c>
      <c r="F35" s="659">
        <f>Calculations!E39/Calculations!E$9</f>
        <v>0</v>
      </c>
      <c r="G35" s="659">
        <f>Calculations!F39/Calculations!F$9</f>
        <v>0</v>
      </c>
      <c r="H35" s="659">
        <f>Calculations!G39/Calculations!G$9</f>
        <v>0</v>
      </c>
      <c r="I35" s="659">
        <f>Calculations!H39/Calculations!H$9</f>
        <v>0</v>
      </c>
      <c r="J35" s="659">
        <f>Calculations!I39/Calculations!I$9</f>
        <v>0</v>
      </c>
      <c r="K35" s="659">
        <f>Calculations!J39/Calculations!J$9</f>
        <v>0</v>
      </c>
      <c r="L35" s="659">
        <f>Calculations!K39/Calculations!K$9</f>
        <v>0</v>
      </c>
      <c r="M35" s="659">
        <f>Calculations!L39/Calculations!L$9</f>
        <v>0</v>
      </c>
      <c r="N35" s="659">
        <f>Calculations!M39/Calculations!M$9</f>
        <v>0</v>
      </c>
      <c r="O35" s="659">
        <f>Calculations!N39/Calculations!N$9</f>
        <v>0</v>
      </c>
      <c r="P35" s="659">
        <f>Calculations!O39/Calculations!O$9</f>
        <v>0</v>
      </c>
      <c r="Q35" s="659">
        <f>Calculations!P39/Calculations!P$9</f>
        <v>0</v>
      </c>
      <c r="R35" s="659">
        <f>Calculations!Q39/Calculations!Q$9</f>
        <v>0</v>
      </c>
      <c r="S35" s="659">
        <f>Calculations!R39/Calculations!R$9</f>
        <v>0</v>
      </c>
      <c r="T35" s="659">
        <f>Calculations!S39/Calculations!S$9</f>
        <v>0</v>
      </c>
      <c r="U35" s="659">
        <f>Calculations!T39/Calculations!T$9</f>
        <v>0</v>
      </c>
      <c r="V35" s="659">
        <f>Calculations!U39/Calculations!U$9</f>
        <v>0</v>
      </c>
      <c r="W35" s="659">
        <f>Calculations!V39/Calculations!V$9</f>
        <v>0</v>
      </c>
      <c r="X35" s="659">
        <f>Calculations!W39/Calculations!W$9</f>
        <v>0</v>
      </c>
      <c r="Y35" s="659">
        <f>Calculations!X39/Calculations!X$9</f>
        <v>0</v>
      </c>
      <c r="Z35" s="659">
        <f>Calculations!Y39/Calculations!Y$9</f>
        <v>0</v>
      </c>
    </row>
    <row r="36" spans="3:26" ht="16.5" customHeight="1" x14ac:dyDescent="0.2">
      <c r="C36" s="513"/>
      <c r="D36" s="656" t="str">
        <f>Calculations!C40</f>
        <v>Negative Impact on Revenue (STPIS)</v>
      </c>
      <c r="E36" s="657">
        <f t="shared" ref="E36:Z36" si="5">SUM(E37:E40)</f>
        <v>0</v>
      </c>
      <c r="F36" s="657">
        <f t="shared" si="5"/>
        <v>0</v>
      </c>
      <c r="G36" s="657">
        <f t="shared" si="5"/>
        <v>0</v>
      </c>
      <c r="H36" s="657">
        <f t="shared" si="5"/>
        <v>0</v>
      </c>
      <c r="I36" s="657">
        <f t="shared" si="5"/>
        <v>0</v>
      </c>
      <c r="J36" s="657">
        <f t="shared" si="5"/>
        <v>0</v>
      </c>
      <c r="K36" s="657">
        <f t="shared" si="5"/>
        <v>0</v>
      </c>
      <c r="L36" s="657">
        <f t="shared" si="5"/>
        <v>0</v>
      </c>
      <c r="M36" s="657">
        <f t="shared" si="5"/>
        <v>0</v>
      </c>
      <c r="N36" s="657">
        <f t="shared" si="5"/>
        <v>0</v>
      </c>
      <c r="O36" s="657">
        <f t="shared" si="5"/>
        <v>0</v>
      </c>
      <c r="P36" s="657">
        <f t="shared" si="5"/>
        <v>0</v>
      </c>
      <c r="Q36" s="657">
        <f t="shared" si="5"/>
        <v>0</v>
      </c>
      <c r="R36" s="657">
        <f t="shared" si="5"/>
        <v>0</v>
      </c>
      <c r="S36" s="657">
        <f t="shared" si="5"/>
        <v>0</v>
      </c>
      <c r="T36" s="657">
        <f t="shared" si="5"/>
        <v>0</v>
      </c>
      <c r="U36" s="657">
        <f t="shared" si="5"/>
        <v>0</v>
      </c>
      <c r="V36" s="657">
        <f t="shared" si="5"/>
        <v>0</v>
      </c>
      <c r="W36" s="657">
        <f t="shared" si="5"/>
        <v>0</v>
      </c>
      <c r="X36" s="657">
        <f t="shared" si="5"/>
        <v>0</v>
      </c>
      <c r="Y36" s="657">
        <f t="shared" si="5"/>
        <v>0</v>
      </c>
      <c r="Z36" s="657">
        <f t="shared" si="5"/>
        <v>0</v>
      </c>
    </row>
    <row r="37" spans="3:26" ht="16.5" customHeight="1" x14ac:dyDescent="0.2">
      <c r="C37" s="513"/>
      <c r="D37" s="660" t="str">
        <f>Calculations!C41</f>
        <v>SAIFI sustained</v>
      </c>
      <c r="E37" s="657">
        <f t="shared" ref="E37:E52" si="6">SUM(F37:Z37)</f>
        <v>0</v>
      </c>
      <c r="F37" s="659">
        <f>Calculations!E41/Calculations!E$9</f>
        <v>0</v>
      </c>
      <c r="G37" s="659">
        <f>Calculations!F41/Calculations!F$9</f>
        <v>0</v>
      </c>
      <c r="H37" s="659">
        <f>Calculations!G41/Calculations!G$9</f>
        <v>0</v>
      </c>
      <c r="I37" s="659">
        <f>Calculations!H41/Calculations!H$9</f>
        <v>0</v>
      </c>
      <c r="J37" s="659">
        <f>Calculations!I41/Calculations!I$9</f>
        <v>0</v>
      </c>
      <c r="K37" s="659">
        <f>Calculations!J41/Calculations!J$9</f>
        <v>0</v>
      </c>
      <c r="L37" s="659">
        <f>Calculations!K41/Calculations!K$9</f>
        <v>0</v>
      </c>
      <c r="M37" s="659">
        <f>Calculations!L41/Calculations!L$9</f>
        <v>0</v>
      </c>
      <c r="N37" s="659">
        <f>Calculations!M41/Calculations!M$9</f>
        <v>0</v>
      </c>
      <c r="O37" s="659">
        <f>Calculations!N41/Calculations!N$9</f>
        <v>0</v>
      </c>
      <c r="P37" s="659">
        <f>Calculations!O41/Calculations!O$9</f>
        <v>0</v>
      </c>
      <c r="Q37" s="659">
        <f>Calculations!P41/Calculations!P$9</f>
        <v>0</v>
      </c>
      <c r="R37" s="659">
        <f>Calculations!Q41/Calculations!Q$9</f>
        <v>0</v>
      </c>
      <c r="S37" s="659">
        <f>Calculations!R41/Calculations!R$9</f>
        <v>0</v>
      </c>
      <c r="T37" s="659">
        <f>Calculations!S41/Calculations!S$9</f>
        <v>0</v>
      </c>
      <c r="U37" s="659">
        <f>Calculations!T41/Calculations!T$9</f>
        <v>0</v>
      </c>
      <c r="V37" s="659">
        <f>Calculations!U41/Calculations!U$9</f>
        <v>0</v>
      </c>
      <c r="W37" s="659">
        <f>Calculations!V41/Calculations!V$9</f>
        <v>0</v>
      </c>
      <c r="X37" s="659">
        <f>Calculations!W41/Calculations!W$9</f>
        <v>0</v>
      </c>
      <c r="Y37" s="659">
        <f>Calculations!X41/Calculations!X$9</f>
        <v>0</v>
      </c>
      <c r="Z37" s="659">
        <f>Calculations!Y41/Calculations!Y$9</f>
        <v>0</v>
      </c>
    </row>
    <row r="38" spans="3:26" ht="16.5" customHeight="1" x14ac:dyDescent="0.2">
      <c r="C38" s="513"/>
      <c r="D38" s="660" t="str">
        <f>Calculations!C42</f>
        <v>SAIDI accidental</v>
      </c>
      <c r="E38" s="657">
        <f t="shared" si="6"/>
        <v>0</v>
      </c>
      <c r="F38" s="659">
        <f>Calculations!E42/Calculations!E$9</f>
        <v>0</v>
      </c>
      <c r="G38" s="659">
        <f>Calculations!F42/Calculations!F$9</f>
        <v>0</v>
      </c>
      <c r="H38" s="659">
        <f>Calculations!G42/Calculations!G$9</f>
        <v>0</v>
      </c>
      <c r="I38" s="659">
        <f>Calculations!H42/Calculations!H$9</f>
        <v>0</v>
      </c>
      <c r="J38" s="659">
        <f>Calculations!I42/Calculations!I$9</f>
        <v>0</v>
      </c>
      <c r="K38" s="659">
        <f>Calculations!J42/Calculations!J$9</f>
        <v>0</v>
      </c>
      <c r="L38" s="659">
        <f>Calculations!K42/Calculations!K$9</f>
        <v>0</v>
      </c>
      <c r="M38" s="659">
        <f>Calculations!L42/Calculations!L$9</f>
        <v>0</v>
      </c>
      <c r="N38" s="659">
        <f>Calculations!M42/Calculations!M$9</f>
        <v>0</v>
      </c>
      <c r="O38" s="659">
        <f>Calculations!N42/Calculations!N$9</f>
        <v>0</v>
      </c>
      <c r="P38" s="659">
        <f>Calculations!O42/Calculations!O$9</f>
        <v>0</v>
      </c>
      <c r="Q38" s="659">
        <f>Calculations!P42/Calculations!P$9</f>
        <v>0</v>
      </c>
      <c r="R38" s="659">
        <f>Calculations!Q42/Calculations!Q$9</f>
        <v>0</v>
      </c>
      <c r="S38" s="659">
        <f>Calculations!R42/Calculations!R$9</f>
        <v>0</v>
      </c>
      <c r="T38" s="659">
        <f>Calculations!S42/Calculations!S$9</f>
        <v>0</v>
      </c>
      <c r="U38" s="659">
        <f>Calculations!T42/Calculations!T$9</f>
        <v>0</v>
      </c>
      <c r="V38" s="659">
        <f>Calculations!U42/Calculations!U$9</f>
        <v>0</v>
      </c>
      <c r="W38" s="659">
        <f>Calculations!V42/Calculations!V$9</f>
        <v>0</v>
      </c>
      <c r="X38" s="659">
        <f>Calculations!W42/Calculations!W$9</f>
        <v>0</v>
      </c>
      <c r="Y38" s="659">
        <f>Calculations!X42/Calculations!X$9</f>
        <v>0</v>
      </c>
      <c r="Z38" s="659">
        <f>Calculations!Y42/Calculations!Y$9</f>
        <v>0</v>
      </c>
    </row>
    <row r="39" spans="3:26" ht="16.5" customHeight="1" x14ac:dyDescent="0.2">
      <c r="C39" s="513"/>
      <c r="D39" s="660" t="str">
        <f>Calculations!C43</f>
        <v>MAIFI momentary</v>
      </c>
      <c r="E39" s="657">
        <f t="shared" si="6"/>
        <v>0</v>
      </c>
      <c r="F39" s="659">
        <f>Calculations!E43/Calculations!E$9</f>
        <v>0</v>
      </c>
      <c r="G39" s="659">
        <f>Calculations!F43/Calculations!F$9</f>
        <v>0</v>
      </c>
      <c r="H39" s="659">
        <f>Calculations!G43/Calculations!G$9</f>
        <v>0</v>
      </c>
      <c r="I39" s="659">
        <f>Calculations!H43/Calculations!H$9</f>
        <v>0</v>
      </c>
      <c r="J39" s="659">
        <f>Calculations!I43/Calculations!I$9</f>
        <v>0</v>
      </c>
      <c r="K39" s="659">
        <f>Calculations!J43/Calculations!J$9</f>
        <v>0</v>
      </c>
      <c r="L39" s="659">
        <f>Calculations!K43/Calculations!K$9</f>
        <v>0</v>
      </c>
      <c r="M39" s="659">
        <f>Calculations!L43/Calculations!L$9</f>
        <v>0</v>
      </c>
      <c r="N39" s="659">
        <f>Calculations!M43/Calculations!M$9</f>
        <v>0</v>
      </c>
      <c r="O39" s="659">
        <f>Calculations!N43/Calculations!N$9</f>
        <v>0</v>
      </c>
      <c r="P39" s="659">
        <f>Calculations!O43/Calculations!O$9</f>
        <v>0</v>
      </c>
      <c r="Q39" s="659">
        <f>Calculations!P43/Calculations!P$9</f>
        <v>0</v>
      </c>
      <c r="R39" s="659">
        <f>Calculations!Q43/Calculations!Q$9</f>
        <v>0</v>
      </c>
      <c r="S39" s="659">
        <f>Calculations!R43/Calculations!R$9</f>
        <v>0</v>
      </c>
      <c r="T39" s="659">
        <f>Calculations!S43/Calculations!S$9</f>
        <v>0</v>
      </c>
      <c r="U39" s="659">
        <f>Calculations!T43/Calculations!T$9</f>
        <v>0</v>
      </c>
      <c r="V39" s="659">
        <f>Calculations!U43/Calculations!U$9</f>
        <v>0</v>
      </c>
      <c r="W39" s="659">
        <f>Calculations!V43/Calculations!V$9</f>
        <v>0</v>
      </c>
      <c r="X39" s="659">
        <f>Calculations!W43/Calculations!W$9</f>
        <v>0</v>
      </c>
      <c r="Y39" s="659">
        <f>Calculations!X43/Calculations!X$9</f>
        <v>0</v>
      </c>
      <c r="Z39" s="659">
        <f>Calculations!Y43/Calculations!Y$9</f>
        <v>0</v>
      </c>
    </row>
    <row r="40" spans="3:26" ht="16.5" customHeight="1" x14ac:dyDescent="0.2">
      <c r="C40" s="513"/>
      <c r="D40" s="660" t="str">
        <f>Calculations!C44</f>
        <v>Call centre response</v>
      </c>
      <c r="E40" s="657">
        <f t="shared" si="6"/>
        <v>0</v>
      </c>
      <c r="F40" s="659">
        <f>Calculations!E44/Calculations!E$9</f>
        <v>0</v>
      </c>
      <c r="G40" s="659">
        <f>Calculations!F44/Calculations!F$9</f>
        <v>0</v>
      </c>
      <c r="H40" s="659">
        <f>Calculations!G44/Calculations!G$9</f>
        <v>0</v>
      </c>
      <c r="I40" s="659">
        <f>Calculations!H44/Calculations!H$9</f>
        <v>0</v>
      </c>
      <c r="J40" s="659">
        <f>Calculations!I44/Calculations!I$9</f>
        <v>0</v>
      </c>
      <c r="K40" s="659">
        <f>Calculations!J44/Calculations!J$9</f>
        <v>0</v>
      </c>
      <c r="L40" s="659">
        <f>Calculations!K44/Calculations!K$9</f>
        <v>0</v>
      </c>
      <c r="M40" s="659">
        <f>Calculations!L44/Calculations!L$9</f>
        <v>0</v>
      </c>
      <c r="N40" s="659">
        <f>Calculations!M44/Calculations!M$9</f>
        <v>0</v>
      </c>
      <c r="O40" s="659">
        <f>Calculations!N44/Calculations!N$9</f>
        <v>0</v>
      </c>
      <c r="P40" s="659">
        <f>Calculations!O44/Calculations!O$9</f>
        <v>0</v>
      </c>
      <c r="Q40" s="659">
        <f>Calculations!P44/Calculations!P$9</f>
        <v>0</v>
      </c>
      <c r="R40" s="659">
        <f>Calculations!Q44/Calculations!Q$9</f>
        <v>0</v>
      </c>
      <c r="S40" s="659">
        <f>Calculations!R44/Calculations!R$9</f>
        <v>0</v>
      </c>
      <c r="T40" s="659">
        <f>Calculations!S44/Calculations!S$9</f>
        <v>0</v>
      </c>
      <c r="U40" s="659">
        <f>Calculations!T44/Calculations!T$9</f>
        <v>0</v>
      </c>
      <c r="V40" s="659">
        <f>Calculations!U44/Calculations!U$9</f>
        <v>0</v>
      </c>
      <c r="W40" s="659">
        <f>Calculations!V44/Calculations!V$9</f>
        <v>0</v>
      </c>
      <c r="X40" s="659">
        <f>Calculations!W44/Calculations!W$9</f>
        <v>0</v>
      </c>
      <c r="Y40" s="659">
        <f>Calculations!X44/Calculations!X$9</f>
        <v>0</v>
      </c>
      <c r="Z40" s="659">
        <f>Calculations!Y44/Calculations!Y$9</f>
        <v>0</v>
      </c>
    </row>
    <row r="41" spans="3:26" ht="16.5" customHeight="1" x14ac:dyDescent="0.2">
      <c r="C41" s="513"/>
      <c r="D41" s="656" t="str">
        <f>Calculations!C45</f>
        <v>Network Outage Costs</v>
      </c>
      <c r="E41" s="657">
        <f t="shared" si="6"/>
        <v>0</v>
      </c>
      <c r="F41" s="659">
        <f>Calculations!E45/Calculations!E$9</f>
        <v>0</v>
      </c>
      <c r="G41" s="659">
        <f>Calculations!F45/Calculations!F$9</f>
        <v>0</v>
      </c>
      <c r="H41" s="659">
        <f>Calculations!G45/Calculations!G$9</f>
        <v>0</v>
      </c>
      <c r="I41" s="659">
        <f>Calculations!H45/Calculations!H$9</f>
        <v>0</v>
      </c>
      <c r="J41" s="659">
        <f>Calculations!I45/Calculations!I$9</f>
        <v>0</v>
      </c>
      <c r="K41" s="659">
        <f>Calculations!J45/Calculations!J$9</f>
        <v>0</v>
      </c>
      <c r="L41" s="659">
        <f>Calculations!K45/Calculations!K$9</f>
        <v>0</v>
      </c>
      <c r="M41" s="659">
        <f>Calculations!L45/Calculations!L$9</f>
        <v>0</v>
      </c>
      <c r="N41" s="659">
        <f>Calculations!M45/Calculations!M$9</f>
        <v>0</v>
      </c>
      <c r="O41" s="659">
        <f>Calculations!N45/Calculations!N$9</f>
        <v>0</v>
      </c>
      <c r="P41" s="659">
        <f>Calculations!O45/Calculations!O$9</f>
        <v>0</v>
      </c>
      <c r="Q41" s="659">
        <f>Calculations!P45/Calculations!P$9</f>
        <v>0</v>
      </c>
      <c r="R41" s="659">
        <f>Calculations!Q45/Calculations!Q$9</f>
        <v>0</v>
      </c>
      <c r="S41" s="659">
        <f>Calculations!R45/Calculations!R$9</f>
        <v>0</v>
      </c>
      <c r="T41" s="659">
        <f>Calculations!S45/Calculations!S$9</f>
        <v>0</v>
      </c>
      <c r="U41" s="659">
        <f>Calculations!T45/Calculations!T$9</f>
        <v>0</v>
      </c>
      <c r="V41" s="659">
        <f>Calculations!U45/Calculations!U$9</f>
        <v>0</v>
      </c>
      <c r="W41" s="659">
        <f>Calculations!V45/Calculations!V$9</f>
        <v>0</v>
      </c>
      <c r="X41" s="659">
        <f>Calculations!W45/Calculations!W$9</f>
        <v>0</v>
      </c>
      <c r="Y41" s="659">
        <f>Calculations!X45/Calculations!X$9</f>
        <v>0</v>
      </c>
      <c r="Z41" s="659">
        <f>Calculations!Y45/Calculations!Y$9</f>
        <v>0</v>
      </c>
    </row>
    <row r="42" spans="3:26" ht="16.5" customHeight="1" x14ac:dyDescent="0.2">
      <c r="C42" s="513"/>
      <c r="D42" s="656" t="str">
        <f>Calculations!C46</f>
        <v>Loss of F Factor Benefit</v>
      </c>
      <c r="E42" s="657">
        <f t="shared" si="6"/>
        <v>0</v>
      </c>
      <c r="F42" s="659">
        <f>Calculations!E46/Calculations!E$9</f>
        <v>0</v>
      </c>
      <c r="G42" s="659">
        <f>Calculations!F46/Calculations!F$9</f>
        <v>0</v>
      </c>
      <c r="H42" s="659">
        <f>Calculations!G46/Calculations!G$9</f>
        <v>0</v>
      </c>
      <c r="I42" s="659">
        <f>Calculations!H46/Calculations!H$9</f>
        <v>0</v>
      </c>
      <c r="J42" s="659">
        <f>Calculations!I46/Calculations!I$9</f>
        <v>0</v>
      </c>
      <c r="K42" s="659">
        <f>Calculations!J46/Calculations!J$9</f>
        <v>0</v>
      </c>
      <c r="L42" s="659">
        <f>Calculations!K46/Calculations!K$9</f>
        <v>0</v>
      </c>
      <c r="M42" s="659">
        <f>Calculations!L46/Calculations!L$9</f>
        <v>0</v>
      </c>
      <c r="N42" s="659">
        <f>Calculations!M46/Calculations!M$9</f>
        <v>0</v>
      </c>
      <c r="O42" s="659">
        <f>Calculations!N46/Calculations!N$9</f>
        <v>0</v>
      </c>
      <c r="P42" s="659">
        <f>Calculations!O46/Calculations!O$9</f>
        <v>0</v>
      </c>
      <c r="Q42" s="659">
        <f>Calculations!P46/Calculations!P$9</f>
        <v>0</v>
      </c>
      <c r="R42" s="659">
        <f>Calculations!Q46/Calculations!Q$9</f>
        <v>0</v>
      </c>
      <c r="S42" s="659">
        <f>Calculations!R46/Calculations!R$9</f>
        <v>0</v>
      </c>
      <c r="T42" s="659">
        <f>Calculations!S46/Calculations!S$9</f>
        <v>0</v>
      </c>
      <c r="U42" s="659">
        <f>Calculations!T46/Calculations!T$9</f>
        <v>0</v>
      </c>
      <c r="V42" s="659">
        <f>Calculations!U46/Calculations!U$9</f>
        <v>0</v>
      </c>
      <c r="W42" s="659">
        <f>Calculations!V46/Calculations!V$9</f>
        <v>0</v>
      </c>
      <c r="X42" s="659">
        <f>Calculations!W46/Calculations!W$9</f>
        <v>0</v>
      </c>
      <c r="Y42" s="659">
        <f>Calculations!X46/Calculations!X$9</f>
        <v>0</v>
      </c>
      <c r="Z42" s="659">
        <f>Calculations!Y46/Calculations!Y$9</f>
        <v>0</v>
      </c>
    </row>
    <row r="43" spans="3:26" ht="16.5" customHeight="1" x14ac:dyDescent="0.2">
      <c r="C43" s="513"/>
      <c r="D43" s="656" t="str">
        <f>Calculations!C47</f>
        <v>Cost 1</v>
      </c>
      <c r="E43" s="657">
        <f t="shared" si="6"/>
        <v>0</v>
      </c>
      <c r="F43" s="659">
        <f>Calculations!E47/Calculations!E$9</f>
        <v>0</v>
      </c>
      <c r="G43" s="659">
        <f>Calculations!F47/Calculations!F$9</f>
        <v>0</v>
      </c>
      <c r="H43" s="659">
        <f>Calculations!G47/Calculations!G$9</f>
        <v>0</v>
      </c>
      <c r="I43" s="659">
        <f>Calculations!H47/Calculations!H$9</f>
        <v>0</v>
      </c>
      <c r="J43" s="659">
        <f>Calculations!I47/Calculations!I$9</f>
        <v>0</v>
      </c>
      <c r="K43" s="659">
        <f>Calculations!J47/Calculations!J$9</f>
        <v>0</v>
      </c>
      <c r="L43" s="659">
        <f>Calculations!K47/Calculations!K$9</f>
        <v>0</v>
      </c>
      <c r="M43" s="659">
        <f>Calculations!L47/Calculations!L$9</f>
        <v>0</v>
      </c>
      <c r="N43" s="659">
        <f>Calculations!M47/Calculations!M$9</f>
        <v>0</v>
      </c>
      <c r="O43" s="659">
        <f>Calculations!N47/Calculations!N$9</f>
        <v>0</v>
      </c>
      <c r="P43" s="659">
        <f>Calculations!O47/Calculations!O$9</f>
        <v>0</v>
      </c>
      <c r="Q43" s="659">
        <f>Calculations!P47/Calculations!P$9</f>
        <v>0</v>
      </c>
      <c r="R43" s="659">
        <f>Calculations!Q47/Calculations!Q$9</f>
        <v>0</v>
      </c>
      <c r="S43" s="659">
        <f>Calculations!R47/Calculations!R$9</f>
        <v>0</v>
      </c>
      <c r="T43" s="659">
        <f>Calculations!S47/Calculations!S$9</f>
        <v>0</v>
      </c>
      <c r="U43" s="659">
        <f>Calculations!T47/Calculations!T$9</f>
        <v>0</v>
      </c>
      <c r="V43" s="659">
        <f>Calculations!U47/Calculations!U$9</f>
        <v>0</v>
      </c>
      <c r="W43" s="659">
        <f>Calculations!V47/Calculations!V$9</f>
        <v>0</v>
      </c>
      <c r="X43" s="659">
        <f>Calculations!W47/Calculations!W$9</f>
        <v>0</v>
      </c>
      <c r="Y43" s="659">
        <f>Calculations!X47/Calculations!X$9</f>
        <v>0</v>
      </c>
      <c r="Z43" s="659">
        <f>Calculations!Y47/Calculations!Y$9</f>
        <v>0</v>
      </c>
    </row>
    <row r="44" spans="3:26" ht="16.5" customHeight="1" x14ac:dyDescent="0.2">
      <c r="C44" s="513"/>
      <c r="D44" s="656" t="str">
        <f>Calculations!C48</f>
        <v>Cost 2</v>
      </c>
      <c r="E44" s="657">
        <f t="shared" si="6"/>
        <v>0</v>
      </c>
      <c r="F44" s="659">
        <f>Calculations!E48/Calculations!E$9</f>
        <v>0</v>
      </c>
      <c r="G44" s="659">
        <f>Calculations!F48/Calculations!F$9</f>
        <v>0</v>
      </c>
      <c r="H44" s="659">
        <f>Calculations!G48/Calculations!G$9</f>
        <v>0</v>
      </c>
      <c r="I44" s="659">
        <f>Calculations!H48/Calculations!H$9</f>
        <v>0</v>
      </c>
      <c r="J44" s="659">
        <f>Calculations!I48/Calculations!I$9</f>
        <v>0</v>
      </c>
      <c r="K44" s="659">
        <f>Calculations!J48/Calculations!J$9</f>
        <v>0</v>
      </c>
      <c r="L44" s="659">
        <f>Calculations!K48/Calculations!K$9</f>
        <v>0</v>
      </c>
      <c r="M44" s="659">
        <f>Calculations!L48/Calculations!L$9</f>
        <v>0</v>
      </c>
      <c r="N44" s="659">
        <f>Calculations!M48/Calculations!M$9</f>
        <v>0</v>
      </c>
      <c r="O44" s="659">
        <f>Calculations!N48/Calculations!N$9</f>
        <v>0</v>
      </c>
      <c r="P44" s="659">
        <f>Calculations!O48/Calculations!O$9</f>
        <v>0</v>
      </c>
      <c r="Q44" s="659">
        <f>Calculations!P48/Calculations!P$9</f>
        <v>0</v>
      </c>
      <c r="R44" s="659">
        <f>Calculations!Q48/Calculations!Q$9</f>
        <v>0</v>
      </c>
      <c r="S44" s="659">
        <f>Calculations!R48/Calculations!R$9</f>
        <v>0</v>
      </c>
      <c r="T44" s="659">
        <f>Calculations!S48/Calculations!S$9</f>
        <v>0</v>
      </c>
      <c r="U44" s="659">
        <f>Calculations!T48/Calculations!T$9</f>
        <v>0</v>
      </c>
      <c r="V44" s="659">
        <f>Calculations!U48/Calculations!U$9</f>
        <v>0</v>
      </c>
      <c r="W44" s="659">
        <f>Calculations!V48/Calculations!V$9</f>
        <v>0</v>
      </c>
      <c r="X44" s="659">
        <f>Calculations!W48/Calculations!W$9</f>
        <v>0</v>
      </c>
      <c r="Y44" s="659">
        <f>Calculations!X48/Calculations!X$9</f>
        <v>0</v>
      </c>
      <c r="Z44" s="659">
        <f>Calculations!Y48/Calculations!Y$9</f>
        <v>0</v>
      </c>
    </row>
    <row r="45" spans="3:26" ht="16.5" customHeight="1" x14ac:dyDescent="0.2">
      <c r="C45" s="513"/>
      <c r="D45" s="656" t="str">
        <f>Calculations!C49</f>
        <v>Cost 3</v>
      </c>
      <c r="E45" s="657">
        <f t="shared" si="6"/>
        <v>0</v>
      </c>
      <c r="F45" s="659">
        <f>Calculations!E49/Calculations!E$9</f>
        <v>0</v>
      </c>
      <c r="G45" s="659">
        <f>Calculations!F49/Calculations!F$9</f>
        <v>0</v>
      </c>
      <c r="H45" s="659">
        <f>Calculations!G49/Calculations!G$9</f>
        <v>0</v>
      </c>
      <c r="I45" s="659">
        <f>Calculations!H49/Calculations!H$9</f>
        <v>0</v>
      </c>
      <c r="J45" s="659">
        <f>Calculations!I49/Calculations!I$9</f>
        <v>0</v>
      </c>
      <c r="K45" s="659">
        <f>Calculations!J49/Calculations!J$9</f>
        <v>0</v>
      </c>
      <c r="L45" s="659">
        <f>Calculations!K49/Calculations!K$9</f>
        <v>0</v>
      </c>
      <c r="M45" s="659">
        <f>Calculations!L49/Calculations!L$9</f>
        <v>0</v>
      </c>
      <c r="N45" s="659">
        <f>Calculations!M49/Calculations!M$9</f>
        <v>0</v>
      </c>
      <c r="O45" s="659">
        <f>Calculations!N49/Calculations!N$9</f>
        <v>0</v>
      </c>
      <c r="P45" s="659">
        <f>Calculations!O49/Calculations!O$9</f>
        <v>0</v>
      </c>
      <c r="Q45" s="659">
        <f>Calculations!P49/Calculations!P$9</f>
        <v>0</v>
      </c>
      <c r="R45" s="659">
        <f>Calculations!Q49/Calculations!Q$9</f>
        <v>0</v>
      </c>
      <c r="S45" s="659">
        <f>Calculations!R49/Calculations!R$9</f>
        <v>0</v>
      </c>
      <c r="T45" s="659">
        <f>Calculations!S49/Calculations!S$9</f>
        <v>0</v>
      </c>
      <c r="U45" s="659">
        <f>Calculations!T49/Calculations!T$9</f>
        <v>0</v>
      </c>
      <c r="V45" s="659">
        <f>Calculations!U49/Calculations!U$9</f>
        <v>0</v>
      </c>
      <c r="W45" s="659">
        <f>Calculations!V49/Calculations!V$9</f>
        <v>0</v>
      </c>
      <c r="X45" s="659">
        <f>Calculations!W49/Calculations!W$9</f>
        <v>0</v>
      </c>
      <c r="Y45" s="659">
        <f>Calculations!X49/Calculations!X$9</f>
        <v>0</v>
      </c>
      <c r="Z45" s="659">
        <f>Calculations!Y49/Calculations!Y$9</f>
        <v>0</v>
      </c>
    </row>
    <row r="46" spans="3:26" ht="16.5" customHeight="1" x14ac:dyDescent="0.2">
      <c r="C46" s="513"/>
      <c r="D46" s="656" t="str">
        <f>Calculations!C50</f>
        <v>Cost 4</v>
      </c>
      <c r="E46" s="657">
        <f t="shared" si="6"/>
        <v>0</v>
      </c>
      <c r="F46" s="659">
        <f>Calculations!E50/Calculations!E$9</f>
        <v>0</v>
      </c>
      <c r="G46" s="659">
        <f>Calculations!F50/Calculations!F$9</f>
        <v>0</v>
      </c>
      <c r="H46" s="659">
        <f>Calculations!G50/Calculations!G$9</f>
        <v>0</v>
      </c>
      <c r="I46" s="659">
        <f>Calculations!H50/Calculations!H$9</f>
        <v>0</v>
      </c>
      <c r="J46" s="659">
        <f>Calculations!I50/Calculations!I$9</f>
        <v>0</v>
      </c>
      <c r="K46" s="659">
        <f>Calculations!J50/Calculations!J$9</f>
        <v>0</v>
      </c>
      <c r="L46" s="659">
        <f>Calculations!K50/Calculations!K$9</f>
        <v>0</v>
      </c>
      <c r="M46" s="659">
        <f>Calculations!L50/Calculations!L$9</f>
        <v>0</v>
      </c>
      <c r="N46" s="659">
        <f>Calculations!M50/Calculations!M$9</f>
        <v>0</v>
      </c>
      <c r="O46" s="659">
        <f>Calculations!N50/Calculations!N$9</f>
        <v>0</v>
      </c>
      <c r="P46" s="659">
        <f>Calculations!O50/Calculations!O$9</f>
        <v>0</v>
      </c>
      <c r="Q46" s="659">
        <f>Calculations!P50/Calculations!P$9</f>
        <v>0</v>
      </c>
      <c r="R46" s="659">
        <f>Calculations!Q50/Calculations!Q$9</f>
        <v>0</v>
      </c>
      <c r="S46" s="659">
        <f>Calculations!R50/Calculations!R$9</f>
        <v>0</v>
      </c>
      <c r="T46" s="659">
        <f>Calculations!S50/Calculations!S$9</f>
        <v>0</v>
      </c>
      <c r="U46" s="659">
        <f>Calculations!T50/Calculations!T$9</f>
        <v>0</v>
      </c>
      <c r="V46" s="659">
        <f>Calculations!U50/Calculations!U$9</f>
        <v>0</v>
      </c>
      <c r="W46" s="659">
        <f>Calculations!V50/Calculations!V$9</f>
        <v>0</v>
      </c>
      <c r="X46" s="659">
        <f>Calculations!W50/Calculations!W$9</f>
        <v>0</v>
      </c>
      <c r="Y46" s="659">
        <f>Calculations!X50/Calculations!X$9</f>
        <v>0</v>
      </c>
      <c r="Z46" s="659">
        <f>Calculations!Y50/Calculations!Y$9</f>
        <v>0</v>
      </c>
    </row>
    <row r="47" spans="3:26" ht="16.5" customHeight="1" x14ac:dyDescent="0.2">
      <c r="C47" s="513"/>
      <c r="D47" s="656" t="str">
        <f>Calculations!C51</f>
        <v>Cost 5</v>
      </c>
      <c r="E47" s="657">
        <f t="shared" si="6"/>
        <v>0</v>
      </c>
      <c r="F47" s="659">
        <f>Calculations!E51/Calculations!E$9</f>
        <v>0</v>
      </c>
      <c r="G47" s="659">
        <f>Calculations!F51/Calculations!F$9</f>
        <v>0</v>
      </c>
      <c r="H47" s="659">
        <f>Calculations!G51/Calculations!G$9</f>
        <v>0</v>
      </c>
      <c r="I47" s="659">
        <f>Calculations!H51/Calculations!H$9</f>
        <v>0</v>
      </c>
      <c r="J47" s="659">
        <f>Calculations!I51/Calculations!I$9</f>
        <v>0</v>
      </c>
      <c r="K47" s="659">
        <f>Calculations!J51/Calculations!J$9</f>
        <v>0</v>
      </c>
      <c r="L47" s="659">
        <f>Calculations!K51/Calculations!K$9</f>
        <v>0</v>
      </c>
      <c r="M47" s="659">
        <f>Calculations!L51/Calculations!L$9</f>
        <v>0</v>
      </c>
      <c r="N47" s="659">
        <f>Calculations!M51/Calculations!M$9</f>
        <v>0</v>
      </c>
      <c r="O47" s="659">
        <f>Calculations!N51/Calculations!N$9</f>
        <v>0</v>
      </c>
      <c r="P47" s="659">
        <f>Calculations!O51/Calculations!O$9</f>
        <v>0</v>
      </c>
      <c r="Q47" s="659">
        <f>Calculations!P51/Calculations!P$9</f>
        <v>0</v>
      </c>
      <c r="R47" s="659">
        <f>Calculations!Q51/Calculations!Q$9</f>
        <v>0</v>
      </c>
      <c r="S47" s="659">
        <f>Calculations!R51/Calculations!R$9</f>
        <v>0</v>
      </c>
      <c r="T47" s="659">
        <f>Calculations!S51/Calculations!S$9</f>
        <v>0</v>
      </c>
      <c r="U47" s="659">
        <f>Calculations!T51/Calculations!T$9</f>
        <v>0</v>
      </c>
      <c r="V47" s="659">
        <f>Calculations!U51/Calculations!U$9</f>
        <v>0</v>
      </c>
      <c r="W47" s="659">
        <f>Calculations!V51/Calculations!V$9</f>
        <v>0</v>
      </c>
      <c r="X47" s="659">
        <f>Calculations!W51/Calculations!W$9</f>
        <v>0</v>
      </c>
      <c r="Y47" s="659">
        <f>Calculations!X51/Calculations!X$9</f>
        <v>0</v>
      </c>
      <c r="Z47" s="659">
        <f>Calculations!Y51/Calculations!Y$9</f>
        <v>0</v>
      </c>
    </row>
    <row r="48" spans="3:26" ht="16.5" customHeight="1" x14ac:dyDescent="0.2">
      <c r="C48" s="513"/>
      <c r="D48" s="656" t="str">
        <f>Calculations!C52</f>
        <v>Risk 1</v>
      </c>
      <c r="E48" s="657">
        <f t="shared" si="6"/>
        <v>0</v>
      </c>
      <c r="F48" s="659">
        <f>Calculations!E52/Calculations!E$9</f>
        <v>0</v>
      </c>
      <c r="G48" s="659">
        <f>Calculations!F52/Calculations!F$9</f>
        <v>0</v>
      </c>
      <c r="H48" s="659">
        <f>Calculations!G52/Calculations!G$9</f>
        <v>0</v>
      </c>
      <c r="I48" s="659">
        <f>Calculations!H52/Calculations!H$9</f>
        <v>0</v>
      </c>
      <c r="J48" s="659">
        <f>Calculations!I52/Calculations!I$9</f>
        <v>0</v>
      </c>
      <c r="K48" s="659">
        <f>Calculations!J52/Calculations!J$9</f>
        <v>0</v>
      </c>
      <c r="L48" s="659">
        <f>Calculations!K52/Calculations!K$9</f>
        <v>0</v>
      </c>
      <c r="M48" s="659">
        <f>Calculations!L52/Calculations!L$9</f>
        <v>0</v>
      </c>
      <c r="N48" s="659">
        <f>Calculations!M52/Calculations!M$9</f>
        <v>0</v>
      </c>
      <c r="O48" s="659">
        <f>Calculations!N52/Calculations!N$9</f>
        <v>0</v>
      </c>
      <c r="P48" s="659">
        <f>Calculations!O52/Calculations!O$9</f>
        <v>0</v>
      </c>
      <c r="Q48" s="659">
        <f>Calculations!P52/Calculations!P$9</f>
        <v>0</v>
      </c>
      <c r="R48" s="659">
        <f>Calculations!Q52/Calculations!Q$9</f>
        <v>0</v>
      </c>
      <c r="S48" s="659">
        <f>Calculations!R52/Calculations!R$9</f>
        <v>0</v>
      </c>
      <c r="T48" s="659">
        <f>Calculations!S52/Calculations!S$9</f>
        <v>0</v>
      </c>
      <c r="U48" s="659">
        <f>Calculations!T52/Calculations!T$9</f>
        <v>0</v>
      </c>
      <c r="V48" s="659">
        <f>Calculations!U52/Calculations!U$9</f>
        <v>0</v>
      </c>
      <c r="W48" s="659">
        <f>Calculations!V52/Calculations!V$9</f>
        <v>0</v>
      </c>
      <c r="X48" s="659">
        <f>Calculations!W52/Calculations!W$9</f>
        <v>0</v>
      </c>
      <c r="Y48" s="659">
        <f>Calculations!X52/Calculations!X$9</f>
        <v>0</v>
      </c>
      <c r="Z48" s="659">
        <f>Calculations!Y52/Calculations!Y$9</f>
        <v>0</v>
      </c>
    </row>
    <row r="49" spans="3:26" ht="16.5" customHeight="1" x14ac:dyDescent="0.2">
      <c r="C49" s="513"/>
      <c r="D49" s="656" t="str">
        <f>Calculations!C53</f>
        <v>Risk 2</v>
      </c>
      <c r="E49" s="657">
        <f t="shared" si="6"/>
        <v>0</v>
      </c>
      <c r="F49" s="659">
        <f>Calculations!E53/Calculations!E$9</f>
        <v>0</v>
      </c>
      <c r="G49" s="659">
        <f>Calculations!F53/Calculations!F$9</f>
        <v>0</v>
      </c>
      <c r="H49" s="659">
        <f>Calculations!G53/Calculations!G$9</f>
        <v>0</v>
      </c>
      <c r="I49" s="659">
        <f>Calculations!H53/Calculations!H$9</f>
        <v>0</v>
      </c>
      <c r="J49" s="659">
        <f>Calculations!I53/Calculations!I$9</f>
        <v>0</v>
      </c>
      <c r="K49" s="659">
        <f>Calculations!J53/Calculations!J$9</f>
        <v>0</v>
      </c>
      <c r="L49" s="659">
        <f>Calculations!K53/Calculations!K$9</f>
        <v>0</v>
      </c>
      <c r="M49" s="659">
        <f>Calculations!L53/Calculations!L$9</f>
        <v>0</v>
      </c>
      <c r="N49" s="659">
        <f>Calculations!M53/Calculations!M$9</f>
        <v>0</v>
      </c>
      <c r="O49" s="659">
        <f>Calculations!N53/Calculations!N$9</f>
        <v>0</v>
      </c>
      <c r="P49" s="659">
        <f>Calculations!O53/Calculations!O$9</f>
        <v>0</v>
      </c>
      <c r="Q49" s="659">
        <f>Calculations!P53/Calculations!P$9</f>
        <v>0</v>
      </c>
      <c r="R49" s="659">
        <f>Calculations!Q53/Calculations!Q$9</f>
        <v>0</v>
      </c>
      <c r="S49" s="659">
        <f>Calculations!R53/Calculations!R$9</f>
        <v>0</v>
      </c>
      <c r="T49" s="659">
        <f>Calculations!S53/Calculations!S$9</f>
        <v>0</v>
      </c>
      <c r="U49" s="659">
        <f>Calculations!T53/Calculations!T$9</f>
        <v>0</v>
      </c>
      <c r="V49" s="659">
        <f>Calculations!U53/Calculations!U$9</f>
        <v>0</v>
      </c>
      <c r="W49" s="659">
        <f>Calculations!V53/Calculations!V$9</f>
        <v>0</v>
      </c>
      <c r="X49" s="659">
        <f>Calculations!W53/Calculations!W$9</f>
        <v>0</v>
      </c>
      <c r="Y49" s="659">
        <f>Calculations!X53/Calculations!X$9</f>
        <v>0</v>
      </c>
      <c r="Z49" s="659">
        <f>Calculations!Y53/Calculations!Y$9</f>
        <v>0</v>
      </c>
    </row>
    <row r="50" spans="3:26" ht="16.5" customHeight="1" x14ac:dyDescent="0.2">
      <c r="C50" s="513"/>
      <c r="D50" s="656" t="str">
        <f>Calculations!C54</f>
        <v>Risk 3</v>
      </c>
      <c r="E50" s="657">
        <f t="shared" si="6"/>
        <v>0</v>
      </c>
      <c r="F50" s="659">
        <f>Calculations!E54/Calculations!E$9</f>
        <v>0</v>
      </c>
      <c r="G50" s="659">
        <f>Calculations!F54/Calculations!F$9</f>
        <v>0</v>
      </c>
      <c r="H50" s="659">
        <f>Calculations!G54/Calculations!G$9</f>
        <v>0</v>
      </c>
      <c r="I50" s="659">
        <f>Calculations!H54/Calculations!H$9</f>
        <v>0</v>
      </c>
      <c r="J50" s="659">
        <f>Calculations!I54/Calculations!I$9</f>
        <v>0</v>
      </c>
      <c r="K50" s="659">
        <f>Calculations!J54/Calculations!J$9</f>
        <v>0</v>
      </c>
      <c r="L50" s="659">
        <f>Calculations!K54/Calculations!K$9</f>
        <v>0</v>
      </c>
      <c r="M50" s="659">
        <f>Calculations!L54/Calculations!L$9</f>
        <v>0</v>
      </c>
      <c r="N50" s="659">
        <f>Calculations!M54/Calculations!M$9</f>
        <v>0</v>
      </c>
      <c r="O50" s="659">
        <f>Calculations!N54/Calculations!N$9</f>
        <v>0</v>
      </c>
      <c r="P50" s="659">
        <f>Calculations!O54/Calculations!O$9</f>
        <v>0</v>
      </c>
      <c r="Q50" s="659">
        <f>Calculations!P54/Calculations!P$9</f>
        <v>0</v>
      </c>
      <c r="R50" s="659">
        <f>Calculations!Q54/Calculations!Q$9</f>
        <v>0</v>
      </c>
      <c r="S50" s="659">
        <f>Calculations!R54/Calculations!R$9</f>
        <v>0</v>
      </c>
      <c r="T50" s="659">
        <f>Calculations!S54/Calculations!S$9</f>
        <v>0</v>
      </c>
      <c r="U50" s="659">
        <f>Calculations!T54/Calculations!T$9</f>
        <v>0</v>
      </c>
      <c r="V50" s="659">
        <f>Calculations!U54/Calculations!U$9</f>
        <v>0</v>
      </c>
      <c r="W50" s="659">
        <f>Calculations!V54/Calculations!V$9</f>
        <v>0</v>
      </c>
      <c r="X50" s="659">
        <f>Calculations!W54/Calculations!W$9</f>
        <v>0</v>
      </c>
      <c r="Y50" s="659">
        <f>Calculations!X54/Calculations!X$9</f>
        <v>0</v>
      </c>
      <c r="Z50" s="659">
        <f>Calculations!Y54/Calculations!Y$9</f>
        <v>0</v>
      </c>
    </row>
    <row r="51" spans="3:26" ht="16.5" customHeight="1" x14ac:dyDescent="0.2">
      <c r="C51" s="513"/>
      <c r="D51" s="656" t="str">
        <f>Calculations!C55</f>
        <v>Risk 4</v>
      </c>
      <c r="E51" s="657">
        <f t="shared" si="6"/>
        <v>0</v>
      </c>
      <c r="F51" s="659">
        <f>Calculations!E55/Calculations!E$9</f>
        <v>0</v>
      </c>
      <c r="G51" s="659">
        <f>Calculations!F55/Calculations!F$9</f>
        <v>0</v>
      </c>
      <c r="H51" s="659">
        <f>Calculations!G55/Calculations!G$9</f>
        <v>0</v>
      </c>
      <c r="I51" s="659">
        <f>Calculations!H55/Calculations!H$9</f>
        <v>0</v>
      </c>
      <c r="J51" s="659">
        <f>Calculations!I55/Calculations!I$9</f>
        <v>0</v>
      </c>
      <c r="K51" s="659">
        <f>Calculations!J55/Calculations!J$9</f>
        <v>0</v>
      </c>
      <c r="L51" s="659">
        <f>Calculations!K55/Calculations!K$9</f>
        <v>0</v>
      </c>
      <c r="M51" s="659">
        <f>Calculations!L55/Calculations!L$9</f>
        <v>0</v>
      </c>
      <c r="N51" s="659">
        <f>Calculations!M55/Calculations!M$9</f>
        <v>0</v>
      </c>
      <c r="O51" s="659">
        <f>Calculations!N55/Calculations!N$9</f>
        <v>0</v>
      </c>
      <c r="P51" s="659">
        <f>Calculations!O55/Calculations!O$9</f>
        <v>0</v>
      </c>
      <c r="Q51" s="659">
        <f>Calculations!P55/Calculations!P$9</f>
        <v>0</v>
      </c>
      <c r="R51" s="659">
        <f>Calculations!Q55/Calculations!Q$9</f>
        <v>0</v>
      </c>
      <c r="S51" s="659">
        <f>Calculations!R55/Calculations!R$9</f>
        <v>0</v>
      </c>
      <c r="T51" s="659">
        <f>Calculations!S55/Calculations!S$9</f>
        <v>0</v>
      </c>
      <c r="U51" s="659">
        <f>Calculations!T55/Calculations!T$9</f>
        <v>0</v>
      </c>
      <c r="V51" s="659">
        <f>Calculations!U55/Calculations!U$9</f>
        <v>0</v>
      </c>
      <c r="W51" s="659">
        <f>Calculations!V55/Calculations!V$9</f>
        <v>0</v>
      </c>
      <c r="X51" s="659">
        <f>Calculations!W55/Calculations!W$9</f>
        <v>0</v>
      </c>
      <c r="Y51" s="659">
        <f>Calculations!X55/Calculations!X$9</f>
        <v>0</v>
      </c>
      <c r="Z51" s="659">
        <f>Calculations!Y55/Calculations!Y$9</f>
        <v>0</v>
      </c>
    </row>
    <row r="52" spans="3:26" ht="16.5" customHeight="1" x14ac:dyDescent="0.2">
      <c r="C52" s="513"/>
      <c r="D52" s="656" t="str">
        <f>Calculations!C56</f>
        <v>Risk 5</v>
      </c>
      <c r="E52" s="657">
        <f t="shared" si="6"/>
        <v>0</v>
      </c>
      <c r="F52" s="659">
        <f>Calculations!E56/Calculations!E$9</f>
        <v>0</v>
      </c>
      <c r="G52" s="659">
        <f>Calculations!F56/Calculations!F$9</f>
        <v>0</v>
      </c>
      <c r="H52" s="659">
        <f>Calculations!G56/Calculations!G$9</f>
        <v>0</v>
      </c>
      <c r="I52" s="659">
        <f>Calculations!H56/Calculations!H$9</f>
        <v>0</v>
      </c>
      <c r="J52" s="659">
        <f>Calculations!I56/Calculations!I$9</f>
        <v>0</v>
      </c>
      <c r="K52" s="659">
        <f>Calculations!J56/Calculations!J$9</f>
        <v>0</v>
      </c>
      <c r="L52" s="659">
        <f>Calculations!K56/Calculations!K$9</f>
        <v>0</v>
      </c>
      <c r="M52" s="659">
        <f>Calculations!L56/Calculations!L$9</f>
        <v>0</v>
      </c>
      <c r="N52" s="659">
        <f>Calculations!M56/Calculations!M$9</f>
        <v>0</v>
      </c>
      <c r="O52" s="659">
        <f>Calculations!N56/Calculations!N$9</f>
        <v>0</v>
      </c>
      <c r="P52" s="659">
        <f>Calculations!O56/Calculations!O$9</f>
        <v>0</v>
      </c>
      <c r="Q52" s="659">
        <f>Calculations!P56/Calculations!P$9</f>
        <v>0</v>
      </c>
      <c r="R52" s="659">
        <f>Calculations!Q56/Calculations!Q$9</f>
        <v>0</v>
      </c>
      <c r="S52" s="659">
        <f>Calculations!R56/Calculations!R$9</f>
        <v>0</v>
      </c>
      <c r="T52" s="659">
        <f>Calculations!S56/Calculations!S$9</f>
        <v>0</v>
      </c>
      <c r="U52" s="659">
        <f>Calculations!T56/Calculations!T$9</f>
        <v>0</v>
      </c>
      <c r="V52" s="659">
        <f>Calculations!U56/Calculations!U$9</f>
        <v>0</v>
      </c>
      <c r="W52" s="659">
        <f>Calculations!V56/Calculations!V$9</f>
        <v>0</v>
      </c>
      <c r="X52" s="659">
        <f>Calculations!W56/Calculations!W$9</f>
        <v>0</v>
      </c>
      <c r="Y52" s="659">
        <f>Calculations!X56/Calculations!X$9</f>
        <v>0</v>
      </c>
      <c r="Z52" s="659">
        <f>Calculations!Y56/Calculations!Y$9</f>
        <v>0</v>
      </c>
    </row>
    <row r="53" spans="3:26" ht="16.5" customHeight="1" x14ac:dyDescent="0.2">
      <c r="C53" s="513"/>
      <c r="D53" s="656" t="s">
        <v>254</v>
      </c>
      <c r="E53" s="657">
        <f t="shared" ref="E53:Z53" si="7">SUM(E34:E52)-E36</f>
        <v>9797.196650409498</v>
      </c>
      <c r="F53" s="657">
        <f t="shared" si="7"/>
        <v>9797.196650409498</v>
      </c>
      <c r="G53" s="657">
        <f t="shared" si="7"/>
        <v>0</v>
      </c>
      <c r="H53" s="657">
        <f t="shared" si="7"/>
        <v>0</v>
      </c>
      <c r="I53" s="657">
        <f t="shared" si="7"/>
        <v>0</v>
      </c>
      <c r="J53" s="657">
        <f t="shared" si="7"/>
        <v>0</v>
      </c>
      <c r="K53" s="657">
        <f t="shared" si="7"/>
        <v>0</v>
      </c>
      <c r="L53" s="657">
        <f t="shared" si="7"/>
        <v>0</v>
      </c>
      <c r="M53" s="657">
        <f t="shared" si="7"/>
        <v>0</v>
      </c>
      <c r="N53" s="657">
        <f t="shared" si="7"/>
        <v>0</v>
      </c>
      <c r="O53" s="657">
        <f t="shared" si="7"/>
        <v>0</v>
      </c>
      <c r="P53" s="657">
        <f t="shared" si="7"/>
        <v>0</v>
      </c>
      <c r="Q53" s="657">
        <f t="shared" si="7"/>
        <v>0</v>
      </c>
      <c r="R53" s="657">
        <f t="shared" si="7"/>
        <v>0</v>
      </c>
      <c r="S53" s="657">
        <f t="shared" si="7"/>
        <v>0</v>
      </c>
      <c r="T53" s="657">
        <f t="shared" si="7"/>
        <v>0</v>
      </c>
      <c r="U53" s="657">
        <f t="shared" si="7"/>
        <v>0</v>
      </c>
      <c r="V53" s="657">
        <f t="shared" si="7"/>
        <v>0</v>
      </c>
      <c r="W53" s="657">
        <f t="shared" si="7"/>
        <v>0</v>
      </c>
      <c r="X53" s="657">
        <f t="shared" si="7"/>
        <v>0</v>
      </c>
      <c r="Y53" s="657">
        <f t="shared" si="7"/>
        <v>0</v>
      </c>
      <c r="Z53" s="657">
        <f t="shared" si="7"/>
        <v>0</v>
      </c>
    </row>
    <row r="54" spans="3:26" ht="16.5" customHeight="1" x14ac:dyDescent="0.2"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</row>
    <row r="55" spans="3:26" ht="16.5" customHeight="1" x14ac:dyDescent="0.25">
      <c r="C55" s="513"/>
      <c r="D55" s="651" t="str">
        <f>'User Input'!D82</f>
        <v xml:space="preserve">Option 2: 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</row>
    <row r="56" spans="3:26" ht="16.5" customHeight="1" x14ac:dyDescent="0.25">
      <c r="C56" s="513"/>
      <c r="D56" s="499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</row>
    <row r="57" spans="3:26" ht="16.5" customHeight="1" x14ac:dyDescent="0.25">
      <c r="C57" s="513"/>
      <c r="D57" s="654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</row>
    <row r="58" spans="3:26" ht="16.5" customHeight="1" x14ac:dyDescent="0.25">
      <c r="C58" s="513"/>
      <c r="D58" s="654"/>
      <c r="E58" s="655" t="s">
        <v>254</v>
      </c>
      <c r="F58" s="655">
        <f>'User Input'!$E$6</f>
        <v>2016</v>
      </c>
      <c r="G58" s="655">
        <f>F58+1</f>
        <v>2017</v>
      </c>
      <c r="H58" s="655">
        <f t="shared" ref="H58:Z58" si="8">G58+1</f>
        <v>2018</v>
      </c>
      <c r="I58" s="655">
        <f t="shared" si="8"/>
        <v>2019</v>
      </c>
      <c r="J58" s="655">
        <f t="shared" si="8"/>
        <v>2020</v>
      </c>
      <c r="K58" s="655">
        <f t="shared" si="8"/>
        <v>2021</v>
      </c>
      <c r="L58" s="655">
        <f t="shared" si="8"/>
        <v>2022</v>
      </c>
      <c r="M58" s="655">
        <f t="shared" si="8"/>
        <v>2023</v>
      </c>
      <c r="N58" s="655">
        <f t="shared" si="8"/>
        <v>2024</v>
      </c>
      <c r="O58" s="655">
        <f t="shared" si="8"/>
        <v>2025</v>
      </c>
      <c r="P58" s="655">
        <f t="shared" si="8"/>
        <v>2026</v>
      </c>
      <c r="Q58" s="655">
        <f t="shared" si="8"/>
        <v>2027</v>
      </c>
      <c r="R58" s="655">
        <f t="shared" si="8"/>
        <v>2028</v>
      </c>
      <c r="S58" s="655">
        <f t="shared" si="8"/>
        <v>2029</v>
      </c>
      <c r="T58" s="655">
        <f t="shared" si="8"/>
        <v>2030</v>
      </c>
      <c r="U58" s="655">
        <f t="shared" si="8"/>
        <v>2031</v>
      </c>
      <c r="V58" s="655">
        <f t="shared" si="8"/>
        <v>2032</v>
      </c>
      <c r="W58" s="655">
        <f t="shared" si="8"/>
        <v>2033</v>
      </c>
      <c r="X58" s="655">
        <f t="shared" si="8"/>
        <v>2034</v>
      </c>
      <c r="Y58" s="655">
        <f t="shared" si="8"/>
        <v>2035</v>
      </c>
      <c r="Z58" s="655">
        <f t="shared" si="8"/>
        <v>2036</v>
      </c>
    </row>
    <row r="59" spans="3:26" ht="16.5" customHeight="1" x14ac:dyDescent="0.2">
      <c r="C59" s="513"/>
      <c r="D59" s="656" t="str">
        <f>Calculations!C62</f>
        <v>Capital Costs</v>
      </c>
      <c r="E59" s="657">
        <f>SUM(F59:Z59)</f>
        <v>0</v>
      </c>
      <c r="F59" s="659">
        <f>Calculations!E62/Calculations!E$9</f>
        <v>0</v>
      </c>
      <c r="G59" s="659">
        <f>Calculations!F62/Calculations!F$9</f>
        <v>0</v>
      </c>
      <c r="H59" s="659">
        <f>Calculations!G62/Calculations!G$9</f>
        <v>0</v>
      </c>
      <c r="I59" s="659">
        <f>Calculations!H62/Calculations!H$9</f>
        <v>0</v>
      </c>
      <c r="J59" s="659">
        <f>Calculations!I62/Calculations!I$9</f>
        <v>0</v>
      </c>
      <c r="K59" s="659">
        <f>Calculations!J62/Calculations!J$9</f>
        <v>0</v>
      </c>
      <c r="L59" s="659">
        <f>Calculations!K62/Calculations!K$9</f>
        <v>0</v>
      </c>
      <c r="M59" s="659">
        <f>Calculations!L62/Calculations!L$9</f>
        <v>0</v>
      </c>
      <c r="N59" s="659">
        <f>Calculations!M62/Calculations!M$9</f>
        <v>0</v>
      </c>
      <c r="O59" s="659">
        <f>Calculations!N62/Calculations!N$9</f>
        <v>0</v>
      </c>
      <c r="P59" s="659">
        <f>Calculations!O62/Calculations!O$9</f>
        <v>0</v>
      </c>
      <c r="Q59" s="659">
        <f>Calculations!P62/Calculations!P$9</f>
        <v>0</v>
      </c>
      <c r="R59" s="659">
        <f>Calculations!Q62/Calculations!Q$9</f>
        <v>0</v>
      </c>
      <c r="S59" s="659">
        <f>Calculations!R62/Calculations!R$9</f>
        <v>0</v>
      </c>
      <c r="T59" s="659">
        <f>Calculations!S62/Calculations!S$9</f>
        <v>0</v>
      </c>
      <c r="U59" s="659">
        <f>Calculations!T62/Calculations!T$9</f>
        <v>0</v>
      </c>
      <c r="V59" s="659">
        <f>Calculations!U62/Calculations!U$9</f>
        <v>0</v>
      </c>
      <c r="W59" s="659">
        <f>Calculations!V62/Calculations!V$9</f>
        <v>0</v>
      </c>
      <c r="X59" s="659">
        <f>Calculations!W62/Calculations!W$9</f>
        <v>0</v>
      </c>
      <c r="Y59" s="659">
        <f>Calculations!X62/Calculations!X$9</f>
        <v>0</v>
      </c>
      <c r="Z59" s="659">
        <f>Calculations!Y62/Calculations!Y$9</f>
        <v>0</v>
      </c>
    </row>
    <row r="60" spans="3:26" ht="16.5" customHeight="1" x14ac:dyDescent="0.2">
      <c r="C60" s="513"/>
      <c r="D60" s="656" t="str">
        <f>Calculations!C63</f>
        <v>Maintenance Costs</v>
      </c>
      <c r="E60" s="657">
        <f>SUM(F60:Z60)</f>
        <v>0</v>
      </c>
      <c r="F60" s="659">
        <f>Calculations!E63/Calculations!E$9</f>
        <v>0</v>
      </c>
      <c r="G60" s="659">
        <f>Calculations!F63/Calculations!F$9</f>
        <v>0</v>
      </c>
      <c r="H60" s="659">
        <f>Calculations!G63/Calculations!G$9</f>
        <v>0</v>
      </c>
      <c r="I60" s="659">
        <f>Calculations!H63/Calculations!H$9</f>
        <v>0</v>
      </c>
      <c r="J60" s="659">
        <f>Calculations!I63/Calculations!I$9</f>
        <v>0</v>
      </c>
      <c r="K60" s="659">
        <f>Calculations!J63/Calculations!J$9</f>
        <v>0</v>
      </c>
      <c r="L60" s="659">
        <f>Calculations!K63/Calculations!K$9</f>
        <v>0</v>
      </c>
      <c r="M60" s="659">
        <f>Calculations!L63/Calculations!L$9</f>
        <v>0</v>
      </c>
      <c r="N60" s="659">
        <f>Calculations!M63/Calculations!M$9</f>
        <v>0</v>
      </c>
      <c r="O60" s="659">
        <f>Calculations!N63/Calculations!N$9</f>
        <v>0</v>
      </c>
      <c r="P60" s="659">
        <f>Calculations!O63/Calculations!O$9</f>
        <v>0</v>
      </c>
      <c r="Q60" s="659">
        <f>Calculations!P63/Calculations!P$9</f>
        <v>0</v>
      </c>
      <c r="R60" s="659">
        <f>Calculations!Q63/Calculations!Q$9</f>
        <v>0</v>
      </c>
      <c r="S60" s="659">
        <f>Calculations!R63/Calculations!R$9</f>
        <v>0</v>
      </c>
      <c r="T60" s="659">
        <f>Calculations!S63/Calculations!S$9</f>
        <v>0</v>
      </c>
      <c r="U60" s="659">
        <f>Calculations!T63/Calculations!T$9</f>
        <v>0</v>
      </c>
      <c r="V60" s="659">
        <f>Calculations!U63/Calculations!U$9</f>
        <v>0</v>
      </c>
      <c r="W60" s="659">
        <f>Calculations!V63/Calculations!V$9</f>
        <v>0</v>
      </c>
      <c r="X60" s="659">
        <f>Calculations!W63/Calculations!W$9</f>
        <v>0</v>
      </c>
      <c r="Y60" s="659">
        <f>Calculations!X63/Calculations!X$9</f>
        <v>0</v>
      </c>
      <c r="Z60" s="659">
        <f>Calculations!Y63/Calculations!Y$9</f>
        <v>0</v>
      </c>
    </row>
    <row r="61" spans="3:26" ht="16.5" customHeight="1" x14ac:dyDescent="0.2">
      <c r="C61" s="513"/>
      <c r="D61" s="656" t="str">
        <f>Calculations!C64</f>
        <v>Negative Impact on Revenue (STPIS)</v>
      </c>
      <c r="E61" s="657">
        <f t="shared" ref="E61:Z61" si="9">SUM(E62:E65)</f>
        <v>0</v>
      </c>
      <c r="F61" s="657">
        <f t="shared" si="9"/>
        <v>0</v>
      </c>
      <c r="G61" s="657">
        <f t="shared" si="9"/>
        <v>0</v>
      </c>
      <c r="H61" s="657">
        <f t="shared" si="9"/>
        <v>0</v>
      </c>
      <c r="I61" s="657">
        <f t="shared" si="9"/>
        <v>0</v>
      </c>
      <c r="J61" s="657">
        <f t="shared" si="9"/>
        <v>0</v>
      </c>
      <c r="K61" s="657">
        <f t="shared" si="9"/>
        <v>0</v>
      </c>
      <c r="L61" s="657">
        <f t="shared" si="9"/>
        <v>0</v>
      </c>
      <c r="M61" s="657">
        <f t="shared" si="9"/>
        <v>0</v>
      </c>
      <c r="N61" s="657">
        <f t="shared" si="9"/>
        <v>0</v>
      </c>
      <c r="O61" s="657">
        <f t="shared" si="9"/>
        <v>0</v>
      </c>
      <c r="P61" s="657">
        <f t="shared" si="9"/>
        <v>0</v>
      </c>
      <c r="Q61" s="657">
        <f t="shared" si="9"/>
        <v>0</v>
      </c>
      <c r="R61" s="657">
        <f t="shared" si="9"/>
        <v>0</v>
      </c>
      <c r="S61" s="657">
        <f t="shared" si="9"/>
        <v>0</v>
      </c>
      <c r="T61" s="657">
        <f t="shared" si="9"/>
        <v>0</v>
      </c>
      <c r="U61" s="657">
        <f t="shared" si="9"/>
        <v>0</v>
      </c>
      <c r="V61" s="657">
        <f t="shared" si="9"/>
        <v>0</v>
      </c>
      <c r="W61" s="657">
        <f t="shared" si="9"/>
        <v>0</v>
      </c>
      <c r="X61" s="657">
        <f t="shared" si="9"/>
        <v>0</v>
      </c>
      <c r="Y61" s="657">
        <f t="shared" si="9"/>
        <v>0</v>
      </c>
      <c r="Z61" s="657">
        <f t="shared" si="9"/>
        <v>0</v>
      </c>
    </row>
    <row r="62" spans="3:26" ht="16.5" customHeight="1" x14ac:dyDescent="0.2">
      <c r="C62" s="513"/>
      <c r="D62" s="660" t="str">
        <f>Calculations!C65</f>
        <v>SAIFI sustained</v>
      </c>
      <c r="E62" s="657">
        <f t="shared" ref="E62:E77" si="10">SUM(F62:Z62)</f>
        <v>0</v>
      </c>
      <c r="F62" s="659">
        <f>Calculations!E65/Calculations!E$9</f>
        <v>0</v>
      </c>
      <c r="G62" s="659">
        <f>Calculations!F65/Calculations!F$9</f>
        <v>0</v>
      </c>
      <c r="H62" s="659">
        <f>Calculations!G65/Calculations!G$9</f>
        <v>0</v>
      </c>
      <c r="I62" s="659">
        <f>Calculations!H65/Calculations!H$9</f>
        <v>0</v>
      </c>
      <c r="J62" s="659">
        <f>Calculations!I65/Calculations!I$9</f>
        <v>0</v>
      </c>
      <c r="K62" s="659">
        <f>Calculations!J65/Calculations!J$9</f>
        <v>0</v>
      </c>
      <c r="L62" s="659">
        <f>Calculations!K65/Calculations!K$9</f>
        <v>0</v>
      </c>
      <c r="M62" s="659">
        <f>Calculations!L65/Calculations!L$9</f>
        <v>0</v>
      </c>
      <c r="N62" s="659">
        <f>Calculations!M65/Calculations!M$9</f>
        <v>0</v>
      </c>
      <c r="O62" s="659">
        <f>Calculations!N65/Calculations!N$9</f>
        <v>0</v>
      </c>
      <c r="P62" s="659">
        <f>Calculations!O65/Calculations!O$9</f>
        <v>0</v>
      </c>
      <c r="Q62" s="659">
        <f>Calculations!P65/Calculations!P$9</f>
        <v>0</v>
      </c>
      <c r="R62" s="659">
        <f>Calculations!Q65/Calculations!Q$9</f>
        <v>0</v>
      </c>
      <c r="S62" s="659">
        <f>Calculations!R65/Calculations!R$9</f>
        <v>0</v>
      </c>
      <c r="T62" s="659">
        <f>Calculations!S65/Calculations!S$9</f>
        <v>0</v>
      </c>
      <c r="U62" s="659">
        <f>Calculations!T65/Calculations!T$9</f>
        <v>0</v>
      </c>
      <c r="V62" s="659">
        <f>Calculations!U65/Calculations!U$9</f>
        <v>0</v>
      </c>
      <c r="W62" s="659">
        <f>Calculations!V65/Calculations!V$9</f>
        <v>0</v>
      </c>
      <c r="X62" s="659">
        <f>Calculations!W65/Calculations!W$9</f>
        <v>0</v>
      </c>
      <c r="Y62" s="659">
        <f>Calculations!X65/Calculations!X$9</f>
        <v>0</v>
      </c>
      <c r="Z62" s="659">
        <f>Calculations!Y65/Calculations!Y$9</f>
        <v>0</v>
      </c>
    </row>
    <row r="63" spans="3:26" ht="16.5" customHeight="1" x14ac:dyDescent="0.2">
      <c r="C63" s="513"/>
      <c r="D63" s="660" t="str">
        <f>Calculations!C66</f>
        <v>SAIDI accidental</v>
      </c>
      <c r="E63" s="657">
        <f t="shared" si="10"/>
        <v>0</v>
      </c>
      <c r="F63" s="659">
        <f>Calculations!E66/Calculations!E$9</f>
        <v>0</v>
      </c>
      <c r="G63" s="659">
        <f>Calculations!F66/Calculations!F$9</f>
        <v>0</v>
      </c>
      <c r="H63" s="659">
        <f>Calculations!G66/Calculations!G$9</f>
        <v>0</v>
      </c>
      <c r="I63" s="659">
        <f>Calculations!H66/Calculations!H$9</f>
        <v>0</v>
      </c>
      <c r="J63" s="659">
        <f>Calculations!I66/Calculations!I$9</f>
        <v>0</v>
      </c>
      <c r="K63" s="659">
        <f>Calculations!J66/Calculations!J$9</f>
        <v>0</v>
      </c>
      <c r="L63" s="659">
        <f>Calculations!K66/Calculations!K$9</f>
        <v>0</v>
      </c>
      <c r="M63" s="659">
        <f>Calculations!L66/Calculations!L$9</f>
        <v>0</v>
      </c>
      <c r="N63" s="659">
        <f>Calculations!M66/Calculations!M$9</f>
        <v>0</v>
      </c>
      <c r="O63" s="659">
        <f>Calculations!N66/Calculations!N$9</f>
        <v>0</v>
      </c>
      <c r="P63" s="659">
        <f>Calculations!O66/Calculations!O$9</f>
        <v>0</v>
      </c>
      <c r="Q63" s="659">
        <f>Calculations!P66/Calculations!P$9</f>
        <v>0</v>
      </c>
      <c r="R63" s="659">
        <f>Calculations!Q66/Calculations!Q$9</f>
        <v>0</v>
      </c>
      <c r="S63" s="659">
        <f>Calculations!R66/Calculations!R$9</f>
        <v>0</v>
      </c>
      <c r="T63" s="659">
        <f>Calculations!S66/Calculations!S$9</f>
        <v>0</v>
      </c>
      <c r="U63" s="659">
        <f>Calculations!T66/Calculations!T$9</f>
        <v>0</v>
      </c>
      <c r="V63" s="659">
        <f>Calculations!U66/Calculations!U$9</f>
        <v>0</v>
      </c>
      <c r="W63" s="659">
        <f>Calculations!V66/Calculations!V$9</f>
        <v>0</v>
      </c>
      <c r="X63" s="659">
        <f>Calculations!W66/Calculations!W$9</f>
        <v>0</v>
      </c>
      <c r="Y63" s="659">
        <f>Calculations!X66/Calculations!X$9</f>
        <v>0</v>
      </c>
      <c r="Z63" s="659">
        <f>Calculations!Y66/Calculations!Y$9</f>
        <v>0</v>
      </c>
    </row>
    <row r="64" spans="3:26" ht="16.5" customHeight="1" x14ac:dyDescent="0.2">
      <c r="C64" s="513"/>
      <c r="D64" s="660" t="str">
        <f>Calculations!C67</f>
        <v>MAIFI momentary</v>
      </c>
      <c r="E64" s="657">
        <f t="shared" si="10"/>
        <v>0</v>
      </c>
      <c r="F64" s="659">
        <f>Calculations!E67/Calculations!E$9</f>
        <v>0</v>
      </c>
      <c r="G64" s="659">
        <f>Calculations!F67/Calculations!F$9</f>
        <v>0</v>
      </c>
      <c r="H64" s="659">
        <f>Calculations!G67/Calculations!G$9</f>
        <v>0</v>
      </c>
      <c r="I64" s="659">
        <f>Calculations!H67/Calculations!H$9</f>
        <v>0</v>
      </c>
      <c r="J64" s="659">
        <f>Calculations!I67/Calculations!I$9</f>
        <v>0</v>
      </c>
      <c r="K64" s="659">
        <f>Calculations!J67/Calculations!J$9</f>
        <v>0</v>
      </c>
      <c r="L64" s="659">
        <f>Calculations!K67/Calculations!K$9</f>
        <v>0</v>
      </c>
      <c r="M64" s="659">
        <f>Calculations!L67/Calculations!L$9</f>
        <v>0</v>
      </c>
      <c r="N64" s="659">
        <f>Calculations!M67/Calculations!M$9</f>
        <v>0</v>
      </c>
      <c r="O64" s="659">
        <f>Calculations!N67/Calculations!N$9</f>
        <v>0</v>
      </c>
      <c r="P64" s="659">
        <f>Calculations!O67/Calculations!O$9</f>
        <v>0</v>
      </c>
      <c r="Q64" s="659">
        <f>Calculations!P67/Calculations!P$9</f>
        <v>0</v>
      </c>
      <c r="R64" s="659">
        <f>Calculations!Q67/Calculations!Q$9</f>
        <v>0</v>
      </c>
      <c r="S64" s="659">
        <f>Calculations!R67/Calculations!R$9</f>
        <v>0</v>
      </c>
      <c r="T64" s="659">
        <f>Calculations!S67/Calculations!S$9</f>
        <v>0</v>
      </c>
      <c r="U64" s="659">
        <f>Calculations!T67/Calculations!T$9</f>
        <v>0</v>
      </c>
      <c r="V64" s="659">
        <f>Calculations!U67/Calculations!U$9</f>
        <v>0</v>
      </c>
      <c r="W64" s="659">
        <f>Calculations!V67/Calculations!V$9</f>
        <v>0</v>
      </c>
      <c r="X64" s="659">
        <f>Calculations!W67/Calculations!W$9</f>
        <v>0</v>
      </c>
      <c r="Y64" s="659">
        <f>Calculations!X67/Calculations!X$9</f>
        <v>0</v>
      </c>
      <c r="Z64" s="659">
        <f>Calculations!Y67/Calculations!Y$9</f>
        <v>0</v>
      </c>
    </row>
    <row r="65" spans="3:26" ht="16.5" customHeight="1" x14ac:dyDescent="0.2">
      <c r="C65" s="513"/>
      <c r="D65" s="660" t="str">
        <f>Calculations!C68</f>
        <v>Call centre response</v>
      </c>
      <c r="E65" s="657">
        <f t="shared" si="10"/>
        <v>0</v>
      </c>
      <c r="F65" s="659">
        <f>Calculations!E68/Calculations!E$9</f>
        <v>0</v>
      </c>
      <c r="G65" s="659">
        <f>Calculations!F68/Calculations!F$9</f>
        <v>0</v>
      </c>
      <c r="H65" s="659">
        <f>Calculations!G68/Calculations!G$9</f>
        <v>0</v>
      </c>
      <c r="I65" s="659">
        <f>Calculations!H68/Calculations!H$9</f>
        <v>0</v>
      </c>
      <c r="J65" s="659">
        <f>Calculations!I68/Calculations!I$9</f>
        <v>0</v>
      </c>
      <c r="K65" s="659">
        <f>Calculations!J68/Calculations!J$9</f>
        <v>0</v>
      </c>
      <c r="L65" s="659">
        <f>Calculations!K68/Calculations!K$9</f>
        <v>0</v>
      </c>
      <c r="M65" s="659">
        <f>Calculations!L68/Calculations!L$9</f>
        <v>0</v>
      </c>
      <c r="N65" s="659">
        <f>Calculations!M68/Calculations!M$9</f>
        <v>0</v>
      </c>
      <c r="O65" s="659">
        <f>Calculations!N68/Calculations!N$9</f>
        <v>0</v>
      </c>
      <c r="P65" s="659">
        <f>Calculations!O68/Calculations!O$9</f>
        <v>0</v>
      </c>
      <c r="Q65" s="659">
        <f>Calculations!P68/Calculations!P$9</f>
        <v>0</v>
      </c>
      <c r="R65" s="659">
        <f>Calculations!Q68/Calculations!Q$9</f>
        <v>0</v>
      </c>
      <c r="S65" s="659">
        <f>Calculations!R68/Calculations!R$9</f>
        <v>0</v>
      </c>
      <c r="T65" s="659">
        <f>Calculations!S68/Calculations!S$9</f>
        <v>0</v>
      </c>
      <c r="U65" s="659">
        <f>Calculations!T68/Calculations!T$9</f>
        <v>0</v>
      </c>
      <c r="V65" s="659">
        <f>Calculations!U68/Calculations!U$9</f>
        <v>0</v>
      </c>
      <c r="W65" s="659">
        <f>Calculations!V68/Calculations!V$9</f>
        <v>0</v>
      </c>
      <c r="X65" s="659">
        <f>Calculations!W68/Calculations!W$9</f>
        <v>0</v>
      </c>
      <c r="Y65" s="659">
        <f>Calculations!X68/Calculations!X$9</f>
        <v>0</v>
      </c>
      <c r="Z65" s="659">
        <f>Calculations!Y68/Calculations!Y$9</f>
        <v>0</v>
      </c>
    </row>
    <row r="66" spans="3:26" ht="16.5" customHeight="1" x14ac:dyDescent="0.2">
      <c r="C66" s="513"/>
      <c r="D66" s="656" t="str">
        <f>Calculations!C69</f>
        <v>Network Outage Costs</v>
      </c>
      <c r="E66" s="657">
        <f t="shared" si="10"/>
        <v>0</v>
      </c>
      <c r="F66" s="659">
        <f>Calculations!E69/Calculations!E$9</f>
        <v>0</v>
      </c>
      <c r="G66" s="659">
        <f>Calculations!F69/Calculations!F$9</f>
        <v>0</v>
      </c>
      <c r="H66" s="659">
        <f>Calculations!G69/Calculations!G$9</f>
        <v>0</v>
      </c>
      <c r="I66" s="659">
        <f>Calculations!H69/Calculations!H$9</f>
        <v>0</v>
      </c>
      <c r="J66" s="659">
        <f>Calculations!I69/Calculations!I$9</f>
        <v>0</v>
      </c>
      <c r="K66" s="659">
        <f>Calculations!J69/Calculations!J$9</f>
        <v>0</v>
      </c>
      <c r="L66" s="659">
        <f>Calculations!K69/Calculations!K$9</f>
        <v>0</v>
      </c>
      <c r="M66" s="659">
        <f>Calculations!L69/Calculations!L$9</f>
        <v>0</v>
      </c>
      <c r="N66" s="659">
        <f>Calculations!M69/Calculations!M$9</f>
        <v>0</v>
      </c>
      <c r="O66" s="659">
        <f>Calculations!N69/Calculations!N$9</f>
        <v>0</v>
      </c>
      <c r="P66" s="659">
        <f>Calculations!O69/Calculations!O$9</f>
        <v>0</v>
      </c>
      <c r="Q66" s="659">
        <f>Calculations!P69/Calculations!P$9</f>
        <v>0</v>
      </c>
      <c r="R66" s="659">
        <f>Calculations!Q69/Calculations!Q$9</f>
        <v>0</v>
      </c>
      <c r="S66" s="659">
        <f>Calculations!R69/Calculations!R$9</f>
        <v>0</v>
      </c>
      <c r="T66" s="659">
        <f>Calculations!S69/Calculations!S$9</f>
        <v>0</v>
      </c>
      <c r="U66" s="659">
        <f>Calculations!T69/Calculations!T$9</f>
        <v>0</v>
      </c>
      <c r="V66" s="659">
        <f>Calculations!U69/Calculations!U$9</f>
        <v>0</v>
      </c>
      <c r="W66" s="659">
        <f>Calculations!V69/Calculations!V$9</f>
        <v>0</v>
      </c>
      <c r="X66" s="659">
        <f>Calculations!W69/Calculations!W$9</f>
        <v>0</v>
      </c>
      <c r="Y66" s="659">
        <f>Calculations!X69/Calculations!X$9</f>
        <v>0</v>
      </c>
      <c r="Z66" s="659">
        <f>Calculations!Y69/Calculations!Y$9</f>
        <v>0</v>
      </c>
    </row>
    <row r="67" spans="3:26" ht="16.5" customHeight="1" x14ac:dyDescent="0.2">
      <c r="C67" s="513"/>
      <c r="D67" s="656" t="str">
        <f>Calculations!C70</f>
        <v>Loss of F Factor Benefit</v>
      </c>
      <c r="E67" s="657">
        <f t="shared" si="10"/>
        <v>0</v>
      </c>
      <c r="F67" s="659">
        <f>Calculations!E70/Calculations!E$9</f>
        <v>0</v>
      </c>
      <c r="G67" s="659">
        <f>Calculations!F70/Calculations!F$9</f>
        <v>0</v>
      </c>
      <c r="H67" s="659">
        <f>Calculations!G70/Calculations!G$9</f>
        <v>0</v>
      </c>
      <c r="I67" s="659">
        <f>Calculations!H70/Calculations!H$9</f>
        <v>0</v>
      </c>
      <c r="J67" s="659">
        <f>Calculations!I70/Calculations!I$9</f>
        <v>0</v>
      </c>
      <c r="K67" s="659">
        <f>Calculations!J70/Calculations!J$9</f>
        <v>0</v>
      </c>
      <c r="L67" s="659">
        <f>Calculations!K70/Calculations!K$9</f>
        <v>0</v>
      </c>
      <c r="M67" s="659">
        <f>Calculations!L70/Calculations!L$9</f>
        <v>0</v>
      </c>
      <c r="N67" s="659">
        <f>Calculations!M70/Calculations!M$9</f>
        <v>0</v>
      </c>
      <c r="O67" s="659">
        <f>Calculations!N70/Calculations!N$9</f>
        <v>0</v>
      </c>
      <c r="P67" s="659">
        <f>Calculations!O70/Calculations!O$9</f>
        <v>0</v>
      </c>
      <c r="Q67" s="659">
        <f>Calculations!P70/Calculations!P$9</f>
        <v>0</v>
      </c>
      <c r="R67" s="659">
        <f>Calculations!Q70/Calculations!Q$9</f>
        <v>0</v>
      </c>
      <c r="S67" s="659">
        <f>Calculations!R70/Calculations!R$9</f>
        <v>0</v>
      </c>
      <c r="T67" s="659">
        <f>Calculations!S70/Calculations!S$9</f>
        <v>0</v>
      </c>
      <c r="U67" s="659">
        <f>Calculations!T70/Calculations!T$9</f>
        <v>0</v>
      </c>
      <c r="V67" s="659">
        <f>Calculations!U70/Calculations!U$9</f>
        <v>0</v>
      </c>
      <c r="W67" s="659">
        <f>Calculations!V70/Calculations!V$9</f>
        <v>0</v>
      </c>
      <c r="X67" s="659">
        <f>Calculations!W70/Calculations!W$9</f>
        <v>0</v>
      </c>
      <c r="Y67" s="659">
        <f>Calculations!X70/Calculations!X$9</f>
        <v>0</v>
      </c>
      <c r="Z67" s="659">
        <f>Calculations!Y70/Calculations!Y$9</f>
        <v>0</v>
      </c>
    </row>
    <row r="68" spans="3:26" ht="16.5" customHeight="1" x14ac:dyDescent="0.2">
      <c r="C68" s="513"/>
      <c r="D68" s="656" t="str">
        <f>Calculations!C71</f>
        <v>Cost 1</v>
      </c>
      <c r="E68" s="657">
        <f t="shared" si="10"/>
        <v>0</v>
      </c>
      <c r="F68" s="659">
        <f>Calculations!E71/Calculations!E$9</f>
        <v>0</v>
      </c>
      <c r="G68" s="659">
        <f>Calculations!F71/Calculations!F$9</f>
        <v>0</v>
      </c>
      <c r="H68" s="659">
        <f>Calculations!G71/Calculations!G$9</f>
        <v>0</v>
      </c>
      <c r="I68" s="659">
        <f>Calculations!H71/Calculations!H$9</f>
        <v>0</v>
      </c>
      <c r="J68" s="659">
        <f>Calculations!I71/Calculations!I$9</f>
        <v>0</v>
      </c>
      <c r="K68" s="659">
        <f>Calculations!J71/Calculations!J$9</f>
        <v>0</v>
      </c>
      <c r="L68" s="659">
        <f>Calculations!K71/Calculations!K$9</f>
        <v>0</v>
      </c>
      <c r="M68" s="659">
        <f>Calculations!L71/Calculations!L$9</f>
        <v>0</v>
      </c>
      <c r="N68" s="659">
        <f>Calculations!M71/Calculations!M$9</f>
        <v>0</v>
      </c>
      <c r="O68" s="659">
        <f>Calculations!N71/Calculations!N$9</f>
        <v>0</v>
      </c>
      <c r="P68" s="659">
        <f>Calculations!O71/Calculations!O$9</f>
        <v>0</v>
      </c>
      <c r="Q68" s="659">
        <f>Calculations!P71/Calculations!P$9</f>
        <v>0</v>
      </c>
      <c r="R68" s="659">
        <f>Calculations!Q71/Calculations!Q$9</f>
        <v>0</v>
      </c>
      <c r="S68" s="659">
        <f>Calculations!R71/Calculations!R$9</f>
        <v>0</v>
      </c>
      <c r="T68" s="659">
        <f>Calculations!S71/Calculations!S$9</f>
        <v>0</v>
      </c>
      <c r="U68" s="659">
        <f>Calculations!T71/Calculations!T$9</f>
        <v>0</v>
      </c>
      <c r="V68" s="659">
        <f>Calculations!U71/Calculations!U$9</f>
        <v>0</v>
      </c>
      <c r="W68" s="659">
        <f>Calculations!V71/Calculations!V$9</f>
        <v>0</v>
      </c>
      <c r="X68" s="659">
        <f>Calculations!W71/Calculations!W$9</f>
        <v>0</v>
      </c>
      <c r="Y68" s="659">
        <f>Calculations!X71/Calculations!X$9</f>
        <v>0</v>
      </c>
      <c r="Z68" s="659">
        <f>Calculations!Y71/Calculations!Y$9</f>
        <v>0</v>
      </c>
    </row>
    <row r="69" spans="3:26" ht="16.5" customHeight="1" x14ac:dyDescent="0.2">
      <c r="C69" s="513"/>
      <c r="D69" s="656" t="str">
        <f>Calculations!C72</f>
        <v>Cost 2</v>
      </c>
      <c r="E69" s="657">
        <f t="shared" si="10"/>
        <v>0</v>
      </c>
      <c r="F69" s="659">
        <f>Calculations!E72/Calculations!E$9</f>
        <v>0</v>
      </c>
      <c r="G69" s="659">
        <f>Calculations!F72/Calculations!F$9</f>
        <v>0</v>
      </c>
      <c r="H69" s="659">
        <f>Calculations!G72/Calculations!G$9</f>
        <v>0</v>
      </c>
      <c r="I69" s="659">
        <f>Calculations!H72/Calculations!H$9</f>
        <v>0</v>
      </c>
      <c r="J69" s="659">
        <f>Calculations!I72/Calculations!I$9</f>
        <v>0</v>
      </c>
      <c r="K69" s="659">
        <f>Calculations!J72/Calculations!J$9</f>
        <v>0</v>
      </c>
      <c r="L69" s="659">
        <f>Calculations!K72/Calculations!K$9</f>
        <v>0</v>
      </c>
      <c r="M69" s="659">
        <f>Calculations!L72/Calculations!L$9</f>
        <v>0</v>
      </c>
      <c r="N69" s="659">
        <f>Calculations!M72/Calculations!M$9</f>
        <v>0</v>
      </c>
      <c r="O69" s="659">
        <f>Calculations!N72/Calculations!N$9</f>
        <v>0</v>
      </c>
      <c r="P69" s="659">
        <f>Calculations!O72/Calculations!O$9</f>
        <v>0</v>
      </c>
      <c r="Q69" s="659">
        <f>Calculations!P72/Calculations!P$9</f>
        <v>0</v>
      </c>
      <c r="R69" s="659">
        <f>Calculations!Q72/Calculations!Q$9</f>
        <v>0</v>
      </c>
      <c r="S69" s="659">
        <f>Calculations!R72/Calculations!R$9</f>
        <v>0</v>
      </c>
      <c r="T69" s="659">
        <f>Calculations!S72/Calculations!S$9</f>
        <v>0</v>
      </c>
      <c r="U69" s="659">
        <f>Calculations!T72/Calculations!T$9</f>
        <v>0</v>
      </c>
      <c r="V69" s="659">
        <f>Calculations!U72/Calculations!U$9</f>
        <v>0</v>
      </c>
      <c r="W69" s="659">
        <f>Calculations!V72/Calculations!V$9</f>
        <v>0</v>
      </c>
      <c r="X69" s="659">
        <f>Calculations!W72/Calculations!W$9</f>
        <v>0</v>
      </c>
      <c r="Y69" s="659">
        <f>Calculations!X72/Calculations!X$9</f>
        <v>0</v>
      </c>
      <c r="Z69" s="659">
        <f>Calculations!Y72/Calculations!Y$9</f>
        <v>0</v>
      </c>
    </row>
    <row r="70" spans="3:26" ht="16.5" customHeight="1" x14ac:dyDescent="0.2">
      <c r="C70" s="513"/>
      <c r="D70" s="656" t="str">
        <f>Calculations!C73</f>
        <v>Cost 3</v>
      </c>
      <c r="E70" s="657">
        <f t="shared" si="10"/>
        <v>0</v>
      </c>
      <c r="F70" s="659">
        <f>Calculations!E73/Calculations!E$9</f>
        <v>0</v>
      </c>
      <c r="G70" s="659">
        <f>Calculations!F73/Calculations!F$9</f>
        <v>0</v>
      </c>
      <c r="H70" s="659">
        <f>Calculations!G73/Calculations!G$9</f>
        <v>0</v>
      </c>
      <c r="I70" s="659">
        <f>Calculations!H73/Calculations!H$9</f>
        <v>0</v>
      </c>
      <c r="J70" s="659">
        <f>Calculations!I73/Calculations!I$9</f>
        <v>0</v>
      </c>
      <c r="K70" s="659">
        <f>Calculations!J73/Calculations!J$9</f>
        <v>0</v>
      </c>
      <c r="L70" s="659">
        <f>Calculations!K73/Calculations!K$9</f>
        <v>0</v>
      </c>
      <c r="M70" s="659">
        <f>Calculations!L73/Calculations!L$9</f>
        <v>0</v>
      </c>
      <c r="N70" s="659">
        <f>Calculations!M73/Calculations!M$9</f>
        <v>0</v>
      </c>
      <c r="O70" s="659">
        <f>Calculations!N73/Calculations!N$9</f>
        <v>0</v>
      </c>
      <c r="P70" s="659">
        <f>Calculations!O73/Calculations!O$9</f>
        <v>0</v>
      </c>
      <c r="Q70" s="659">
        <f>Calculations!P73/Calculations!P$9</f>
        <v>0</v>
      </c>
      <c r="R70" s="659">
        <f>Calculations!Q73/Calculations!Q$9</f>
        <v>0</v>
      </c>
      <c r="S70" s="659">
        <f>Calculations!R73/Calculations!R$9</f>
        <v>0</v>
      </c>
      <c r="T70" s="659">
        <f>Calculations!S73/Calculations!S$9</f>
        <v>0</v>
      </c>
      <c r="U70" s="659">
        <f>Calculations!T73/Calculations!T$9</f>
        <v>0</v>
      </c>
      <c r="V70" s="659">
        <f>Calculations!U73/Calculations!U$9</f>
        <v>0</v>
      </c>
      <c r="W70" s="659">
        <f>Calculations!V73/Calculations!V$9</f>
        <v>0</v>
      </c>
      <c r="X70" s="659">
        <f>Calculations!W73/Calculations!W$9</f>
        <v>0</v>
      </c>
      <c r="Y70" s="659">
        <f>Calculations!X73/Calculations!X$9</f>
        <v>0</v>
      </c>
      <c r="Z70" s="659">
        <f>Calculations!Y73/Calculations!Y$9</f>
        <v>0</v>
      </c>
    </row>
    <row r="71" spans="3:26" ht="16.5" customHeight="1" x14ac:dyDescent="0.2">
      <c r="C71" s="513"/>
      <c r="D71" s="656" t="str">
        <f>Calculations!C74</f>
        <v>Cost 4</v>
      </c>
      <c r="E71" s="657">
        <f t="shared" si="10"/>
        <v>0</v>
      </c>
      <c r="F71" s="659">
        <f>Calculations!E74/Calculations!E$9</f>
        <v>0</v>
      </c>
      <c r="G71" s="659">
        <f>Calculations!F74/Calculations!F$9</f>
        <v>0</v>
      </c>
      <c r="H71" s="659">
        <f>Calculations!G74/Calculations!G$9</f>
        <v>0</v>
      </c>
      <c r="I71" s="659">
        <f>Calculations!H74/Calculations!H$9</f>
        <v>0</v>
      </c>
      <c r="J71" s="659">
        <f>Calculations!I74/Calculations!I$9</f>
        <v>0</v>
      </c>
      <c r="K71" s="659">
        <f>Calculations!J74/Calculations!J$9</f>
        <v>0</v>
      </c>
      <c r="L71" s="659">
        <f>Calculations!K74/Calculations!K$9</f>
        <v>0</v>
      </c>
      <c r="M71" s="659">
        <f>Calculations!L74/Calculations!L$9</f>
        <v>0</v>
      </c>
      <c r="N71" s="659">
        <f>Calculations!M74/Calculations!M$9</f>
        <v>0</v>
      </c>
      <c r="O71" s="659">
        <f>Calculations!N74/Calculations!N$9</f>
        <v>0</v>
      </c>
      <c r="P71" s="659">
        <f>Calculations!O74/Calculations!O$9</f>
        <v>0</v>
      </c>
      <c r="Q71" s="659">
        <f>Calculations!P74/Calculations!P$9</f>
        <v>0</v>
      </c>
      <c r="R71" s="659">
        <f>Calculations!Q74/Calculations!Q$9</f>
        <v>0</v>
      </c>
      <c r="S71" s="659">
        <f>Calculations!R74/Calculations!R$9</f>
        <v>0</v>
      </c>
      <c r="T71" s="659">
        <f>Calculations!S74/Calculations!S$9</f>
        <v>0</v>
      </c>
      <c r="U71" s="659">
        <f>Calculations!T74/Calculations!T$9</f>
        <v>0</v>
      </c>
      <c r="V71" s="659">
        <f>Calculations!U74/Calculations!U$9</f>
        <v>0</v>
      </c>
      <c r="W71" s="659">
        <f>Calculations!V74/Calculations!V$9</f>
        <v>0</v>
      </c>
      <c r="X71" s="659">
        <f>Calculations!W74/Calculations!W$9</f>
        <v>0</v>
      </c>
      <c r="Y71" s="659">
        <f>Calculations!X74/Calculations!X$9</f>
        <v>0</v>
      </c>
      <c r="Z71" s="659">
        <f>Calculations!Y74/Calculations!Y$9</f>
        <v>0</v>
      </c>
    </row>
    <row r="72" spans="3:26" ht="16.5" customHeight="1" x14ac:dyDescent="0.2">
      <c r="C72" s="513"/>
      <c r="D72" s="656" t="str">
        <f>Calculations!C75</f>
        <v>Cost 5</v>
      </c>
      <c r="E72" s="657">
        <f t="shared" si="10"/>
        <v>0</v>
      </c>
      <c r="F72" s="659">
        <f>Calculations!E75/Calculations!E$9</f>
        <v>0</v>
      </c>
      <c r="G72" s="659">
        <f>Calculations!F75/Calculations!F$9</f>
        <v>0</v>
      </c>
      <c r="H72" s="659">
        <f>Calculations!G75/Calculations!G$9</f>
        <v>0</v>
      </c>
      <c r="I72" s="659">
        <f>Calculations!H75/Calculations!H$9</f>
        <v>0</v>
      </c>
      <c r="J72" s="659">
        <f>Calculations!I75/Calculations!I$9</f>
        <v>0</v>
      </c>
      <c r="K72" s="659">
        <f>Calculations!J75/Calculations!J$9</f>
        <v>0</v>
      </c>
      <c r="L72" s="659">
        <f>Calculations!K75/Calculations!K$9</f>
        <v>0</v>
      </c>
      <c r="M72" s="659">
        <f>Calculations!L75/Calculations!L$9</f>
        <v>0</v>
      </c>
      <c r="N72" s="659">
        <f>Calculations!M75/Calculations!M$9</f>
        <v>0</v>
      </c>
      <c r="O72" s="659">
        <f>Calculations!N75/Calculations!N$9</f>
        <v>0</v>
      </c>
      <c r="P72" s="659">
        <f>Calculations!O75/Calculations!O$9</f>
        <v>0</v>
      </c>
      <c r="Q72" s="659">
        <f>Calculations!P75/Calculations!P$9</f>
        <v>0</v>
      </c>
      <c r="R72" s="659">
        <f>Calculations!Q75/Calculations!Q$9</f>
        <v>0</v>
      </c>
      <c r="S72" s="659">
        <f>Calculations!R75/Calculations!R$9</f>
        <v>0</v>
      </c>
      <c r="T72" s="659">
        <f>Calculations!S75/Calculations!S$9</f>
        <v>0</v>
      </c>
      <c r="U72" s="659">
        <f>Calculations!T75/Calculations!T$9</f>
        <v>0</v>
      </c>
      <c r="V72" s="659">
        <f>Calculations!U75/Calculations!U$9</f>
        <v>0</v>
      </c>
      <c r="W72" s="659">
        <f>Calculations!V75/Calculations!V$9</f>
        <v>0</v>
      </c>
      <c r="X72" s="659">
        <f>Calculations!W75/Calculations!W$9</f>
        <v>0</v>
      </c>
      <c r="Y72" s="659">
        <f>Calculations!X75/Calculations!X$9</f>
        <v>0</v>
      </c>
      <c r="Z72" s="659">
        <f>Calculations!Y75/Calculations!Y$9</f>
        <v>0</v>
      </c>
    </row>
    <row r="73" spans="3:26" ht="16.5" customHeight="1" x14ac:dyDescent="0.2">
      <c r="C73" s="513"/>
      <c r="D73" s="656" t="str">
        <f>Calculations!C76</f>
        <v>Risk 1</v>
      </c>
      <c r="E73" s="657">
        <f t="shared" si="10"/>
        <v>0</v>
      </c>
      <c r="F73" s="659">
        <f>Calculations!E76/Calculations!E$9</f>
        <v>0</v>
      </c>
      <c r="G73" s="659">
        <f>Calculations!F76/Calculations!F$9</f>
        <v>0</v>
      </c>
      <c r="H73" s="659">
        <f>Calculations!G76/Calculations!G$9</f>
        <v>0</v>
      </c>
      <c r="I73" s="659">
        <f>Calculations!H76/Calculations!H$9</f>
        <v>0</v>
      </c>
      <c r="J73" s="659">
        <f>Calculations!I76/Calculations!I$9</f>
        <v>0</v>
      </c>
      <c r="K73" s="659">
        <f>Calculations!J76/Calculations!J$9</f>
        <v>0</v>
      </c>
      <c r="L73" s="659">
        <f>Calculations!K76/Calculations!K$9</f>
        <v>0</v>
      </c>
      <c r="M73" s="659">
        <f>Calculations!L76/Calculations!L$9</f>
        <v>0</v>
      </c>
      <c r="N73" s="659">
        <f>Calculations!M76/Calculations!M$9</f>
        <v>0</v>
      </c>
      <c r="O73" s="659">
        <f>Calculations!N76/Calculations!N$9</f>
        <v>0</v>
      </c>
      <c r="P73" s="659">
        <f>Calculations!O76/Calculations!O$9</f>
        <v>0</v>
      </c>
      <c r="Q73" s="659">
        <f>Calculations!P76/Calculations!P$9</f>
        <v>0</v>
      </c>
      <c r="R73" s="659">
        <f>Calculations!Q76/Calculations!Q$9</f>
        <v>0</v>
      </c>
      <c r="S73" s="659">
        <f>Calculations!R76/Calculations!R$9</f>
        <v>0</v>
      </c>
      <c r="T73" s="659">
        <f>Calculations!S76/Calculations!S$9</f>
        <v>0</v>
      </c>
      <c r="U73" s="659">
        <f>Calculations!T76/Calculations!T$9</f>
        <v>0</v>
      </c>
      <c r="V73" s="659">
        <f>Calculations!U76/Calculations!U$9</f>
        <v>0</v>
      </c>
      <c r="W73" s="659">
        <f>Calculations!V76/Calculations!V$9</f>
        <v>0</v>
      </c>
      <c r="X73" s="659">
        <f>Calculations!W76/Calculations!W$9</f>
        <v>0</v>
      </c>
      <c r="Y73" s="659">
        <f>Calculations!X76/Calculations!X$9</f>
        <v>0</v>
      </c>
      <c r="Z73" s="659">
        <f>Calculations!Y76/Calculations!Y$9</f>
        <v>0</v>
      </c>
    </row>
    <row r="74" spans="3:26" ht="16.5" customHeight="1" x14ac:dyDescent="0.2">
      <c r="C74" s="513"/>
      <c r="D74" s="656" t="str">
        <f>Calculations!C77</f>
        <v>Risk 2</v>
      </c>
      <c r="E74" s="657">
        <f t="shared" si="10"/>
        <v>0</v>
      </c>
      <c r="F74" s="659">
        <f>Calculations!E77/Calculations!E$9</f>
        <v>0</v>
      </c>
      <c r="G74" s="659">
        <f>Calculations!F77/Calculations!F$9</f>
        <v>0</v>
      </c>
      <c r="H74" s="659">
        <f>Calculations!G77/Calculations!G$9</f>
        <v>0</v>
      </c>
      <c r="I74" s="659">
        <f>Calculations!H77/Calculations!H$9</f>
        <v>0</v>
      </c>
      <c r="J74" s="659">
        <f>Calculations!I77/Calculations!I$9</f>
        <v>0</v>
      </c>
      <c r="K74" s="659">
        <f>Calculations!J77/Calculations!J$9</f>
        <v>0</v>
      </c>
      <c r="L74" s="659">
        <f>Calculations!K77/Calculations!K$9</f>
        <v>0</v>
      </c>
      <c r="M74" s="659">
        <f>Calculations!L77/Calculations!L$9</f>
        <v>0</v>
      </c>
      <c r="N74" s="659">
        <f>Calculations!M77/Calculations!M$9</f>
        <v>0</v>
      </c>
      <c r="O74" s="659">
        <f>Calculations!N77/Calculations!N$9</f>
        <v>0</v>
      </c>
      <c r="P74" s="659">
        <f>Calculations!O77/Calculations!O$9</f>
        <v>0</v>
      </c>
      <c r="Q74" s="659">
        <f>Calculations!P77/Calculations!P$9</f>
        <v>0</v>
      </c>
      <c r="R74" s="659">
        <f>Calculations!Q77/Calculations!Q$9</f>
        <v>0</v>
      </c>
      <c r="S74" s="659">
        <f>Calculations!R77/Calculations!R$9</f>
        <v>0</v>
      </c>
      <c r="T74" s="659">
        <f>Calculations!S77/Calculations!S$9</f>
        <v>0</v>
      </c>
      <c r="U74" s="659">
        <f>Calculations!T77/Calculations!T$9</f>
        <v>0</v>
      </c>
      <c r="V74" s="659">
        <f>Calculations!U77/Calculations!U$9</f>
        <v>0</v>
      </c>
      <c r="W74" s="659">
        <f>Calculations!V77/Calculations!V$9</f>
        <v>0</v>
      </c>
      <c r="X74" s="659">
        <f>Calculations!W77/Calculations!W$9</f>
        <v>0</v>
      </c>
      <c r="Y74" s="659">
        <f>Calculations!X77/Calculations!X$9</f>
        <v>0</v>
      </c>
      <c r="Z74" s="659">
        <f>Calculations!Y77/Calculations!Y$9</f>
        <v>0</v>
      </c>
    </row>
    <row r="75" spans="3:26" ht="16.5" customHeight="1" x14ac:dyDescent="0.2">
      <c r="C75" s="513"/>
      <c r="D75" s="656" t="str">
        <f>Calculations!C78</f>
        <v>Risk 3</v>
      </c>
      <c r="E75" s="657">
        <f t="shared" si="10"/>
        <v>0</v>
      </c>
      <c r="F75" s="659">
        <f>Calculations!E78/Calculations!E$9</f>
        <v>0</v>
      </c>
      <c r="G75" s="659">
        <f>Calculations!F78/Calculations!F$9</f>
        <v>0</v>
      </c>
      <c r="H75" s="659">
        <f>Calculations!G78/Calculations!G$9</f>
        <v>0</v>
      </c>
      <c r="I75" s="659">
        <f>Calculations!H78/Calculations!H$9</f>
        <v>0</v>
      </c>
      <c r="J75" s="659">
        <f>Calculations!I78/Calculations!I$9</f>
        <v>0</v>
      </c>
      <c r="K75" s="659">
        <f>Calculations!J78/Calculations!J$9</f>
        <v>0</v>
      </c>
      <c r="L75" s="659">
        <f>Calculations!K78/Calculations!K$9</f>
        <v>0</v>
      </c>
      <c r="M75" s="659">
        <f>Calculations!L78/Calculations!L$9</f>
        <v>0</v>
      </c>
      <c r="N75" s="659">
        <f>Calculations!M78/Calculations!M$9</f>
        <v>0</v>
      </c>
      <c r="O75" s="659">
        <f>Calculations!N78/Calculations!N$9</f>
        <v>0</v>
      </c>
      <c r="P75" s="659">
        <f>Calculations!O78/Calculations!O$9</f>
        <v>0</v>
      </c>
      <c r="Q75" s="659">
        <f>Calculations!P78/Calculations!P$9</f>
        <v>0</v>
      </c>
      <c r="R75" s="659">
        <f>Calculations!Q78/Calculations!Q$9</f>
        <v>0</v>
      </c>
      <c r="S75" s="659">
        <f>Calculations!R78/Calculations!R$9</f>
        <v>0</v>
      </c>
      <c r="T75" s="659">
        <f>Calculations!S78/Calculations!S$9</f>
        <v>0</v>
      </c>
      <c r="U75" s="659">
        <f>Calculations!T78/Calculations!T$9</f>
        <v>0</v>
      </c>
      <c r="V75" s="659">
        <f>Calculations!U78/Calculations!U$9</f>
        <v>0</v>
      </c>
      <c r="W75" s="659">
        <f>Calculations!V78/Calculations!V$9</f>
        <v>0</v>
      </c>
      <c r="X75" s="659">
        <f>Calculations!W78/Calculations!W$9</f>
        <v>0</v>
      </c>
      <c r="Y75" s="659">
        <f>Calculations!X78/Calculations!X$9</f>
        <v>0</v>
      </c>
      <c r="Z75" s="659">
        <f>Calculations!Y78/Calculations!Y$9</f>
        <v>0</v>
      </c>
    </row>
    <row r="76" spans="3:26" ht="16.5" customHeight="1" x14ac:dyDescent="0.2">
      <c r="C76" s="513"/>
      <c r="D76" s="656" t="str">
        <f>Calculations!C79</f>
        <v>Risk 4</v>
      </c>
      <c r="E76" s="657">
        <f t="shared" si="10"/>
        <v>0</v>
      </c>
      <c r="F76" s="659">
        <f>Calculations!E79/Calculations!E$9</f>
        <v>0</v>
      </c>
      <c r="G76" s="659">
        <f>Calculations!F79/Calculations!F$9</f>
        <v>0</v>
      </c>
      <c r="H76" s="659">
        <f>Calculations!G79/Calculations!G$9</f>
        <v>0</v>
      </c>
      <c r="I76" s="659">
        <f>Calculations!H79/Calculations!H$9</f>
        <v>0</v>
      </c>
      <c r="J76" s="659">
        <f>Calculations!I79/Calculations!I$9</f>
        <v>0</v>
      </c>
      <c r="K76" s="659">
        <f>Calculations!J79/Calculations!J$9</f>
        <v>0</v>
      </c>
      <c r="L76" s="659">
        <f>Calculations!K79/Calculations!K$9</f>
        <v>0</v>
      </c>
      <c r="M76" s="659">
        <f>Calculations!L79/Calculations!L$9</f>
        <v>0</v>
      </c>
      <c r="N76" s="659">
        <f>Calculations!M79/Calculations!M$9</f>
        <v>0</v>
      </c>
      <c r="O76" s="659">
        <f>Calculations!N79/Calculations!N$9</f>
        <v>0</v>
      </c>
      <c r="P76" s="659">
        <f>Calculations!O79/Calculations!O$9</f>
        <v>0</v>
      </c>
      <c r="Q76" s="659">
        <f>Calculations!P79/Calculations!P$9</f>
        <v>0</v>
      </c>
      <c r="R76" s="659">
        <f>Calculations!Q79/Calculations!Q$9</f>
        <v>0</v>
      </c>
      <c r="S76" s="659">
        <f>Calculations!R79/Calculations!R$9</f>
        <v>0</v>
      </c>
      <c r="T76" s="659">
        <f>Calculations!S79/Calculations!S$9</f>
        <v>0</v>
      </c>
      <c r="U76" s="659">
        <f>Calculations!T79/Calculations!T$9</f>
        <v>0</v>
      </c>
      <c r="V76" s="659">
        <f>Calculations!U79/Calculations!U$9</f>
        <v>0</v>
      </c>
      <c r="W76" s="659">
        <f>Calculations!V79/Calculations!V$9</f>
        <v>0</v>
      </c>
      <c r="X76" s="659">
        <f>Calculations!W79/Calculations!W$9</f>
        <v>0</v>
      </c>
      <c r="Y76" s="659">
        <f>Calculations!X79/Calculations!X$9</f>
        <v>0</v>
      </c>
      <c r="Z76" s="659">
        <f>Calculations!Y79/Calculations!Y$9</f>
        <v>0</v>
      </c>
    </row>
    <row r="77" spans="3:26" ht="16.5" customHeight="1" x14ac:dyDescent="0.2">
      <c r="C77" s="513"/>
      <c r="D77" s="656" t="str">
        <f>Calculations!C80</f>
        <v>Risk 5</v>
      </c>
      <c r="E77" s="657">
        <f t="shared" si="10"/>
        <v>0</v>
      </c>
      <c r="F77" s="659">
        <f>Calculations!E80/Calculations!E$9</f>
        <v>0</v>
      </c>
      <c r="G77" s="659">
        <f>Calculations!F80/Calculations!F$9</f>
        <v>0</v>
      </c>
      <c r="H77" s="659">
        <f>Calculations!G80/Calculations!G$9</f>
        <v>0</v>
      </c>
      <c r="I77" s="659">
        <f>Calculations!H80/Calculations!H$9</f>
        <v>0</v>
      </c>
      <c r="J77" s="659">
        <f>Calculations!I80/Calculations!I$9</f>
        <v>0</v>
      </c>
      <c r="K77" s="659">
        <f>Calculations!J80/Calculations!J$9</f>
        <v>0</v>
      </c>
      <c r="L77" s="659">
        <f>Calculations!K80/Calculations!K$9</f>
        <v>0</v>
      </c>
      <c r="M77" s="659">
        <f>Calculations!L80/Calculations!L$9</f>
        <v>0</v>
      </c>
      <c r="N77" s="659">
        <f>Calculations!M80/Calculations!M$9</f>
        <v>0</v>
      </c>
      <c r="O77" s="659">
        <f>Calculations!N80/Calculations!N$9</f>
        <v>0</v>
      </c>
      <c r="P77" s="659">
        <f>Calculations!O80/Calculations!O$9</f>
        <v>0</v>
      </c>
      <c r="Q77" s="659">
        <f>Calculations!P80/Calculations!P$9</f>
        <v>0</v>
      </c>
      <c r="R77" s="659">
        <f>Calculations!Q80/Calculations!Q$9</f>
        <v>0</v>
      </c>
      <c r="S77" s="659">
        <f>Calculations!R80/Calculations!R$9</f>
        <v>0</v>
      </c>
      <c r="T77" s="659">
        <f>Calculations!S80/Calculations!S$9</f>
        <v>0</v>
      </c>
      <c r="U77" s="659">
        <f>Calculations!T80/Calculations!T$9</f>
        <v>0</v>
      </c>
      <c r="V77" s="659">
        <f>Calculations!U80/Calculations!U$9</f>
        <v>0</v>
      </c>
      <c r="W77" s="659">
        <f>Calculations!V80/Calculations!V$9</f>
        <v>0</v>
      </c>
      <c r="X77" s="659">
        <f>Calculations!W80/Calculations!W$9</f>
        <v>0</v>
      </c>
      <c r="Y77" s="659">
        <f>Calculations!X80/Calculations!X$9</f>
        <v>0</v>
      </c>
      <c r="Z77" s="659">
        <f>Calculations!Y80/Calculations!Y$9</f>
        <v>0</v>
      </c>
    </row>
    <row r="78" spans="3:26" ht="16.5" customHeight="1" x14ac:dyDescent="0.2">
      <c r="C78" s="513"/>
      <c r="D78" s="656" t="s">
        <v>254</v>
      </c>
      <c r="E78" s="657">
        <f t="shared" ref="E78:Z78" si="11">SUM(E59:E77)-E61</f>
        <v>0</v>
      </c>
      <c r="F78" s="657">
        <f t="shared" si="11"/>
        <v>0</v>
      </c>
      <c r="G78" s="657">
        <f t="shared" si="11"/>
        <v>0</v>
      </c>
      <c r="H78" s="657">
        <f t="shared" si="11"/>
        <v>0</v>
      </c>
      <c r="I78" s="657">
        <f t="shared" si="11"/>
        <v>0</v>
      </c>
      <c r="J78" s="657">
        <f t="shared" si="11"/>
        <v>0</v>
      </c>
      <c r="K78" s="657">
        <f t="shared" si="11"/>
        <v>0</v>
      </c>
      <c r="L78" s="657">
        <f t="shared" si="11"/>
        <v>0</v>
      </c>
      <c r="M78" s="657">
        <f t="shared" si="11"/>
        <v>0</v>
      </c>
      <c r="N78" s="657">
        <f t="shared" si="11"/>
        <v>0</v>
      </c>
      <c r="O78" s="657">
        <f t="shared" si="11"/>
        <v>0</v>
      </c>
      <c r="P78" s="657">
        <f t="shared" si="11"/>
        <v>0</v>
      </c>
      <c r="Q78" s="657">
        <f t="shared" si="11"/>
        <v>0</v>
      </c>
      <c r="R78" s="657">
        <f t="shared" si="11"/>
        <v>0</v>
      </c>
      <c r="S78" s="657">
        <f t="shared" si="11"/>
        <v>0</v>
      </c>
      <c r="T78" s="657">
        <f t="shared" si="11"/>
        <v>0</v>
      </c>
      <c r="U78" s="657">
        <f t="shared" si="11"/>
        <v>0</v>
      </c>
      <c r="V78" s="657">
        <f t="shared" si="11"/>
        <v>0</v>
      </c>
      <c r="W78" s="657">
        <f t="shared" si="11"/>
        <v>0</v>
      </c>
      <c r="X78" s="657">
        <f t="shared" si="11"/>
        <v>0</v>
      </c>
      <c r="Y78" s="657">
        <f t="shared" si="11"/>
        <v>0</v>
      </c>
      <c r="Z78" s="657">
        <f t="shared" si="11"/>
        <v>0</v>
      </c>
    </row>
    <row r="79" spans="3:26" ht="16.5" customHeight="1" x14ac:dyDescent="0.2"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3:26" ht="16.5" customHeight="1" x14ac:dyDescent="0.25">
      <c r="C80" s="513"/>
      <c r="D80" s="651" t="str">
        <f>'User Input'!D111</f>
        <v xml:space="preserve">Option 3: 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</row>
    <row r="81" spans="3:26" ht="16.5" customHeight="1" x14ac:dyDescent="0.25">
      <c r="C81" s="513"/>
      <c r="D81" s="49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</row>
    <row r="82" spans="3:26" ht="16.5" customHeight="1" x14ac:dyDescent="0.25">
      <c r="C82" s="513"/>
      <c r="D82" s="654"/>
      <c r="E82" s="710"/>
      <c r="F82" s="710"/>
      <c r="G82" s="710"/>
      <c r="H82" s="710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710"/>
      <c r="Z82" s="710"/>
    </row>
    <row r="83" spans="3:26" ht="16.5" customHeight="1" x14ac:dyDescent="0.25">
      <c r="C83" s="513"/>
      <c r="D83" s="654"/>
      <c r="E83" s="655" t="s">
        <v>254</v>
      </c>
      <c r="F83" s="655">
        <f>'User Input'!$E$6</f>
        <v>2016</v>
      </c>
      <c r="G83" s="655">
        <f>F83+1</f>
        <v>2017</v>
      </c>
      <c r="H83" s="655">
        <f t="shared" ref="H83:Z83" si="12">G83+1</f>
        <v>2018</v>
      </c>
      <c r="I83" s="655">
        <f t="shared" si="12"/>
        <v>2019</v>
      </c>
      <c r="J83" s="655">
        <f t="shared" si="12"/>
        <v>2020</v>
      </c>
      <c r="K83" s="655">
        <f t="shared" si="12"/>
        <v>2021</v>
      </c>
      <c r="L83" s="655">
        <f t="shared" si="12"/>
        <v>2022</v>
      </c>
      <c r="M83" s="655">
        <f t="shared" si="12"/>
        <v>2023</v>
      </c>
      <c r="N83" s="655">
        <f t="shared" si="12"/>
        <v>2024</v>
      </c>
      <c r="O83" s="655">
        <f t="shared" si="12"/>
        <v>2025</v>
      </c>
      <c r="P83" s="655">
        <f t="shared" si="12"/>
        <v>2026</v>
      </c>
      <c r="Q83" s="655">
        <f t="shared" si="12"/>
        <v>2027</v>
      </c>
      <c r="R83" s="655">
        <f t="shared" si="12"/>
        <v>2028</v>
      </c>
      <c r="S83" s="655">
        <f t="shared" si="12"/>
        <v>2029</v>
      </c>
      <c r="T83" s="655">
        <f t="shared" si="12"/>
        <v>2030</v>
      </c>
      <c r="U83" s="655">
        <f t="shared" si="12"/>
        <v>2031</v>
      </c>
      <c r="V83" s="655">
        <f t="shared" si="12"/>
        <v>2032</v>
      </c>
      <c r="W83" s="655">
        <f t="shared" si="12"/>
        <v>2033</v>
      </c>
      <c r="X83" s="655">
        <f t="shared" si="12"/>
        <v>2034</v>
      </c>
      <c r="Y83" s="655">
        <f t="shared" si="12"/>
        <v>2035</v>
      </c>
      <c r="Z83" s="655">
        <f t="shared" si="12"/>
        <v>2036</v>
      </c>
    </row>
    <row r="84" spans="3:26" ht="16.5" customHeight="1" x14ac:dyDescent="0.2">
      <c r="C84" s="513"/>
      <c r="D84" s="656" t="str">
        <f>Calculations!C86</f>
        <v>Capital Costs</v>
      </c>
      <c r="E84" s="657">
        <f>SUM(F84:Z84)</f>
        <v>0</v>
      </c>
      <c r="F84" s="659">
        <f>Calculations!E86/Calculations!E$9</f>
        <v>0</v>
      </c>
      <c r="G84" s="659">
        <f>Calculations!F86/Calculations!F$9</f>
        <v>0</v>
      </c>
      <c r="H84" s="659">
        <f>Calculations!G86/Calculations!G$9</f>
        <v>0</v>
      </c>
      <c r="I84" s="659">
        <f>Calculations!H86/Calculations!H$9</f>
        <v>0</v>
      </c>
      <c r="J84" s="659">
        <f>Calculations!I86/Calculations!I$9</f>
        <v>0</v>
      </c>
      <c r="K84" s="659">
        <f>Calculations!J86/Calculations!J$9</f>
        <v>0</v>
      </c>
      <c r="L84" s="659">
        <f>Calculations!K86/Calculations!K$9</f>
        <v>0</v>
      </c>
      <c r="M84" s="659">
        <f>Calculations!L86/Calculations!L$9</f>
        <v>0</v>
      </c>
      <c r="N84" s="659">
        <f>Calculations!M86/Calculations!M$9</f>
        <v>0</v>
      </c>
      <c r="O84" s="659">
        <f>Calculations!N86/Calculations!N$9</f>
        <v>0</v>
      </c>
      <c r="P84" s="659">
        <f>Calculations!O86/Calculations!O$9</f>
        <v>0</v>
      </c>
      <c r="Q84" s="659">
        <f>Calculations!P86/Calculations!P$9</f>
        <v>0</v>
      </c>
      <c r="R84" s="659">
        <f>Calculations!Q86/Calculations!Q$9</f>
        <v>0</v>
      </c>
      <c r="S84" s="659">
        <f>Calculations!R86/Calculations!R$9</f>
        <v>0</v>
      </c>
      <c r="T84" s="659">
        <f>Calculations!S86/Calculations!S$9</f>
        <v>0</v>
      </c>
      <c r="U84" s="659">
        <f>Calculations!T86/Calculations!T$9</f>
        <v>0</v>
      </c>
      <c r="V84" s="659">
        <f>Calculations!U86/Calculations!U$9</f>
        <v>0</v>
      </c>
      <c r="W84" s="659">
        <f>Calculations!V86/Calculations!V$9</f>
        <v>0</v>
      </c>
      <c r="X84" s="659">
        <f>Calculations!W86/Calculations!W$9</f>
        <v>0</v>
      </c>
      <c r="Y84" s="659">
        <f>Calculations!X86/Calculations!X$9</f>
        <v>0</v>
      </c>
      <c r="Z84" s="659">
        <f>Calculations!Y86/Calculations!Y$9</f>
        <v>0</v>
      </c>
    </row>
    <row r="85" spans="3:26" ht="16.5" customHeight="1" x14ac:dyDescent="0.2">
      <c r="C85" s="513"/>
      <c r="D85" s="656" t="str">
        <f>Calculations!C87</f>
        <v>Maintenance Costs</v>
      </c>
      <c r="E85" s="657">
        <f>SUM(F85:Z85)</f>
        <v>0</v>
      </c>
      <c r="F85" s="659">
        <f>Calculations!E87/Calculations!E$9</f>
        <v>0</v>
      </c>
      <c r="G85" s="659">
        <f>Calculations!F87/Calculations!F$9</f>
        <v>0</v>
      </c>
      <c r="H85" s="659">
        <f>Calculations!G87/Calculations!G$9</f>
        <v>0</v>
      </c>
      <c r="I85" s="659">
        <f>Calculations!H87/Calculations!H$9</f>
        <v>0</v>
      </c>
      <c r="J85" s="659">
        <f>Calculations!I87/Calculations!I$9</f>
        <v>0</v>
      </c>
      <c r="K85" s="659">
        <f>Calculations!J87/Calculations!J$9</f>
        <v>0</v>
      </c>
      <c r="L85" s="659">
        <f>Calculations!K87/Calculations!K$9</f>
        <v>0</v>
      </c>
      <c r="M85" s="659">
        <f>Calculations!L87/Calculations!L$9</f>
        <v>0</v>
      </c>
      <c r="N85" s="659">
        <f>Calculations!M87/Calculations!M$9</f>
        <v>0</v>
      </c>
      <c r="O85" s="659">
        <f>Calculations!N87/Calculations!N$9</f>
        <v>0</v>
      </c>
      <c r="P85" s="659">
        <f>Calculations!O87/Calculations!O$9</f>
        <v>0</v>
      </c>
      <c r="Q85" s="659">
        <f>Calculations!P87/Calculations!P$9</f>
        <v>0</v>
      </c>
      <c r="R85" s="659">
        <f>Calculations!Q87/Calculations!Q$9</f>
        <v>0</v>
      </c>
      <c r="S85" s="659">
        <f>Calculations!R87/Calculations!R$9</f>
        <v>0</v>
      </c>
      <c r="T85" s="659">
        <f>Calculations!S87/Calculations!S$9</f>
        <v>0</v>
      </c>
      <c r="U85" s="659">
        <f>Calculations!T87/Calculations!T$9</f>
        <v>0</v>
      </c>
      <c r="V85" s="659">
        <f>Calculations!U87/Calculations!U$9</f>
        <v>0</v>
      </c>
      <c r="W85" s="659">
        <f>Calculations!V87/Calculations!V$9</f>
        <v>0</v>
      </c>
      <c r="X85" s="659">
        <f>Calculations!W87/Calculations!W$9</f>
        <v>0</v>
      </c>
      <c r="Y85" s="659">
        <f>Calculations!X87/Calculations!X$9</f>
        <v>0</v>
      </c>
      <c r="Z85" s="659">
        <f>Calculations!Y87/Calculations!Y$9</f>
        <v>0</v>
      </c>
    </row>
    <row r="86" spans="3:26" ht="16.5" customHeight="1" x14ac:dyDescent="0.2">
      <c r="C86" s="513"/>
      <c r="D86" s="656" t="str">
        <f>Calculations!C88</f>
        <v>Negative Impact on Revenue (STPIS)</v>
      </c>
      <c r="E86" s="657">
        <f t="shared" ref="E86:Z86" si="13">SUM(E87:E90)</f>
        <v>0</v>
      </c>
      <c r="F86" s="657">
        <f t="shared" si="13"/>
        <v>0</v>
      </c>
      <c r="G86" s="657">
        <f t="shared" si="13"/>
        <v>0</v>
      </c>
      <c r="H86" s="657">
        <f t="shared" si="13"/>
        <v>0</v>
      </c>
      <c r="I86" s="657">
        <f t="shared" si="13"/>
        <v>0</v>
      </c>
      <c r="J86" s="657">
        <f t="shared" si="13"/>
        <v>0</v>
      </c>
      <c r="K86" s="657">
        <f t="shared" si="13"/>
        <v>0</v>
      </c>
      <c r="L86" s="657">
        <f t="shared" si="13"/>
        <v>0</v>
      </c>
      <c r="M86" s="657">
        <f t="shared" si="13"/>
        <v>0</v>
      </c>
      <c r="N86" s="657">
        <f t="shared" si="13"/>
        <v>0</v>
      </c>
      <c r="O86" s="657">
        <f t="shared" si="13"/>
        <v>0</v>
      </c>
      <c r="P86" s="657">
        <f t="shared" si="13"/>
        <v>0</v>
      </c>
      <c r="Q86" s="657">
        <f t="shared" si="13"/>
        <v>0</v>
      </c>
      <c r="R86" s="657">
        <f t="shared" si="13"/>
        <v>0</v>
      </c>
      <c r="S86" s="657">
        <f t="shared" si="13"/>
        <v>0</v>
      </c>
      <c r="T86" s="657">
        <f t="shared" si="13"/>
        <v>0</v>
      </c>
      <c r="U86" s="657">
        <f t="shared" si="13"/>
        <v>0</v>
      </c>
      <c r="V86" s="657">
        <f t="shared" si="13"/>
        <v>0</v>
      </c>
      <c r="W86" s="657">
        <f t="shared" si="13"/>
        <v>0</v>
      </c>
      <c r="X86" s="657">
        <f t="shared" si="13"/>
        <v>0</v>
      </c>
      <c r="Y86" s="657">
        <f t="shared" si="13"/>
        <v>0</v>
      </c>
      <c r="Z86" s="657">
        <f t="shared" si="13"/>
        <v>0</v>
      </c>
    </row>
    <row r="87" spans="3:26" ht="16.5" customHeight="1" x14ac:dyDescent="0.2">
      <c r="C87" s="513"/>
      <c r="D87" s="660" t="str">
        <f>Calculations!C89</f>
        <v>SAIFI sustained</v>
      </c>
      <c r="E87" s="657">
        <f t="shared" ref="E87:E102" si="14">SUM(F87:Z87)</f>
        <v>0</v>
      </c>
      <c r="F87" s="659">
        <f>Calculations!E89/Calculations!E$9</f>
        <v>0</v>
      </c>
      <c r="G87" s="659">
        <f>Calculations!F89/Calculations!F$9</f>
        <v>0</v>
      </c>
      <c r="H87" s="659">
        <f>Calculations!G89/Calculations!G$9</f>
        <v>0</v>
      </c>
      <c r="I87" s="659">
        <f>Calculations!H89/Calculations!H$9</f>
        <v>0</v>
      </c>
      <c r="J87" s="659">
        <f>Calculations!I89/Calculations!I$9</f>
        <v>0</v>
      </c>
      <c r="K87" s="659">
        <f>Calculations!J89/Calculations!J$9</f>
        <v>0</v>
      </c>
      <c r="L87" s="659">
        <f>Calculations!K89/Calculations!K$9</f>
        <v>0</v>
      </c>
      <c r="M87" s="659">
        <f>Calculations!L89/Calculations!L$9</f>
        <v>0</v>
      </c>
      <c r="N87" s="659">
        <f>Calculations!M89/Calculations!M$9</f>
        <v>0</v>
      </c>
      <c r="O87" s="659">
        <f>Calculations!N89/Calculations!N$9</f>
        <v>0</v>
      </c>
      <c r="P87" s="659">
        <f>Calculations!O89/Calculations!O$9</f>
        <v>0</v>
      </c>
      <c r="Q87" s="659">
        <f>Calculations!P89/Calculations!P$9</f>
        <v>0</v>
      </c>
      <c r="R87" s="659">
        <f>Calculations!Q89/Calculations!Q$9</f>
        <v>0</v>
      </c>
      <c r="S87" s="659">
        <f>Calculations!R89/Calculations!R$9</f>
        <v>0</v>
      </c>
      <c r="T87" s="659">
        <f>Calculations!S89/Calculations!S$9</f>
        <v>0</v>
      </c>
      <c r="U87" s="659">
        <f>Calculations!T89/Calculations!T$9</f>
        <v>0</v>
      </c>
      <c r="V87" s="659">
        <f>Calculations!U89/Calculations!U$9</f>
        <v>0</v>
      </c>
      <c r="W87" s="659">
        <f>Calculations!V89/Calculations!V$9</f>
        <v>0</v>
      </c>
      <c r="X87" s="659">
        <f>Calculations!W89/Calculations!W$9</f>
        <v>0</v>
      </c>
      <c r="Y87" s="659">
        <f>Calculations!X89/Calculations!X$9</f>
        <v>0</v>
      </c>
      <c r="Z87" s="659">
        <f>Calculations!Y89/Calculations!Y$9</f>
        <v>0</v>
      </c>
    </row>
    <row r="88" spans="3:26" ht="16.5" customHeight="1" x14ac:dyDescent="0.2">
      <c r="C88" s="513"/>
      <c r="D88" s="660" t="str">
        <f>Calculations!C90</f>
        <v>SAIDI accidental</v>
      </c>
      <c r="E88" s="657">
        <f t="shared" si="14"/>
        <v>0</v>
      </c>
      <c r="F88" s="659">
        <f>Calculations!E90/Calculations!E$9</f>
        <v>0</v>
      </c>
      <c r="G88" s="659">
        <f>Calculations!F90/Calculations!F$9</f>
        <v>0</v>
      </c>
      <c r="H88" s="659">
        <f>Calculations!G90/Calculations!G$9</f>
        <v>0</v>
      </c>
      <c r="I88" s="659">
        <f>Calculations!H90/Calculations!H$9</f>
        <v>0</v>
      </c>
      <c r="J88" s="659">
        <f>Calculations!I90/Calculations!I$9</f>
        <v>0</v>
      </c>
      <c r="K88" s="659">
        <f>Calculations!J90/Calculations!J$9</f>
        <v>0</v>
      </c>
      <c r="L88" s="659">
        <f>Calculations!K90/Calculations!K$9</f>
        <v>0</v>
      </c>
      <c r="M88" s="659">
        <f>Calculations!L90/Calculations!L$9</f>
        <v>0</v>
      </c>
      <c r="N88" s="659">
        <f>Calculations!M90/Calculations!M$9</f>
        <v>0</v>
      </c>
      <c r="O88" s="659">
        <f>Calculations!N90/Calculations!N$9</f>
        <v>0</v>
      </c>
      <c r="P88" s="659">
        <f>Calculations!O90/Calculations!O$9</f>
        <v>0</v>
      </c>
      <c r="Q88" s="659">
        <f>Calculations!P90/Calculations!P$9</f>
        <v>0</v>
      </c>
      <c r="R88" s="659">
        <f>Calculations!Q90/Calculations!Q$9</f>
        <v>0</v>
      </c>
      <c r="S88" s="659">
        <f>Calculations!R90/Calculations!R$9</f>
        <v>0</v>
      </c>
      <c r="T88" s="659">
        <f>Calculations!S90/Calculations!S$9</f>
        <v>0</v>
      </c>
      <c r="U88" s="659">
        <f>Calculations!T90/Calculations!T$9</f>
        <v>0</v>
      </c>
      <c r="V88" s="659">
        <f>Calculations!U90/Calculations!U$9</f>
        <v>0</v>
      </c>
      <c r="W88" s="659">
        <f>Calculations!V90/Calculations!V$9</f>
        <v>0</v>
      </c>
      <c r="X88" s="659">
        <f>Calculations!W90/Calculations!W$9</f>
        <v>0</v>
      </c>
      <c r="Y88" s="659">
        <f>Calculations!X90/Calculations!X$9</f>
        <v>0</v>
      </c>
      <c r="Z88" s="659">
        <f>Calculations!Y90/Calculations!Y$9</f>
        <v>0</v>
      </c>
    </row>
    <row r="89" spans="3:26" ht="16.5" customHeight="1" x14ac:dyDescent="0.2">
      <c r="C89" s="513"/>
      <c r="D89" s="660" t="str">
        <f>Calculations!C91</f>
        <v>MAIFI momentary</v>
      </c>
      <c r="E89" s="657">
        <f t="shared" si="14"/>
        <v>0</v>
      </c>
      <c r="F89" s="659">
        <f>Calculations!E91/Calculations!E$9</f>
        <v>0</v>
      </c>
      <c r="G89" s="659">
        <f>Calculations!F91/Calculations!F$9</f>
        <v>0</v>
      </c>
      <c r="H89" s="659">
        <f>Calculations!G91/Calculations!G$9</f>
        <v>0</v>
      </c>
      <c r="I89" s="659">
        <f>Calculations!H91/Calculations!H$9</f>
        <v>0</v>
      </c>
      <c r="J89" s="659">
        <f>Calculations!I91/Calculations!I$9</f>
        <v>0</v>
      </c>
      <c r="K89" s="659">
        <f>Calculations!J91/Calculations!J$9</f>
        <v>0</v>
      </c>
      <c r="L89" s="659">
        <f>Calculations!K91/Calculations!K$9</f>
        <v>0</v>
      </c>
      <c r="M89" s="659">
        <f>Calculations!L91/Calculations!L$9</f>
        <v>0</v>
      </c>
      <c r="N89" s="659">
        <f>Calculations!M91/Calculations!M$9</f>
        <v>0</v>
      </c>
      <c r="O89" s="659">
        <f>Calculations!N91/Calculations!N$9</f>
        <v>0</v>
      </c>
      <c r="P89" s="659">
        <f>Calculations!O91/Calculations!O$9</f>
        <v>0</v>
      </c>
      <c r="Q89" s="659">
        <f>Calculations!P91/Calculations!P$9</f>
        <v>0</v>
      </c>
      <c r="R89" s="659">
        <f>Calculations!Q91/Calculations!Q$9</f>
        <v>0</v>
      </c>
      <c r="S89" s="659">
        <f>Calculations!R91/Calculations!R$9</f>
        <v>0</v>
      </c>
      <c r="T89" s="659">
        <f>Calculations!S91/Calculations!S$9</f>
        <v>0</v>
      </c>
      <c r="U89" s="659">
        <f>Calculations!T91/Calculations!T$9</f>
        <v>0</v>
      </c>
      <c r="V89" s="659">
        <f>Calculations!U91/Calculations!U$9</f>
        <v>0</v>
      </c>
      <c r="W89" s="659">
        <f>Calculations!V91/Calculations!V$9</f>
        <v>0</v>
      </c>
      <c r="X89" s="659">
        <f>Calculations!W91/Calculations!W$9</f>
        <v>0</v>
      </c>
      <c r="Y89" s="659">
        <f>Calculations!X91/Calculations!X$9</f>
        <v>0</v>
      </c>
      <c r="Z89" s="659">
        <f>Calculations!Y91/Calculations!Y$9</f>
        <v>0</v>
      </c>
    </row>
    <row r="90" spans="3:26" ht="16.5" customHeight="1" x14ac:dyDescent="0.2">
      <c r="C90" s="513"/>
      <c r="D90" s="660" t="str">
        <f>Calculations!C92</f>
        <v>Call centre response</v>
      </c>
      <c r="E90" s="657">
        <f t="shared" si="14"/>
        <v>0</v>
      </c>
      <c r="F90" s="659">
        <f>Calculations!E92/Calculations!E$9</f>
        <v>0</v>
      </c>
      <c r="G90" s="659">
        <f>Calculations!F92/Calculations!F$9</f>
        <v>0</v>
      </c>
      <c r="H90" s="659">
        <f>Calculations!G92/Calculations!G$9</f>
        <v>0</v>
      </c>
      <c r="I90" s="659">
        <f>Calculations!H92/Calculations!H$9</f>
        <v>0</v>
      </c>
      <c r="J90" s="659">
        <f>Calculations!I92/Calculations!I$9</f>
        <v>0</v>
      </c>
      <c r="K90" s="659">
        <f>Calculations!J92/Calculations!J$9</f>
        <v>0</v>
      </c>
      <c r="L90" s="659">
        <f>Calculations!K92/Calculations!K$9</f>
        <v>0</v>
      </c>
      <c r="M90" s="659">
        <f>Calculations!L92/Calculations!L$9</f>
        <v>0</v>
      </c>
      <c r="N90" s="659">
        <f>Calculations!M92/Calculations!M$9</f>
        <v>0</v>
      </c>
      <c r="O90" s="659">
        <f>Calculations!N92/Calculations!N$9</f>
        <v>0</v>
      </c>
      <c r="P90" s="659">
        <f>Calculations!O92/Calculations!O$9</f>
        <v>0</v>
      </c>
      <c r="Q90" s="659">
        <f>Calculations!P92/Calculations!P$9</f>
        <v>0</v>
      </c>
      <c r="R90" s="659">
        <f>Calculations!Q92/Calculations!Q$9</f>
        <v>0</v>
      </c>
      <c r="S90" s="659">
        <f>Calculations!R92/Calculations!R$9</f>
        <v>0</v>
      </c>
      <c r="T90" s="659">
        <f>Calculations!S92/Calculations!S$9</f>
        <v>0</v>
      </c>
      <c r="U90" s="659">
        <f>Calculations!T92/Calculations!T$9</f>
        <v>0</v>
      </c>
      <c r="V90" s="659">
        <f>Calculations!U92/Calculations!U$9</f>
        <v>0</v>
      </c>
      <c r="W90" s="659">
        <f>Calculations!V92/Calculations!V$9</f>
        <v>0</v>
      </c>
      <c r="X90" s="659">
        <f>Calculations!W92/Calculations!W$9</f>
        <v>0</v>
      </c>
      <c r="Y90" s="659">
        <f>Calculations!X92/Calculations!X$9</f>
        <v>0</v>
      </c>
      <c r="Z90" s="659">
        <f>Calculations!Y92/Calculations!Y$9</f>
        <v>0</v>
      </c>
    </row>
    <row r="91" spans="3:26" ht="16.5" customHeight="1" x14ac:dyDescent="0.2">
      <c r="C91" s="513"/>
      <c r="D91" s="656" t="str">
        <f>Calculations!C93</f>
        <v>Network Outage Costs</v>
      </c>
      <c r="E91" s="657">
        <f t="shared" si="14"/>
        <v>0</v>
      </c>
      <c r="F91" s="659">
        <f>Calculations!E93/Calculations!E$9</f>
        <v>0</v>
      </c>
      <c r="G91" s="659">
        <f>Calculations!F93/Calculations!F$9</f>
        <v>0</v>
      </c>
      <c r="H91" s="659">
        <f>Calculations!G93/Calculations!G$9</f>
        <v>0</v>
      </c>
      <c r="I91" s="659">
        <f>Calculations!H93/Calculations!H$9</f>
        <v>0</v>
      </c>
      <c r="J91" s="659">
        <f>Calculations!I93/Calculations!I$9</f>
        <v>0</v>
      </c>
      <c r="K91" s="659">
        <f>Calculations!J93/Calculations!J$9</f>
        <v>0</v>
      </c>
      <c r="L91" s="659">
        <f>Calculations!K93/Calculations!K$9</f>
        <v>0</v>
      </c>
      <c r="M91" s="659">
        <f>Calculations!L93/Calculations!L$9</f>
        <v>0</v>
      </c>
      <c r="N91" s="659">
        <f>Calculations!M93/Calculations!M$9</f>
        <v>0</v>
      </c>
      <c r="O91" s="659">
        <f>Calculations!N93/Calculations!N$9</f>
        <v>0</v>
      </c>
      <c r="P91" s="659">
        <f>Calculations!O93/Calculations!O$9</f>
        <v>0</v>
      </c>
      <c r="Q91" s="659">
        <f>Calculations!P93/Calculations!P$9</f>
        <v>0</v>
      </c>
      <c r="R91" s="659">
        <f>Calculations!Q93/Calculations!Q$9</f>
        <v>0</v>
      </c>
      <c r="S91" s="659">
        <f>Calculations!R93/Calculations!R$9</f>
        <v>0</v>
      </c>
      <c r="T91" s="659">
        <f>Calculations!S93/Calculations!S$9</f>
        <v>0</v>
      </c>
      <c r="U91" s="659">
        <f>Calculations!T93/Calculations!T$9</f>
        <v>0</v>
      </c>
      <c r="V91" s="659">
        <f>Calculations!U93/Calculations!U$9</f>
        <v>0</v>
      </c>
      <c r="W91" s="659">
        <f>Calculations!V93/Calculations!V$9</f>
        <v>0</v>
      </c>
      <c r="X91" s="659">
        <f>Calculations!W93/Calculations!W$9</f>
        <v>0</v>
      </c>
      <c r="Y91" s="659">
        <f>Calculations!X93/Calculations!X$9</f>
        <v>0</v>
      </c>
      <c r="Z91" s="659">
        <f>Calculations!Y93/Calculations!Y$9</f>
        <v>0</v>
      </c>
    </row>
    <row r="92" spans="3:26" ht="16.5" customHeight="1" x14ac:dyDescent="0.2">
      <c r="C92" s="513"/>
      <c r="D92" s="656" t="str">
        <f>Calculations!C94</f>
        <v>Loss of F Factor Benefit</v>
      </c>
      <c r="E92" s="657">
        <f t="shared" si="14"/>
        <v>0</v>
      </c>
      <c r="F92" s="659">
        <f>Calculations!E94/Calculations!E$9</f>
        <v>0</v>
      </c>
      <c r="G92" s="659">
        <f>Calculations!F94/Calculations!F$9</f>
        <v>0</v>
      </c>
      <c r="H92" s="659">
        <f>Calculations!G94/Calculations!G$9</f>
        <v>0</v>
      </c>
      <c r="I92" s="659">
        <f>Calculations!H94/Calculations!H$9</f>
        <v>0</v>
      </c>
      <c r="J92" s="659">
        <f>Calculations!I94/Calculations!I$9</f>
        <v>0</v>
      </c>
      <c r="K92" s="659">
        <f>Calculations!J94/Calculations!J$9</f>
        <v>0</v>
      </c>
      <c r="L92" s="659">
        <f>Calculations!K94/Calculations!K$9</f>
        <v>0</v>
      </c>
      <c r="M92" s="659">
        <f>Calculations!L94/Calculations!L$9</f>
        <v>0</v>
      </c>
      <c r="N92" s="659">
        <f>Calculations!M94/Calculations!M$9</f>
        <v>0</v>
      </c>
      <c r="O92" s="659">
        <f>Calculations!N94/Calculations!N$9</f>
        <v>0</v>
      </c>
      <c r="P92" s="659">
        <f>Calculations!O94/Calculations!O$9</f>
        <v>0</v>
      </c>
      <c r="Q92" s="659">
        <f>Calculations!P94/Calculations!P$9</f>
        <v>0</v>
      </c>
      <c r="R92" s="659">
        <f>Calculations!Q94/Calculations!Q$9</f>
        <v>0</v>
      </c>
      <c r="S92" s="659">
        <f>Calculations!R94/Calculations!R$9</f>
        <v>0</v>
      </c>
      <c r="T92" s="659">
        <f>Calculations!S94/Calculations!S$9</f>
        <v>0</v>
      </c>
      <c r="U92" s="659">
        <f>Calculations!T94/Calculations!T$9</f>
        <v>0</v>
      </c>
      <c r="V92" s="659">
        <f>Calculations!U94/Calculations!U$9</f>
        <v>0</v>
      </c>
      <c r="W92" s="659">
        <f>Calculations!V94/Calculations!V$9</f>
        <v>0</v>
      </c>
      <c r="X92" s="659">
        <f>Calculations!W94/Calculations!W$9</f>
        <v>0</v>
      </c>
      <c r="Y92" s="659">
        <f>Calculations!X94/Calculations!X$9</f>
        <v>0</v>
      </c>
      <c r="Z92" s="659">
        <f>Calculations!Y94/Calculations!Y$9</f>
        <v>0</v>
      </c>
    </row>
    <row r="93" spans="3:26" ht="16.5" customHeight="1" x14ac:dyDescent="0.2">
      <c r="C93" s="513"/>
      <c r="D93" s="656" t="str">
        <f>Calculations!C95</f>
        <v>Cost 1</v>
      </c>
      <c r="E93" s="657">
        <f t="shared" si="14"/>
        <v>0</v>
      </c>
      <c r="F93" s="659">
        <f>Calculations!E95/Calculations!E$9</f>
        <v>0</v>
      </c>
      <c r="G93" s="659">
        <f>Calculations!F95/Calculations!F$9</f>
        <v>0</v>
      </c>
      <c r="H93" s="659">
        <f>Calculations!G95/Calculations!G$9</f>
        <v>0</v>
      </c>
      <c r="I93" s="659">
        <f>Calculations!H95/Calculations!H$9</f>
        <v>0</v>
      </c>
      <c r="J93" s="659">
        <f>Calculations!I95/Calculations!I$9</f>
        <v>0</v>
      </c>
      <c r="K93" s="659">
        <f>Calculations!J95/Calculations!J$9</f>
        <v>0</v>
      </c>
      <c r="L93" s="659">
        <f>Calculations!K95/Calculations!K$9</f>
        <v>0</v>
      </c>
      <c r="M93" s="659">
        <f>Calculations!L95/Calculations!L$9</f>
        <v>0</v>
      </c>
      <c r="N93" s="659">
        <f>Calculations!M95/Calculations!M$9</f>
        <v>0</v>
      </c>
      <c r="O93" s="659">
        <f>Calculations!N95/Calculations!N$9</f>
        <v>0</v>
      </c>
      <c r="P93" s="659">
        <f>Calculations!O95/Calculations!O$9</f>
        <v>0</v>
      </c>
      <c r="Q93" s="659">
        <f>Calculations!P95/Calculations!P$9</f>
        <v>0</v>
      </c>
      <c r="R93" s="659">
        <f>Calculations!Q95/Calculations!Q$9</f>
        <v>0</v>
      </c>
      <c r="S93" s="659">
        <f>Calculations!R95/Calculations!R$9</f>
        <v>0</v>
      </c>
      <c r="T93" s="659">
        <f>Calculations!S95/Calculations!S$9</f>
        <v>0</v>
      </c>
      <c r="U93" s="659">
        <f>Calculations!T95/Calculations!T$9</f>
        <v>0</v>
      </c>
      <c r="V93" s="659">
        <f>Calculations!U95/Calculations!U$9</f>
        <v>0</v>
      </c>
      <c r="W93" s="659">
        <f>Calculations!V95/Calculations!V$9</f>
        <v>0</v>
      </c>
      <c r="X93" s="659">
        <f>Calculations!W95/Calculations!W$9</f>
        <v>0</v>
      </c>
      <c r="Y93" s="659">
        <f>Calculations!X95/Calculations!X$9</f>
        <v>0</v>
      </c>
      <c r="Z93" s="659">
        <f>Calculations!Y95/Calculations!Y$9</f>
        <v>0</v>
      </c>
    </row>
    <row r="94" spans="3:26" ht="16.5" customHeight="1" x14ac:dyDescent="0.2">
      <c r="C94" s="513"/>
      <c r="D94" s="656" t="str">
        <f>Calculations!C96</f>
        <v>Cost 2</v>
      </c>
      <c r="E94" s="657">
        <f t="shared" si="14"/>
        <v>0</v>
      </c>
      <c r="F94" s="659">
        <f>Calculations!E96/Calculations!E$9</f>
        <v>0</v>
      </c>
      <c r="G94" s="659">
        <f>Calculations!F96/Calculations!F$9</f>
        <v>0</v>
      </c>
      <c r="H94" s="659">
        <f>Calculations!G96/Calculations!G$9</f>
        <v>0</v>
      </c>
      <c r="I94" s="659">
        <f>Calculations!H96/Calculations!H$9</f>
        <v>0</v>
      </c>
      <c r="J94" s="659">
        <f>Calculations!I96/Calculations!I$9</f>
        <v>0</v>
      </c>
      <c r="K94" s="659">
        <f>Calculations!J96/Calculations!J$9</f>
        <v>0</v>
      </c>
      <c r="L94" s="659">
        <f>Calculations!K96/Calculations!K$9</f>
        <v>0</v>
      </c>
      <c r="M94" s="659">
        <f>Calculations!L96/Calculations!L$9</f>
        <v>0</v>
      </c>
      <c r="N94" s="659">
        <f>Calculations!M96/Calculations!M$9</f>
        <v>0</v>
      </c>
      <c r="O94" s="659">
        <f>Calculations!N96/Calculations!N$9</f>
        <v>0</v>
      </c>
      <c r="P94" s="659">
        <f>Calculations!O96/Calculations!O$9</f>
        <v>0</v>
      </c>
      <c r="Q94" s="659">
        <f>Calculations!P96/Calculations!P$9</f>
        <v>0</v>
      </c>
      <c r="R94" s="659">
        <f>Calculations!Q96/Calculations!Q$9</f>
        <v>0</v>
      </c>
      <c r="S94" s="659">
        <f>Calculations!R96/Calculations!R$9</f>
        <v>0</v>
      </c>
      <c r="T94" s="659">
        <f>Calculations!S96/Calculations!S$9</f>
        <v>0</v>
      </c>
      <c r="U94" s="659">
        <f>Calculations!T96/Calculations!T$9</f>
        <v>0</v>
      </c>
      <c r="V94" s="659">
        <f>Calculations!U96/Calculations!U$9</f>
        <v>0</v>
      </c>
      <c r="W94" s="659">
        <f>Calculations!V96/Calculations!V$9</f>
        <v>0</v>
      </c>
      <c r="X94" s="659">
        <f>Calculations!W96/Calculations!W$9</f>
        <v>0</v>
      </c>
      <c r="Y94" s="659">
        <f>Calculations!X96/Calculations!X$9</f>
        <v>0</v>
      </c>
      <c r="Z94" s="659">
        <f>Calculations!Y96/Calculations!Y$9</f>
        <v>0</v>
      </c>
    </row>
    <row r="95" spans="3:26" ht="16.5" customHeight="1" x14ac:dyDescent="0.2">
      <c r="C95" s="513"/>
      <c r="D95" s="656" t="str">
        <f>Calculations!C97</f>
        <v>Cost 3</v>
      </c>
      <c r="E95" s="657">
        <f t="shared" si="14"/>
        <v>0</v>
      </c>
      <c r="F95" s="659">
        <f>Calculations!E97/Calculations!E$9</f>
        <v>0</v>
      </c>
      <c r="G95" s="659">
        <f>Calculations!F97/Calculations!F$9</f>
        <v>0</v>
      </c>
      <c r="H95" s="659">
        <f>Calculations!G97/Calculations!G$9</f>
        <v>0</v>
      </c>
      <c r="I95" s="659">
        <f>Calculations!H97/Calculations!H$9</f>
        <v>0</v>
      </c>
      <c r="J95" s="659">
        <f>Calculations!I97/Calculations!I$9</f>
        <v>0</v>
      </c>
      <c r="K95" s="659">
        <f>Calculations!J97/Calculations!J$9</f>
        <v>0</v>
      </c>
      <c r="L95" s="659">
        <f>Calculations!K97/Calculations!K$9</f>
        <v>0</v>
      </c>
      <c r="M95" s="659">
        <f>Calculations!L97/Calculations!L$9</f>
        <v>0</v>
      </c>
      <c r="N95" s="659">
        <f>Calculations!M97/Calculations!M$9</f>
        <v>0</v>
      </c>
      <c r="O95" s="659">
        <f>Calculations!N97/Calculations!N$9</f>
        <v>0</v>
      </c>
      <c r="P95" s="659">
        <f>Calculations!O97/Calculations!O$9</f>
        <v>0</v>
      </c>
      <c r="Q95" s="659">
        <f>Calculations!P97/Calculations!P$9</f>
        <v>0</v>
      </c>
      <c r="R95" s="659">
        <f>Calculations!Q97/Calculations!Q$9</f>
        <v>0</v>
      </c>
      <c r="S95" s="659">
        <f>Calculations!R97/Calculations!R$9</f>
        <v>0</v>
      </c>
      <c r="T95" s="659">
        <f>Calculations!S97/Calculations!S$9</f>
        <v>0</v>
      </c>
      <c r="U95" s="659">
        <f>Calculations!T97/Calculations!T$9</f>
        <v>0</v>
      </c>
      <c r="V95" s="659">
        <f>Calculations!U97/Calculations!U$9</f>
        <v>0</v>
      </c>
      <c r="W95" s="659">
        <f>Calculations!V97/Calculations!V$9</f>
        <v>0</v>
      </c>
      <c r="X95" s="659">
        <f>Calculations!W97/Calculations!W$9</f>
        <v>0</v>
      </c>
      <c r="Y95" s="659">
        <f>Calculations!X97/Calculations!X$9</f>
        <v>0</v>
      </c>
      <c r="Z95" s="659">
        <f>Calculations!Y97/Calculations!Y$9</f>
        <v>0</v>
      </c>
    </row>
    <row r="96" spans="3:26" ht="16.5" customHeight="1" x14ac:dyDescent="0.2">
      <c r="C96" s="513"/>
      <c r="D96" s="656" t="str">
        <f>Calculations!C98</f>
        <v>Cost 4</v>
      </c>
      <c r="E96" s="657">
        <f t="shared" si="14"/>
        <v>0</v>
      </c>
      <c r="F96" s="659">
        <f>Calculations!E98/Calculations!E$9</f>
        <v>0</v>
      </c>
      <c r="G96" s="659">
        <f>Calculations!F98/Calculations!F$9</f>
        <v>0</v>
      </c>
      <c r="H96" s="659">
        <f>Calculations!G98/Calculations!G$9</f>
        <v>0</v>
      </c>
      <c r="I96" s="659">
        <f>Calculations!H98/Calculations!H$9</f>
        <v>0</v>
      </c>
      <c r="J96" s="659">
        <f>Calculations!I98/Calculations!I$9</f>
        <v>0</v>
      </c>
      <c r="K96" s="659">
        <f>Calculations!J98/Calculations!J$9</f>
        <v>0</v>
      </c>
      <c r="L96" s="659">
        <f>Calculations!K98/Calculations!K$9</f>
        <v>0</v>
      </c>
      <c r="M96" s="659">
        <f>Calculations!L98/Calculations!L$9</f>
        <v>0</v>
      </c>
      <c r="N96" s="659">
        <f>Calculations!M98/Calculations!M$9</f>
        <v>0</v>
      </c>
      <c r="O96" s="659">
        <f>Calculations!N98/Calculations!N$9</f>
        <v>0</v>
      </c>
      <c r="P96" s="659">
        <f>Calculations!O98/Calculations!O$9</f>
        <v>0</v>
      </c>
      <c r="Q96" s="659">
        <f>Calculations!P98/Calculations!P$9</f>
        <v>0</v>
      </c>
      <c r="R96" s="659">
        <f>Calculations!Q98/Calculations!Q$9</f>
        <v>0</v>
      </c>
      <c r="S96" s="659">
        <f>Calculations!R98/Calculations!R$9</f>
        <v>0</v>
      </c>
      <c r="T96" s="659">
        <f>Calculations!S98/Calculations!S$9</f>
        <v>0</v>
      </c>
      <c r="U96" s="659">
        <f>Calculations!T98/Calculations!T$9</f>
        <v>0</v>
      </c>
      <c r="V96" s="659">
        <f>Calculations!U98/Calculations!U$9</f>
        <v>0</v>
      </c>
      <c r="W96" s="659">
        <f>Calculations!V98/Calculations!V$9</f>
        <v>0</v>
      </c>
      <c r="X96" s="659">
        <f>Calculations!W98/Calculations!W$9</f>
        <v>0</v>
      </c>
      <c r="Y96" s="659">
        <f>Calculations!X98/Calculations!X$9</f>
        <v>0</v>
      </c>
      <c r="Z96" s="659">
        <f>Calculations!Y98/Calculations!Y$9</f>
        <v>0</v>
      </c>
    </row>
    <row r="97" spans="3:26" ht="16.5" customHeight="1" x14ac:dyDescent="0.2">
      <c r="C97" s="513"/>
      <c r="D97" s="656" t="str">
        <f>Calculations!C99</f>
        <v>Cost 5</v>
      </c>
      <c r="E97" s="657">
        <f t="shared" si="14"/>
        <v>0</v>
      </c>
      <c r="F97" s="659">
        <f>Calculations!E99/Calculations!E$9</f>
        <v>0</v>
      </c>
      <c r="G97" s="659">
        <f>Calculations!F99/Calculations!F$9</f>
        <v>0</v>
      </c>
      <c r="H97" s="659">
        <f>Calculations!G99/Calculations!G$9</f>
        <v>0</v>
      </c>
      <c r="I97" s="659">
        <f>Calculations!H99/Calculations!H$9</f>
        <v>0</v>
      </c>
      <c r="J97" s="659">
        <f>Calculations!I99/Calculations!I$9</f>
        <v>0</v>
      </c>
      <c r="K97" s="659">
        <f>Calculations!J99/Calculations!J$9</f>
        <v>0</v>
      </c>
      <c r="L97" s="659">
        <f>Calculations!K99/Calculations!K$9</f>
        <v>0</v>
      </c>
      <c r="M97" s="659">
        <f>Calculations!L99/Calculations!L$9</f>
        <v>0</v>
      </c>
      <c r="N97" s="659">
        <f>Calculations!M99/Calculations!M$9</f>
        <v>0</v>
      </c>
      <c r="O97" s="659">
        <f>Calculations!N99/Calculations!N$9</f>
        <v>0</v>
      </c>
      <c r="P97" s="659">
        <f>Calculations!O99/Calculations!O$9</f>
        <v>0</v>
      </c>
      <c r="Q97" s="659">
        <f>Calculations!P99/Calculations!P$9</f>
        <v>0</v>
      </c>
      <c r="R97" s="659">
        <f>Calculations!Q99/Calculations!Q$9</f>
        <v>0</v>
      </c>
      <c r="S97" s="659">
        <f>Calculations!R99/Calculations!R$9</f>
        <v>0</v>
      </c>
      <c r="T97" s="659">
        <f>Calculations!S99/Calculations!S$9</f>
        <v>0</v>
      </c>
      <c r="U97" s="659">
        <f>Calculations!T99/Calculations!T$9</f>
        <v>0</v>
      </c>
      <c r="V97" s="659">
        <f>Calculations!U99/Calculations!U$9</f>
        <v>0</v>
      </c>
      <c r="W97" s="659">
        <f>Calculations!V99/Calculations!V$9</f>
        <v>0</v>
      </c>
      <c r="X97" s="659">
        <f>Calculations!W99/Calculations!W$9</f>
        <v>0</v>
      </c>
      <c r="Y97" s="659">
        <f>Calculations!X99/Calculations!X$9</f>
        <v>0</v>
      </c>
      <c r="Z97" s="659">
        <f>Calculations!Y99/Calculations!Y$9</f>
        <v>0</v>
      </c>
    </row>
    <row r="98" spans="3:26" ht="16.5" customHeight="1" x14ac:dyDescent="0.2">
      <c r="C98" s="513"/>
      <c r="D98" s="656" t="str">
        <f>Calculations!C100</f>
        <v>Risk 1</v>
      </c>
      <c r="E98" s="657">
        <f t="shared" si="14"/>
        <v>0</v>
      </c>
      <c r="F98" s="659">
        <f>Calculations!E100/Calculations!E$9</f>
        <v>0</v>
      </c>
      <c r="G98" s="659">
        <f>Calculations!F100/Calculations!F$9</f>
        <v>0</v>
      </c>
      <c r="H98" s="659">
        <f>Calculations!G100/Calculations!G$9</f>
        <v>0</v>
      </c>
      <c r="I98" s="659">
        <f>Calculations!H100/Calculations!H$9</f>
        <v>0</v>
      </c>
      <c r="J98" s="659">
        <f>Calculations!I100/Calculations!I$9</f>
        <v>0</v>
      </c>
      <c r="K98" s="659">
        <f>Calculations!J100/Calculations!J$9</f>
        <v>0</v>
      </c>
      <c r="L98" s="659">
        <f>Calculations!K100/Calculations!K$9</f>
        <v>0</v>
      </c>
      <c r="M98" s="659">
        <f>Calculations!L100/Calculations!L$9</f>
        <v>0</v>
      </c>
      <c r="N98" s="659">
        <f>Calculations!M100/Calculations!M$9</f>
        <v>0</v>
      </c>
      <c r="O98" s="659">
        <f>Calculations!N100/Calculations!N$9</f>
        <v>0</v>
      </c>
      <c r="P98" s="659">
        <f>Calculations!O100/Calculations!O$9</f>
        <v>0</v>
      </c>
      <c r="Q98" s="659">
        <f>Calculations!P100/Calculations!P$9</f>
        <v>0</v>
      </c>
      <c r="R98" s="659">
        <f>Calculations!Q100/Calculations!Q$9</f>
        <v>0</v>
      </c>
      <c r="S98" s="659">
        <f>Calculations!R100/Calculations!R$9</f>
        <v>0</v>
      </c>
      <c r="T98" s="659">
        <f>Calculations!S100/Calculations!S$9</f>
        <v>0</v>
      </c>
      <c r="U98" s="659">
        <f>Calculations!T100/Calculations!T$9</f>
        <v>0</v>
      </c>
      <c r="V98" s="659">
        <f>Calculations!U100/Calculations!U$9</f>
        <v>0</v>
      </c>
      <c r="W98" s="659">
        <f>Calculations!V100/Calculations!V$9</f>
        <v>0</v>
      </c>
      <c r="X98" s="659">
        <f>Calculations!W100/Calculations!W$9</f>
        <v>0</v>
      </c>
      <c r="Y98" s="659">
        <f>Calculations!X100/Calculations!X$9</f>
        <v>0</v>
      </c>
      <c r="Z98" s="659">
        <f>Calculations!Y100/Calculations!Y$9</f>
        <v>0</v>
      </c>
    </row>
    <row r="99" spans="3:26" ht="16.5" customHeight="1" x14ac:dyDescent="0.2">
      <c r="C99" s="513"/>
      <c r="D99" s="656" t="str">
        <f>Calculations!C101</f>
        <v>Risk 2</v>
      </c>
      <c r="E99" s="657">
        <f t="shared" si="14"/>
        <v>0</v>
      </c>
      <c r="F99" s="659">
        <f>Calculations!E101/Calculations!E$9</f>
        <v>0</v>
      </c>
      <c r="G99" s="659">
        <f>Calculations!F101/Calculations!F$9</f>
        <v>0</v>
      </c>
      <c r="H99" s="659">
        <f>Calculations!G101/Calculations!G$9</f>
        <v>0</v>
      </c>
      <c r="I99" s="659">
        <f>Calculations!H101/Calculations!H$9</f>
        <v>0</v>
      </c>
      <c r="J99" s="659">
        <f>Calculations!I101/Calculations!I$9</f>
        <v>0</v>
      </c>
      <c r="K99" s="659">
        <f>Calculations!J101/Calculations!J$9</f>
        <v>0</v>
      </c>
      <c r="L99" s="659">
        <f>Calculations!K101/Calculations!K$9</f>
        <v>0</v>
      </c>
      <c r="M99" s="659">
        <f>Calculations!L101/Calculations!L$9</f>
        <v>0</v>
      </c>
      <c r="N99" s="659">
        <f>Calculations!M101/Calculations!M$9</f>
        <v>0</v>
      </c>
      <c r="O99" s="659">
        <f>Calculations!N101/Calculations!N$9</f>
        <v>0</v>
      </c>
      <c r="P99" s="659">
        <f>Calculations!O101/Calculations!O$9</f>
        <v>0</v>
      </c>
      <c r="Q99" s="659">
        <f>Calculations!P101/Calculations!P$9</f>
        <v>0</v>
      </c>
      <c r="R99" s="659">
        <f>Calculations!Q101/Calculations!Q$9</f>
        <v>0</v>
      </c>
      <c r="S99" s="659">
        <f>Calculations!R101/Calculations!R$9</f>
        <v>0</v>
      </c>
      <c r="T99" s="659">
        <f>Calculations!S101/Calculations!S$9</f>
        <v>0</v>
      </c>
      <c r="U99" s="659">
        <f>Calculations!T101/Calculations!T$9</f>
        <v>0</v>
      </c>
      <c r="V99" s="659">
        <f>Calculations!U101/Calculations!U$9</f>
        <v>0</v>
      </c>
      <c r="W99" s="659">
        <f>Calculations!V101/Calculations!V$9</f>
        <v>0</v>
      </c>
      <c r="X99" s="659">
        <f>Calculations!W101/Calculations!W$9</f>
        <v>0</v>
      </c>
      <c r="Y99" s="659">
        <f>Calculations!X101/Calculations!X$9</f>
        <v>0</v>
      </c>
      <c r="Z99" s="659">
        <f>Calculations!Y101/Calculations!Y$9</f>
        <v>0</v>
      </c>
    </row>
    <row r="100" spans="3:26" ht="16.5" customHeight="1" x14ac:dyDescent="0.2">
      <c r="C100" s="513"/>
      <c r="D100" s="656" t="str">
        <f>Calculations!C102</f>
        <v>Risk 3</v>
      </c>
      <c r="E100" s="657">
        <f t="shared" si="14"/>
        <v>0</v>
      </c>
      <c r="F100" s="659">
        <f>Calculations!E102/Calculations!E$9</f>
        <v>0</v>
      </c>
      <c r="G100" s="659">
        <f>Calculations!F102/Calculations!F$9</f>
        <v>0</v>
      </c>
      <c r="H100" s="659">
        <f>Calculations!G102/Calculations!G$9</f>
        <v>0</v>
      </c>
      <c r="I100" s="659">
        <f>Calculations!H102/Calculations!H$9</f>
        <v>0</v>
      </c>
      <c r="J100" s="659">
        <f>Calculations!I102/Calculations!I$9</f>
        <v>0</v>
      </c>
      <c r="K100" s="659">
        <f>Calculations!J102/Calculations!J$9</f>
        <v>0</v>
      </c>
      <c r="L100" s="659">
        <f>Calculations!K102/Calculations!K$9</f>
        <v>0</v>
      </c>
      <c r="M100" s="659">
        <f>Calculations!L102/Calculations!L$9</f>
        <v>0</v>
      </c>
      <c r="N100" s="659">
        <f>Calculations!M102/Calculations!M$9</f>
        <v>0</v>
      </c>
      <c r="O100" s="659">
        <f>Calculations!N102/Calculations!N$9</f>
        <v>0</v>
      </c>
      <c r="P100" s="659">
        <f>Calculations!O102/Calculations!O$9</f>
        <v>0</v>
      </c>
      <c r="Q100" s="659">
        <f>Calculations!P102/Calculations!P$9</f>
        <v>0</v>
      </c>
      <c r="R100" s="659">
        <f>Calculations!Q102/Calculations!Q$9</f>
        <v>0</v>
      </c>
      <c r="S100" s="659">
        <f>Calculations!R102/Calculations!R$9</f>
        <v>0</v>
      </c>
      <c r="T100" s="659">
        <f>Calculations!S102/Calculations!S$9</f>
        <v>0</v>
      </c>
      <c r="U100" s="659">
        <f>Calculations!T102/Calculations!T$9</f>
        <v>0</v>
      </c>
      <c r="V100" s="659">
        <f>Calculations!U102/Calculations!U$9</f>
        <v>0</v>
      </c>
      <c r="W100" s="659">
        <f>Calculations!V102/Calculations!V$9</f>
        <v>0</v>
      </c>
      <c r="X100" s="659">
        <f>Calculations!W102/Calculations!W$9</f>
        <v>0</v>
      </c>
      <c r="Y100" s="659">
        <f>Calculations!X102/Calculations!X$9</f>
        <v>0</v>
      </c>
      <c r="Z100" s="659">
        <f>Calculations!Y102/Calculations!Y$9</f>
        <v>0</v>
      </c>
    </row>
    <row r="101" spans="3:26" ht="16.5" customHeight="1" x14ac:dyDescent="0.2">
      <c r="C101" s="513"/>
      <c r="D101" s="656" t="str">
        <f>Calculations!C103</f>
        <v>Risk 4</v>
      </c>
      <c r="E101" s="657">
        <f t="shared" si="14"/>
        <v>0</v>
      </c>
      <c r="F101" s="659">
        <f>Calculations!E103/Calculations!E$9</f>
        <v>0</v>
      </c>
      <c r="G101" s="659">
        <f>Calculations!F103/Calculations!F$9</f>
        <v>0</v>
      </c>
      <c r="H101" s="659">
        <f>Calculations!G103/Calculations!G$9</f>
        <v>0</v>
      </c>
      <c r="I101" s="659">
        <f>Calculations!H103/Calculations!H$9</f>
        <v>0</v>
      </c>
      <c r="J101" s="659">
        <f>Calculations!I103/Calculations!I$9</f>
        <v>0</v>
      </c>
      <c r="K101" s="659">
        <f>Calculations!J103/Calculations!J$9</f>
        <v>0</v>
      </c>
      <c r="L101" s="659">
        <f>Calculations!K103/Calculations!K$9</f>
        <v>0</v>
      </c>
      <c r="M101" s="659">
        <f>Calculations!L103/Calculations!L$9</f>
        <v>0</v>
      </c>
      <c r="N101" s="659">
        <f>Calculations!M103/Calculations!M$9</f>
        <v>0</v>
      </c>
      <c r="O101" s="659">
        <f>Calculations!N103/Calculations!N$9</f>
        <v>0</v>
      </c>
      <c r="P101" s="659">
        <f>Calculations!O103/Calculations!O$9</f>
        <v>0</v>
      </c>
      <c r="Q101" s="659">
        <f>Calculations!P103/Calculations!P$9</f>
        <v>0</v>
      </c>
      <c r="R101" s="659">
        <f>Calculations!Q103/Calculations!Q$9</f>
        <v>0</v>
      </c>
      <c r="S101" s="659">
        <f>Calculations!R103/Calculations!R$9</f>
        <v>0</v>
      </c>
      <c r="T101" s="659">
        <f>Calculations!S103/Calculations!S$9</f>
        <v>0</v>
      </c>
      <c r="U101" s="659">
        <f>Calculations!T103/Calculations!T$9</f>
        <v>0</v>
      </c>
      <c r="V101" s="659">
        <f>Calculations!U103/Calculations!U$9</f>
        <v>0</v>
      </c>
      <c r="W101" s="659">
        <f>Calculations!V103/Calculations!V$9</f>
        <v>0</v>
      </c>
      <c r="X101" s="659">
        <f>Calculations!W103/Calculations!W$9</f>
        <v>0</v>
      </c>
      <c r="Y101" s="659">
        <f>Calculations!X103/Calculations!X$9</f>
        <v>0</v>
      </c>
      <c r="Z101" s="659">
        <f>Calculations!Y103/Calculations!Y$9</f>
        <v>0</v>
      </c>
    </row>
    <row r="102" spans="3:26" ht="16.5" customHeight="1" x14ac:dyDescent="0.2">
      <c r="C102" s="513"/>
      <c r="D102" s="656" t="str">
        <f>Calculations!C104</f>
        <v>Risk 5</v>
      </c>
      <c r="E102" s="657">
        <f t="shared" si="14"/>
        <v>0</v>
      </c>
      <c r="F102" s="659">
        <f>Calculations!E104/Calculations!E$9</f>
        <v>0</v>
      </c>
      <c r="G102" s="659">
        <f>Calculations!F104/Calculations!F$9</f>
        <v>0</v>
      </c>
      <c r="H102" s="659">
        <f>Calculations!G104/Calculations!G$9</f>
        <v>0</v>
      </c>
      <c r="I102" s="659">
        <f>Calculations!H104/Calculations!H$9</f>
        <v>0</v>
      </c>
      <c r="J102" s="659">
        <f>Calculations!I104/Calculations!I$9</f>
        <v>0</v>
      </c>
      <c r="K102" s="659">
        <f>Calculations!J104/Calculations!J$9</f>
        <v>0</v>
      </c>
      <c r="L102" s="659">
        <f>Calculations!K104/Calculations!K$9</f>
        <v>0</v>
      </c>
      <c r="M102" s="659">
        <f>Calculations!L104/Calculations!L$9</f>
        <v>0</v>
      </c>
      <c r="N102" s="659">
        <f>Calculations!M104/Calculations!M$9</f>
        <v>0</v>
      </c>
      <c r="O102" s="659">
        <f>Calculations!N104/Calculations!N$9</f>
        <v>0</v>
      </c>
      <c r="P102" s="659">
        <f>Calculations!O104/Calculations!O$9</f>
        <v>0</v>
      </c>
      <c r="Q102" s="659">
        <f>Calculations!P104/Calculations!P$9</f>
        <v>0</v>
      </c>
      <c r="R102" s="659">
        <f>Calculations!Q104/Calculations!Q$9</f>
        <v>0</v>
      </c>
      <c r="S102" s="659">
        <f>Calculations!R104/Calculations!R$9</f>
        <v>0</v>
      </c>
      <c r="T102" s="659">
        <f>Calculations!S104/Calculations!S$9</f>
        <v>0</v>
      </c>
      <c r="U102" s="659">
        <f>Calculations!T104/Calculations!T$9</f>
        <v>0</v>
      </c>
      <c r="V102" s="659">
        <f>Calculations!U104/Calculations!U$9</f>
        <v>0</v>
      </c>
      <c r="W102" s="659">
        <f>Calculations!V104/Calculations!V$9</f>
        <v>0</v>
      </c>
      <c r="X102" s="659">
        <f>Calculations!W104/Calculations!W$9</f>
        <v>0</v>
      </c>
      <c r="Y102" s="659">
        <f>Calculations!X104/Calculations!X$9</f>
        <v>0</v>
      </c>
      <c r="Z102" s="659">
        <f>Calculations!Y104/Calculations!Y$9</f>
        <v>0</v>
      </c>
    </row>
    <row r="103" spans="3:26" ht="16.5" customHeight="1" x14ac:dyDescent="0.2">
      <c r="C103" s="513"/>
      <c r="D103" s="656" t="s">
        <v>254</v>
      </c>
      <c r="E103" s="657">
        <f t="shared" ref="E103:Z103" si="15">SUM(E84:E102)-E86</f>
        <v>0</v>
      </c>
      <c r="F103" s="657">
        <f t="shared" si="15"/>
        <v>0</v>
      </c>
      <c r="G103" s="657">
        <f t="shared" si="15"/>
        <v>0</v>
      </c>
      <c r="H103" s="657">
        <f t="shared" si="15"/>
        <v>0</v>
      </c>
      <c r="I103" s="657">
        <f t="shared" si="15"/>
        <v>0</v>
      </c>
      <c r="J103" s="657">
        <f t="shared" si="15"/>
        <v>0</v>
      </c>
      <c r="K103" s="657">
        <f t="shared" si="15"/>
        <v>0</v>
      </c>
      <c r="L103" s="657">
        <f t="shared" si="15"/>
        <v>0</v>
      </c>
      <c r="M103" s="657">
        <f t="shared" si="15"/>
        <v>0</v>
      </c>
      <c r="N103" s="657">
        <f t="shared" si="15"/>
        <v>0</v>
      </c>
      <c r="O103" s="657">
        <f t="shared" si="15"/>
        <v>0</v>
      </c>
      <c r="P103" s="657">
        <f t="shared" si="15"/>
        <v>0</v>
      </c>
      <c r="Q103" s="657">
        <f t="shared" si="15"/>
        <v>0</v>
      </c>
      <c r="R103" s="657">
        <f t="shared" si="15"/>
        <v>0</v>
      </c>
      <c r="S103" s="657">
        <f t="shared" si="15"/>
        <v>0</v>
      </c>
      <c r="T103" s="657">
        <f t="shared" si="15"/>
        <v>0</v>
      </c>
      <c r="U103" s="657">
        <f t="shared" si="15"/>
        <v>0</v>
      </c>
      <c r="V103" s="657">
        <f t="shared" si="15"/>
        <v>0</v>
      </c>
      <c r="W103" s="657">
        <f t="shared" si="15"/>
        <v>0</v>
      </c>
      <c r="X103" s="657">
        <f t="shared" si="15"/>
        <v>0</v>
      </c>
      <c r="Y103" s="657">
        <f t="shared" si="15"/>
        <v>0</v>
      </c>
      <c r="Z103" s="657">
        <f t="shared" si="15"/>
        <v>0</v>
      </c>
    </row>
    <row r="104" spans="3:26" ht="16.5" customHeight="1" x14ac:dyDescent="0.2"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</row>
    <row r="105" spans="3:26" ht="16.5" customHeight="1" x14ac:dyDescent="0.25">
      <c r="C105" s="513"/>
      <c r="D105" s="651" t="str">
        <f>'User Input'!D140</f>
        <v xml:space="preserve">Option 4: </v>
      </c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</row>
    <row r="106" spans="3:26" ht="16.5" customHeight="1" x14ac:dyDescent="0.25">
      <c r="C106" s="513"/>
      <c r="D106" s="499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</row>
    <row r="107" spans="3:26" ht="16.5" customHeight="1" x14ac:dyDescent="0.25">
      <c r="C107" s="513"/>
      <c r="D107" s="654"/>
      <c r="E107" s="710"/>
      <c r="F107" s="710"/>
      <c r="G107" s="710"/>
      <c r="H107" s="710"/>
      <c r="I107" s="710"/>
      <c r="J107" s="710"/>
      <c r="K107" s="710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710"/>
      <c r="W107" s="710"/>
      <c r="X107" s="710"/>
      <c r="Y107" s="710"/>
      <c r="Z107" s="710"/>
    </row>
    <row r="108" spans="3:26" ht="16.5" customHeight="1" x14ac:dyDescent="0.25">
      <c r="C108" s="513"/>
      <c r="D108" s="654"/>
      <c r="E108" s="655" t="s">
        <v>254</v>
      </c>
      <c r="F108" s="655">
        <f>'User Input'!$E$6</f>
        <v>2016</v>
      </c>
      <c r="G108" s="655">
        <f>F108+1</f>
        <v>2017</v>
      </c>
      <c r="H108" s="655">
        <f t="shared" ref="H108:Z108" si="16">G108+1</f>
        <v>2018</v>
      </c>
      <c r="I108" s="655">
        <f t="shared" si="16"/>
        <v>2019</v>
      </c>
      <c r="J108" s="655">
        <f t="shared" si="16"/>
        <v>2020</v>
      </c>
      <c r="K108" s="655">
        <f t="shared" si="16"/>
        <v>2021</v>
      </c>
      <c r="L108" s="655">
        <f t="shared" si="16"/>
        <v>2022</v>
      </c>
      <c r="M108" s="655">
        <f t="shared" si="16"/>
        <v>2023</v>
      </c>
      <c r="N108" s="655">
        <f t="shared" si="16"/>
        <v>2024</v>
      </c>
      <c r="O108" s="655">
        <f t="shared" si="16"/>
        <v>2025</v>
      </c>
      <c r="P108" s="655">
        <f t="shared" si="16"/>
        <v>2026</v>
      </c>
      <c r="Q108" s="655">
        <f t="shared" si="16"/>
        <v>2027</v>
      </c>
      <c r="R108" s="655">
        <f t="shared" si="16"/>
        <v>2028</v>
      </c>
      <c r="S108" s="655">
        <f t="shared" si="16"/>
        <v>2029</v>
      </c>
      <c r="T108" s="655">
        <f t="shared" si="16"/>
        <v>2030</v>
      </c>
      <c r="U108" s="655">
        <f t="shared" si="16"/>
        <v>2031</v>
      </c>
      <c r="V108" s="655">
        <f t="shared" si="16"/>
        <v>2032</v>
      </c>
      <c r="W108" s="655">
        <f t="shared" si="16"/>
        <v>2033</v>
      </c>
      <c r="X108" s="655">
        <f t="shared" si="16"/>
        <v>2034</v>
      </c>
      <c r="Y108" s="655">
        <f t="shared" si="16"/>
        <v>2035</v>
      </c>
      <c r="Z108" s="655">
        <f t="shared" si="16"/>
        <v>2036</v>
      </c>
    </row>
    <row r="109" spans="3:26" ht="16.5" customHeight="1" x14ac:dyDescent="0.2">
      <c r="C109" s="513"/>
      <c r="D109" s="656" t="str">
        <f>Calculations!C110</f>
        <v>Capital Costs</v>
      </c>
      <c r="E109" s="657">
        <f>SUM(F109:Z109)</f>
        <v>0</v>
      </c>
      <c r="F109" s="659">
        <f>Calculations!E110/Calculations!E$9</f>
        <v>0</v>
      </c>
      <c r="G109" s="659">
        <f>Calculations!F110/Calculations!F$9</f>
        <v>0</v>
      </c>
      <c r="H109" s="659">
        <f>Calculations!G110/Calculations!G$9</f>
        <v>0</v>
      </c>
      <c r="I109" s="659">
        <f>Calculations!H110/Calculations!H$9</f>
        <v>0</v>
      </c>
      <c r="J109" s="659">
        <f>Calculations!I110/Calculations!I$9</f>
        <v>0</v>
      </c>
      <c r="K109" s="659">
        <f>Calculations!J110/Calculations!J$9</f>
        <v>0</v>
      </c>
      <c r="L109" s="659">
        <f>Calculations!K110/Calculations!K$9</f>
        <v>0</v>
      </c>
      <c r="M109" s="659">
        <f>Calculations!L110/Calculations!L$9</f>
        <v>0</v>
      </c>
      <c r="N109" s="659">
        <f>Calculations!M110/Calculations!M$9</f>
        <v>0</v>
      </c>
      <c r="O109" s="659">
        <f>Calculations!N110/Calculations!N$9</f>
        <v>0</v>
      </c>
      <c r="P109" s="659">
        <f>Calculations!O110/Calculations!O$9</f>
        <v>0</v>
      </c>
      <c r="Q109" s="659">
        <f>Calculations!P110/Calculations!P$9</f>
        <v>0</v>
      </c>
      <c r="R109" s="659">
        <f>Calculations!Q110/Calculations!Q$9</f>
        <v>0</v>
      </c>
      <c r="S109" s="659">
        <f>Calculations!R110/Calculations!R$9</f>
        <v>0</v>
      </c>
      <c r="T109" s="659">
        <f>Calculations!S110/Calculations!S$9</f>
        <v>0</v>
      </c>
      <c r="U109" s="659">
        <f>Calculations!T110/Calculations!T$9</f>
        <v>0</v>
      </c>
      <c r="V109" s="659">
        <f>Calculations!U110/Calculations!U$9</f>
        <v>0</v>
      </c>
      <c r="W109" s="659">
        <f>Calculations!V110/Calculations!V$9</f>
        <v>0</v>
      </c>
      <c r="X109" s="659">
        <f>Calculations!W110/Calculations!W$9</f>
        <v>0</v>
      </c>
      <c r="Y109" s="659">
        <f>Calculations!X110/Calculations!X$9</f>
        <v>0</v>
      </c>
      <c r="Z109" s="659">
        <f>Calculations!Y110/Calculations!Y$9</f>
        <v>0</v>
      </c>
    </row>
    <row r="110" spans="3:26" ht="16.5" customHeight="1" x14ac:dyDescent="0.2">
      <c r="C110" s="513"/>
      <c r="D110" s="656" t="str">
        <f>Calculations!C111</f>
        <v>Maintenance Costs</v>
      </c>
      <c r="E110" s="657">
        <f>SUM(F110:Z110)</f>
        <v>0</v>
      </c>
      <c r="F110" s="659">
        <f>Calculations!E111/Calculations!E$9</f>
        <v>0</v>
      </c>
      <c r="G110" s="659">
        <f>Calculations!F111/Calculations!F$9</f>
        <v>0</v>
      </c>
      <c r="H110" s="659">
        <f>Calculations!G111/Calculations!G$9</f>
        <v>0</v>
      </c>
      <c r="I110" s="659">
        <f>Calculations!H111/Calculations!H$9</f>
        <v>0</v>
      </c>
      <c r="J110" s="659">
        <f>Calculations!I111/Calculations!I$9</f>
        <v>0</v>
      </c>
      <c r="K110" s="659">
        <f>Calculations!J111/Calculations!J$9</f>
        <v>0</v>
      </c>
      <c r="L110" s="659">
        <f>Calculations!K111/Calculations!K$9</f>
        <v>0</v>
      </c>
      <c r="M110" s="659">
        <f>Calculations!L111/Calculations!L$9</f>
        <v>0</v>
      </c>
      <c r="N110" s="659">
        <f>Calculations!M111/Calculations!M$9</f>
        <v>0</v>
      </c>
      <c r="O110" s="659">
        <f>Calculations!N111/Calculations!N$9</f>
        <v>0</v>
      </c>
      <c r="P110" s="659">
        <f>Calculations!O111/Calculations!O$9</f>
        <v>0</v>
      </c>
      <c r="Q110" s="659">
        <f>Calculations!P111/Calculations!P$9</f>
        <v>0</v>
      </c>
      <c r="R110" s="659">
        <f>Calculations!Q111/Calculations!Q$9</f>
        <v>0</v>
      </c>
      <c r="S110" s="659">
        <f>Calculations!R111/Calculations!R$9</f>
        <v>0</v>
      </c>
      <c r="T110" s="659">
        <f>Calculations!S111/Calculations!S$9</f>
        <v>0</v>
      </c>
      <c r="U110" s="659">
        <f>Calculations!T111/Calculations!T$9</f>
        <v>0</v>
      </c>
      <c r="V110" s="659">
        <f>Calculations!U111/Calculations!U$9</f>
        <v>0</v>
      </c>
      <c r="W110" s="659">
        <f>Calculations!V111/Calculations!V$9</f>
        <v>0</v>
      </c>
      <c r="X110" s="659">
        <f>Calculations!W111/Calculations!W$9</f>
        <v>0</v>
      </c>
      <c r="Y110" s="659">
        <f>Calculations!X111/Calculations!X$9</f>
        <v>0</v>
      </c>
      <c r="Z110" s="659">
        <f>Calculations!Y111/Calculations!Y$9</f>
        <v>0</v>
      </c>
    </row>
    <row r="111" spans="3:26" ht="16.5" customHeight="1" x14ac:dyDescent="0.2">
      <c r="C111" s="513"/>
      <c r="D111" s="656" t="str">
        <f>Calculations!C112</f>
        <v>Negative Impact on Revenue (STPIS)</v>
      </c>
      <c r="E111" s="657">
        <f t="shared" ref="E111:Z111" si="17">SUM(E112:E115)</f>
        <v>0</v>
      </c>
      <c r="F111" s="657">
        <f t="shared" si="17"/>
        <v>0</v>
      </c>
      <c r="G111" s="657">
        <f t="shared" si="17"/>
        <v>0</v>
      </c>
      <c r="H111" s="657">
        <f t="shared" si="17"/>
        <v>0</v>
      </c>
      <c r="I111" s="657">
        <f t="shared" si="17"/>
        <v>0</v>
      </c>
      <c r="J111" s="657">
        <f t="shared" si="17"/>
        <v>0</v>
      </c>
      <c r="K111" s="657">
        <f t="shared" si="17"/>
        <v>0</v>
      </c>
      <c r="L111" s="657">
        <f t="shared" si="17"/>
        <v>0</v>
      </c>
      <c r="M111" s="657">
        <f t="shared" si="17"/>
        <v>0</v>
      </c>
      <c r="N111" s="657">
        <f t="shared" si="17"/>
        <v>0</v>
      </c>
      <c r="O111" s="657">
        <f t="shared" si="17"/>
        <v>0</v>
      </c>
      <c r="P111" s="657">
        <f t="shared" si="17"/>
        <v>0</v>
      </c>
      <c r="Q111" s="657">
        <f t="shared" si="17"/>
        <v>0</v>
      </c>
      <c r="R111" s="657">
        <f t="shared" si="17"/>
        <v>0</v>
      </c>
      <c r="S111" s="657">
        <f t="shared" si="17"/>
        <v>0</v>
      </c>
      <c r="T111" s="657">
        <f t="shared" si="17"/>
        <v>0</v>
      </c>
      <c r="U111" s="657">
        <f t="shared" si="17"/>
        <v>0</v>
      </c>
      <c r="V111" s="657">
        <f t="shared" si="17"/>
        <v>0</v>
      </c>
      <c r="W111" s="657">
        <f t="shared" si="17"/>
        <v>0</v>
      </c>
      <c r="X111" s="657">
        <f t="shared" si="17"/>
        <v>0</v>
      </c>
      <c r="Y111" s="657">
        <f t="shared" si="17"/>
        <v>0</v>
      </c>
      <c r="Z111" s="657">
        <f t="shared" si="17"/>
        <v>0</v>
      </c>
    </row>
    <row r="112" spans="3:26" ht="16.5" customHeight="1" x14ac:dyDescent="0.2">
      <c r="C112" s="513"/>
      <c r="D112" s="660" t="str">
        <f>Calculations!C113</f>
        <v>SAIFI sustained</v>
      </c>
      <c r="E112" s="657">
        <f t="shared" ref="E112:E127" si="18">SUM(F112:Z112)</f>
        <v>0</v>
      </c>
      <c r="F112" s="659">
        <f>Calculations!E113/Calculations!E$9</f>
        <v>0</v>
      </c>
      <c r="G112" s="659">
        <f>Calculations!F113/Calculations!F$9</f>
        <v>0</v>
      </c>
      <c r="H112" s="659">
        <f>Calculations!G113/Calculations!G$9</f>
        <v>0</v>
      </c>
      <c r="I112" s="659">
        <f>Calculations!H113/Calculations!H$9</f>
        <v>0</v>
      </c>
      <c r="J112" s="659">
        <f>Calculations!I113/Calculations!I$9</f>
        <v>0</v>
      </c>
      <c r="K112" s="659">
        <f>Calculations!J113/Calculations!J$9</f>
        <v>0</v>
      </c>
      <c r="L112" s="659">
        <f>Calculations!K113/Calculations!K$9</f>
        <v>0</v>
      </c>
      <c r="M112" s="659">
        <f>Calculations!L113/Calculations!L$9</f>
        <v>0</v>
      </c>
      <c r="N112" s="659">
        <f>Calculations!M113/Calculations!M$9</f>
        <v>0</v>
      </c>
      <c r="O112" s="659">
        <f>Calculations!N113/Calculations!N$9</f>
        <v>0</v>
      </c>
      <c r="P112" s="659">
        <f>Calculations!O113/Calculations!O$9</f>
        <v>0</v>
      </c>
      <c r="Q112" s="659">
        <f>Calculations!P113/Calculations!P$9</f>
        <v>0</v>
      </c>
      <c r="R112" s="659">
        <f>Calculations!Q113/Calculations!Q$9</f>
        <v>0</v>
      </c>
      <c r="S112" s="659">
        <f>Calculations!R113/Calculations!R$9</f>
        <v>0</v>
      </c>
      <c r="T112" s="659">
        <f>Calculations!S113/Calculations!S$9</f>
        <v>0</v>
      </c>
      <c r="U112" s="659">
        <f>Calculations!T113/Calculations!T$9</f>
        <v>0</v>
      </c>
      <c r="V112" s="659">
        <f>Calculations!U113/Calculations!U$9</f>
        <v>0</v>
      </c>
      <c r="W112" s="659">
        <f>Calculations!V113/Calculations!V$9</f>
        <v>0</v>
      </c>
      <c r="X112" s="659">
        <f>Calculations!W113/Calculations!W$9</f>
        <v>0</v>
      </c>
      <c r="Y112" s="659">
        <f>Calculations!X113/Calculations!X$9</f>
        <v>0</v>
      </c>
      <c r="Z112" s="659">
        <f>Calculations!Y113/Calculations!Y$9</f>
        <v>0</v>
      </c>
    </row>
    <row r="113" spans="3:26" ht="16.5" customHeight="1" x14ac:dyDescent="0.2">
      <c r="C113" s="513"/>
      <c r="D113" s="660" t="str">
        <f>Calculations!C114</f>
        <v>SAIDI accidental</v>
      </c>
      <c r="E113" s="657">
        <f t="shared" si="18"/>
        <v>0</v>
      </c>
      <c r="F113" s="659">
        <f>Calculations!E114/Calculations!E$9</f>
        <v>0</v>
      </c>
      <c r="G113" s="659">
        <f>Calculations!F114/Calculations!F$9</f>
        <v>0</v>
      </c>
      <c r="H113" s="659">
        <f>Calculations!G114/Calculations!G$9</f>
        <v>0</v>
      </c>
      <c r="I113" s="659">
        <f>Calculations!H114/Calculations!H$9</f>
        <v>0</v>
      </c>
      <c r="J113" s="659">
        <f>Calculations!I114/Calculations!I$9</f>
        <v>0</v>
      </c>
      <c r="K113" s="659">
        <f>Calculations!J114/Calculations!J$9</f>
        <v>0</v>
      </c>
      <c r="L113" s="659">
        <f>Calculations!K114/Calculations!K$9</f>
        <v>0</v>
      </c>
      <c r="M113" s="659">
        <f>Calculations!L114/Calculations!L$9</f>
        <v>0</v>
      </c>
      <c r="N113" s="659">
        <f>Calculations!M114/Calculations!M$9</f>
        <v>0</v>
      </c>
      <c r="O113" s="659">
        <f>Calculations!N114/Calculations!N$9</f>
        <v>0</v>
      </c>
      <c r="P113" s="659">
        <f>Calculations!O114/Calculations!O$9</f>
        <v>0</v>
      </c>
      <c r="Q113" s="659">
        <f>Calculations!P114/Calculations!P$9</f>
        <v>0</v>
      </c>
      <c r="R113" s="659">
        <f>Calculations!Q114/Calculations!Q$9</f>
        <v>0</v>
      </c>
      <c r="S113" s="659">
        <f>Calculations!R114/Calculations!R$9</f>
        <v>0</v>
      </c>
      <c r="T113" s="659">
        <f>Calculations!S114/Calculations!S$9</f>
        <v>0</v>
      </c>
      <c r="U113" s="659">
        <f>Calculations!T114/Calculations!T$9</f>
        <v>0</v>
      </c>
      <c r="V113" s="659">
        <f>Calculations!U114/Calculations!U$9</f>
        <v>0</v>
      </c>
      <c r="W113" s="659">
        <f>Calculations!V114/Calculations!V$9</f>
        <v>0</v>
      </c>
      <c r="X113" s="659">
        <f>Calculations!W114/Calculations!W$9</f>
        <v>0</v>
      </c>
      <c r="Y113" s="659">
        <f>Calculations!X114/Calculations!X$9</f>
        <v>0</v>
      </c>
      <c r="Z113" s="659">
        <f>Calculations!Y114/Calculations!Y$9</f>
        <v>0</v>
      </c>
    </row>
    <row r="114" spans="3:26" ht="16.5" customHeight="1" x14ac:dyDescent="0.2">
      <c r="C114" s="513"/>
      <c r="D114" s="660" t="str">
        <f>Calculations!C115</f>
        <v>MAIFI momentary</v>
      </c>
      <c r="E114" s="657">
        <f t="shared" si="18"/>
        <v>0</v>
      </c>
      <c r="F114" s="659">
        <f>Calculations!E115/Calculations!E$9</f>
        <v>0</v>
      </c>
      <c r="G114" s="659">
        <f>Calculations!F115/Calculations!F$9</f>
        <v>0</v>
      </c>
      <c r="H114" s="659">
        <f>Calculations!G115/Calculations!G$9</f>
        <v>0</v>
      </c>
      <c r="I114" s="659">
        <f>Calculations!H115/Calculations!H$9</f>
        <v>0</v>
      </c>
      <c r="J114" s="659">
        <f>Calculations!I115/Calculations!I$9</f>
        <v>0</v>
      </c>
      <c r="K114" s="659">
        <f>Calculations!J115/Calculations!J$9</f>
        <v>0</v>
      </c>
      <c r="L114" s="659">
        <f>Calculations!K115/Calculations!K$9</f>
        <v>0</v>
      </c>
      <c r="M114" s="659">
        <f>Calculations!L115/Calculations!L$9</f>
        <v>0</v>
      </c>
      <c r="N114" s="659">
        <f>Calculations!M115/Calculations!M$9</f>
        <v>0</v>
      </c>
      <c r="O114" s="659">
        <f>Calculations!N115/Calculations!N$9</f>
        <v>0</v>
      </c>
      <c r="P114" s="659">
        <f>Calculations!O115/Calculations!O$9</f>
        <v>0</v>
      </c>
      <c r="Q114" s="659">
        <f>Calculations!P115/Calculations!P$9</f>
        <v>0</v>
      </c>
      <c r="R114" s="659">
        <f>Calculations!Q115/Calculations!Q$9</f>
        <v>0</v>
      </c>
      <c r="S114" s="659">
        <f>Calculations!R115/Calculations!R$9</f>
        <v>0</v>
      </c>
      <c r="T114" s="659">
        <f>Calculations!S115/Calculations!S$9</f>
        <v>0</v>
      </c>
      <c r="U114" s="659">
        <f>Calculations!T115/Calculations!T$9</f>
        <v>0</v>
      </c>
      <c r="V114" s="659">
        <f>Calculations!U115/Calculations!U$9</f>
        <v>0</v>
      </c>
      <c r="W114" s="659">
        <f>Calculations!V115/Calculations!V$9</f>
        <v>0</v>
      </c>
      <c r="X114" s="659">
        <f>Calculations!W115/Calculations!W$9</f>
        <v>0</v>
      </c>
      <c r="Y114" s="659">
        <f>Calculations!X115/Calculations!X$9</f>
        <v>0</v>
      </c>
      <c r="Z114" s="659">
        <f>Calculations!Y115/Calculations!Y$9</f>
        <v>0</v>
      </c>
    </row>
    <row r="115" spans="3:26" ht="16.5" customHeight="1" x14ac:dyDescent="0.2">
      <c r="C115" s="513"/>
      <c r="D115" s="660" t="str">
        <f>Calculations!C116</f>
        <v>Call centre response</v>
      </c>
      <c r="E115" s="657">
        <f t="shared" si="18"/>
        <v>0</v>
      </c>
      <c r="F115" s="659">
        <f>Calculations!E116/Calculations!E$9</f>
        <v>0</v>
      </c>
      <c r="G115" s="659">
        <f>Calculations!F116/Calculations!F$9</f>
        <v>0</v>
      </c>
      <c r="H115" s="659">
        <f>Calculations!G116/Calculations!G$9</f>
        <v>0</v>
      </c>
      <c r="I115" s="659">
        <f>Calculations!H116/Calculations!H$9</f>
        <v>0</v>
      </c>
      <c r="J115" s="659">
        <f>Calculations!I116/Calculations!I$9</f>
        <v>0</v>
      </c>
      <c r="K115" s="659">
        <f>Calculations!J116/Calculations!J$9</f>
        <v>0</v>
      </c>
      <c r="L115" s="659">
        <f>Calculations!K116/Calculations!K$9</f>
        <v>0</v>
      </c>
      <c r="M115" s="659">
        <f>Calculations!L116/Calculations!L$9</f>
        <v>0</v>
      </c>
      <c r="N115" s="659">
        <f>Calculations!M116/Calculations!M$9</f>
        <v>0</v>
      </c>
      <c r="O115" s="659">
        <f>Calculations!N116/Calculations!N$9</f>
        <v>0</v>
      </c>
      <c r="P115" s="659">
        <f>Calculations!O116/Calculations!O$9</f>
        <v>0</v>
      </c>
      <c r="Q115" s="659">
        <f>Calculations!P116/Calculations!P$9</f>
        <v>0</v>
      </c>
      <c r="R115" s="659">
        <f>Calculations!Q116/Calculations!Q$9</f>
        <v>0</v>
      </c>
      <c r="S115" s="659">
        <f>Calculations!R116/Calculations!R$9</f>
        <v>0</v>
      </c>
      <c r="T115" s="659">
        <f>Calculations!S116/Calculations!S$9</f>
        <v>0</v>
      </c>
      <c r="U115" s="659">
        <f>Calculations!T116/Calculations!T$9</f>
        <v>0</v>
      </c>
      <c r="V115" s="659">
        <f>Calculations!U116/Calculations!U$9</f>
        <v>0</v>
      </c>
      <c r="W115" s="659">
        <f>Calculations!V116/Calculations!V$9</f>
        <v>0</v>
      </c>
      <c r="X115" s="659">
        <f>Calculations!W116/Calculations!W$9</f>
        <v>0</v>
      </c>
      <c r="Y115" s="659">
        <f>Calculations!X116/Calculations!X$9</f>
        <v>0</v>
      </c>
      <c r="Z115" s="659">
        <f>Calculations!Y116/Calculations!Y$9</f>
        <v>0</v>
      </c>
    </row>
    <row r="116" spans="3:26" ht="16.5" customHeight="1" x14ac:dyDescent="0.2">
      <c r="C116" s="513"/>
      <c r="D116" s="656" t="str">
        <f>Calculations!C117</f>
        <v>Network Outage Costs</v>
      </c>
      <c r="E116" s="657">
        <f t="shared" si="18"/>
        <v>0</v>
      </c>
      <c r="F116" s="659">
        <f>Calculations!E117/Calculations!E$9</f>
        <v>0</v>
      </c>
      <c r="G116" s="659">
        <f>Calculations!F117/Calculations!F$9</f>
        <v>0</v>
      </c>
      <c r="H116" s="659">
        <f>Calculations!G117/Calculations!G$9</f>
        <v>0</v>
      </c>
      <c r="I116" s="659">
        <f>Calculations!H117/Calculations!H$9</f>
        <v>0</v>
      </c>
      <c r="J116" s="659">
        <f>Calculations!I117/Calculations!I$9</f>
        <v>0</v>
      </c>
      <c r="K116" s="659">
        <f>Calculations!J117/Calculations!J$9</f>
        <v>0</v>
      </c>
      <c r="L116" s="659">
        <f>Calculations!K117/Calculations!K$9</f>
        <v>0</v>
      </c>
      <c r="M116" s="659">
        <f>Calculations!L117/Calculations!L$9</f>
        <v>0</v>
      </c>
      <c r="N116" s="659">
        <f>Calculations!M117/Calculations!M$9</f>
        <v>0</v>
      </c>
      <c r="O116" s="659">
        <f>Calculations!N117/Calculations!N$9</f>
        <v>0</v>
      </c>
      <c r="P116" s="659">
        <f>Calculations!O117/Calculations!O$9</f>
        <v>0</v>
      </c>
      <c r="Q116" s="659">
        <f>Calculations!P117/Calculations!P$9</f>
        <v>0</v>
      </c>
      <c r="R116" s="659">
        <f>Calculations!Q117/Calculations!Q$9</f>
        <v>0</v>
      </c>
      <c r="S116" s="659">
        <f>Calculations!R117/Calculations!R$9</f>
        <v>0</v>
      </c>
      <c r="T116" s="659">
        <f>Calculations!S117/Calculations!S$9</f>
        <v>0</v>
      </c>
      <c r="U116" s="659">
        <f>Calculations!T117/Calculations!T$9</f>
        <v>0</v>
      </c>
      <c r="V116" s="659">
        <f>Calculations!U117/Calculations!U$9</f>
        <v>0</v>
      </c>
      <c r="W116" s="659">
        <f>Calculations!V117/Calculations!V$9</f>
        <v>0</v>
      </c>
      <c r="X116" s="659">
        <f>Calculations!W117/Calculations!W$9</f>
        <v>0</v>
      </c>
      <c r="Y116" s="659">
        <f>Calculations!X117/Calculations!X$9</f>
        <v>0</v>
      </c>
      <c r="Z116" s="659">
        <f>Calculations!Y117/Calculations!Y$9</f>
        <v>0</v>
      </c>
    </row>
    <row r="117" spans="3:26" ht="16.5" customHeight="1" x14ac:dyDescent="0.2">
      <c r="C117" s="513"/>
      <c r="D117" s="656" t="str">
        <f>Calculations!C118</f>
        <v>Loss of F Factor Benefit</v>
      </c>
      <c r="E117" s="657">
        <f t="shared" si="18"/>
        <v>0</v>
      </c>
      <c r="F117" s="659">
        <f>Calculations!E118/Calculations!E$9</f>
        <v>0</v>
      </c>
      <c r="G117" s="659">
        <f>Calculations!F118/Calculations!F$9</f>
        <v>0</v>
      </c>
      <c r="H117" s="659">
        <f>Calculations!G118/Calculations!G$9</f>
        <v>0</v>
      </c>
      <c r="I117" s="659">
        <f>Calculations!H118/Calculations!H$9</f>
        <v>0</v>
      </c>
      <c r="J117" s="659">
        <f>Calculations!I118/Calculations!I$9</f>
        <v>0</v>
      </c>
      <c r="K117" s="659">
        <f>Calculations!J118/Calculations!J$9</f>
        <v>0</v>
      </c>
      <c r="L117" s="659">
        <f>Calculations!K118/Calculations!K$9</f>
        <v>0</v>
      </c>
      <c r="M117" s="659">
        <f>Calculations!L118/Calculations!L$9</f>
        <v>0</v>
      </c>
      <c r="N117" s="659">
        <f>Calculations!M118/Calculations!M$9</f>
        <v>0</v>
      </c>
      <c r="O117" s="659">
        <f>Calculations!N118/Calculations!N$9</f>
        <v>0</v>
      </c>
      <c r="P117" s="659">
        <f>Calculations!O118/Calculations!O$9</f>
        <v>0</v>
      </c>
      <c r="Q117" s="659">
        <f>Calculations!P118/Calculations!P$9</f>
        <v>0</v>
      </c>
      <c r="R117" s="659">
        <f>Calculations!Q118/Calculations!Q$9</f>
        <v>0</v>
      </c>
      <c r="S117" s="659">
        <f>Calculations!R118/Calculations!R$9</f>
        <v>0</v>
      </c>
      <c r="T117" s="659">
        <f>Calculations!S118/Calculations!S$9</f>
        <v>0</v>
      </c>
      <c r="U117" s="659">
        <f>Calculations!T118/Calculations!T$9</f>
        <v>0</v>
      </c>
      <c r="V117" s="659">
        <f>Calculations!U118/Calculations!U$9</f>
        <v>0</v>
      </c>
      <c r="W117" s="659">
        <f>Calculations!V118/Calculations!V$9</f>
        <v>0</v>
      </c>
      <c r="X117" s="659">
        <f>Calculations!W118/Calculations!W$9</f>
        <v>0</v>
      </c>
      <c r="Y117" s="659">
        <f>Calculations!X118/Calculations!X$9</f>
        <v>0</v>
      </c>
      <c r="Z117" s="659">
        <f>Calculations!Y118/Calculations!Y$9</f>
        <v>0</v>
      </c>
    </row>
    <row r="118" spans="3:26" ht="16.5" customHeight="1" x14ac:dyDescent="0.2">
      <c r="C118" s="513"/>
      <c r="D118" s="656" t="str">
        <f>Calculations!C119</f>
        <v>Cost 1</v>
      </c>
      <c r="E118" s="657">
        <f t="shared" si="18"/>
        <v>0</v>
      </c>
      <c r="F118" s="659">
        <f>Calculations!E119/Calculations!E$9</f>
        <v>0</v>
      </c>
      <c r="G118" s="659">
        <f>Calculations!F119/Calculations!F$9</f>
        <v>0</v>
      </c>
      <c r="H118" s="659">
        <f>Calculations!G119/Calculations!G$9</f>
        <v>0</v>
      </c>
      <c r="I118" s="659">
        <f>Calculations!H119/Calculations!H$9</f>
        <v>0</v>
      </c>
      <c r="J118" s="659">
        <f>Calculations!I119/Calculations!I$9</f>
        <v>0</v>
      </c>
      <c r="K118" s="659">
        <f>Calculations!J119/Calculations!J$9</f>
        <v>0</v>
      </c>
      <c r="L118" s="659">
        <f>Calculations!K119/Calculations!K$9</f>
        <v>0</v>
      </c>
      <c r="M118" s="659">
        <f>Calculations!L119/Calculations!L$9</f>
        <v>0</v>
      </c>
      <c r="N118" s="659">
        <f>Calculations!M119/Calculations!M$9</f>
        <v>0</v>
      </c>
      <c r="O118" s="659">
        <f>Calculations!N119/Calculations!N$9</f>
        <v>0</v>
      </c>
      <c r="P118" s="659">
        <f>Calculations!O119/Calculations!O$9</f>
        <v>0</v>
      </c>
      <c r="Q118" s="659">
        <f>Calculations!P119/Calculations!P$9</f>
        <v>0</v>
      </c>
      <c r="R118" s="659">
        <f>Calculations!Q119/Calculations!Q$9</f>
        <v>0</v>
      </c>
      <c r="S118" s="659">
        <f>Calculations!R119/Calculations!R$9</f>
        <v>0</v>
      </c>
      <c r="T118" s="659">
        <f>Calculations!S119/Calculations!S$9</f>
        <v>0</v>
      </c>
      <c r="U118" s="659">
        <f>Calculations!T119/Calculations!T$9</f>
        <v>0</v>
      </c>
      <c r="V118" s="659">
        <f>Calculations!U119/Calculations!U$9</f>
        <v>0</v>
      </c>
      <c r="W118" s="659">
        <f>Calculations!V119/Calculations!V$9</f>
        <v>0</v>
      </c>
      <c r="X118" s="659">
        <f>Calculations!W119/Calculations!W$9</f>
        <v>0</v>
      </c>
      <c r="Y118" s="659">
        <f>Calculations!X119/Calculations!X$9</f>
        <v>0</v>
      </c>
      <c r="Z118" s="659">
        <f>Calculations!Y119/Calculations!Y$9</f>
        <v>0</v>
      </c>
    </row>
    <row r="119" spans="3:26" ht="16.5" customHeight="1" x14ac:dyDescent="0.2">
      <c r="C119" s="513"/>
      <c r="D119" s="656" t="str">
        <f>Calculations!C120</f>
        <v>Cost 2</v>
      </c>
      <c r="E119" s="657">
        <f t="shared" si="18"/>
        <v>0</v>
      </c>
      <c r="F119" s="659">
        <f>Calculations!E120/Calculations!E$9</f>
        <v>0</v>
      </c>
      <c r="G119" s="659">
        <f>Calculations!F120/Calculations!F$9</f>
        <v>0</v>
      </c>
      <c r="H119" s="659">
        <f>Calculations!G120/Calculations!G$9</f>
        <v>0</v>
      </c>
      <c r="I119" s="659">
        <f>Calculations!H120/Calculations!H$9</f>
        <v>0</v>
      </c>
      <c r="J119" s="659">
        <f>Calculations!I120/Calculations!I$9</f>
        <v>0</v>
      </c>
      <c r="K119" s="659">
        <f>Calculations!J120/Calculations!J$9</f>
        <v>0</v>
      </c>
      <c r="L119" s="659">
        <f>Calculations!K120/Calculations!K$9</f>
        <v>0</v>
      </c>
      <c r="M119" s="659">
        <f>Calculations!L120/Calculations!L$9</f>
        <v>0</v>
      </c>
      <c r="N119" s="659">
        <f>Calculations!M120/Calculations!M$9</f>
        <v>0</v>
      </c>
      <c r="O119" s="659">
        <f>Calculations!N120/Calculations!N$9</f>
        <v>0</v>
      </c>
      <c r="P119" s="659">
        <f>Calculations!O120/Calculations!O$9</f>
        <v>0</v>
      </c>
      <c r="Q119" s="659">
        <f>Calculations!P120/Calculations!P$9</f>
        <v>0</v>
      </c>
      <c r="R119" s="659">
        <f>Calculations!Q120/Calculations!Q$9</f>
        <v>0</v>
      </c>
      <c r="S119" s="659">
        <f>Calculations!R120/Calculations!R$9</f>
        <v>0</v>
      </c>
      <c r="T119" s="659">
        <f>Calculations!S120/Calculations!S$9</f>
        <v>0</v>
      </c>
      <c r="U119" s="659">
        <f>Calculations!T120/Calculations!T$9</f>
        <v>0</v>
      </c>
      <c r="V119" s="659">
        <f>Calculations!U120/Calculations!U$9</f>
        <v>0</v>
      </c>
      <c r="W119" s="659">
        <f>Calculations!V120/Calculations!V$9</f>
        <v>0</v>
      </c>
      <c r="X119" s="659">
        <f>Calculations!W120/Calculations!W$9</f>
        <v>0</v>
      </c>
      <c r="Y119" s="659">
        <f>Calculations!X120/Calculations!X$9</f>
        <v>0</v>
      </c>
      <c r="Z119" s="659">
        <f>Calculations!Y120/Calculations!Y$9</f>
        <v>0</v>
      </c>
    </row>
    <row r="120" spans="3:26" ht="16.5" customHeight="1" x14ac:dyDescent="0.2">
      <c r="C120" s="513"/>
      <c r="D120" s="656" t="str">
        <f>Calculations!C121</f>
        <v>Cost 3</v>
      </c>
      <c r="E120" s="657">
        <f t="shared" si="18"/>
        <v>0</v>
      </c>
      <c r="F120" s="659">
        <f>Calculations!E121/Calculations!E$9</f>
        <v>0</v>
      </c>
      <c r="G120" s="659">
        <f>Calculations!F121/Calculations!F$9</f>
        <v>0</v>
      </c>
      <c r="H120" s="659">
        <f>Calculations!G121/Calculations!G$9</f>
        <v>0</v>
      </c>
      <c r="I120" s="659">
        <f>Calculations!H121/Calculations!H$9</f>
        <v>0</v>
      </c>
      <c r="J120" s="659">
        <f>Calculations!I121/Calculations!I$9</f>
        <v>0</v>
      </c>
      <c r="K120" s="659">
        <f>Calculations!J121/Calculations!J$9</f>
        <v>0</v>
      </c>
      <c r="L120" s="659">
        <f>Calculations!K121/Calculations!K$9</f>
        <v>0</v>
      </c>
      <c r="M120" s="659">
        <f>Calculations!L121/Calculations!L$9</f>
        <v>0</v>
      </c>
      <c r="N120" s="659">
        <f>Calculations!M121/Calculations!M$9</f>
        <v>0</v>
      </c>
      <c r="O120" s="659">
        <f>Calculations!N121/Calculations!N$9</f>
        <v>0</v>
      </c>
      <c r="P120" s="659">
        <f>Calculations!O121/Calculations!O$9</f>
        <v>0</v>
      </c>
      <c r="Q120" s="659">
        <f>Calculations!P121/Calculations!P$9</f>
        <v>0</v>
      </c>
      <c r="R120" s="659">
        <f>Calculations!Q121/Calculations!Q$9</f>
        <v>0</v>
      </c>
      <c r="S120" s="659">
        <f>Calculations!R121/Calculations!R$9</f>
        <v>0</v>
      </c>
      <c r="T120" s="659">
        <f>Calculations!S121/Calculations!S$9</f>
        <v>0</v>
      </c>
      <c r="U120" s="659">
        <f>Calculations!T121/Calculations!T$9</f>
        <v>0</v>
      </c>
      <c r="V120" s="659">
        <f>Calculations!U121/Calculations!U$9</f>
        <v>0</v>
      </c>
      <c r="W120" s="659">
        <f>Calculations!V121/Calculations!V$9</f>
        <v>0</v>
      </c>
      <c r="X120" s="659">
        <f>Calculations!W121/Calculations!W$9</f>
        <v>0</v>
      </c>
      <c r="Y120" s="659">
        <f>Calculations!X121/Calculations!X$9</f>
        <v>0</v>
      </c>
      <c r="Z120" s="659">
        <f>Calculations!Y121/Calculations!Y$9</f>
        <v>0</v>
      </c>
    </row>
    <row r="121" spans="3:26" ht="16.5" customHeight="1" x14ac:dyDescent="0.2">
      <c r="C121" s="513"/>
      <c r="D121" s="656" t="str">
        <f>Calculations!C122</f>
        <v>Cost 4</v>
      </c>
      <c r="E121" s="657">
        <f t="shared" si="18"/>
        <v>0</v>
      </c>
      <c r="F121" s="659">
        <f>Calculations!E122/Calculations!E$9</f>
        <v>0</v>
      </c>
      <c r="G121" s="659">
        <f>Calculations!F122/Calculations!F$9</f>
        <v>0</v>
      </c>
      <c r="H121" s="659">
        <f>Calculations!G122/Calculations!G$9</f>
        <v>0</v>
      </c>
      <c r="I121" s="659">
        <f>Calculations!H122/Calculations!H$9</f>
        <v>0</v>
      </c>
      <c r="J121" s="659">
        <f>Calculations!I122/Calculations!I$9</f>
        <v>0</v>
      </c>
      <c r="K121" s="659">
        <f>Calculations!J122/Calculations!J$9</f>
        <v>0</v>
      </c>
      <c r="L121" s="659">
        <f>Calculations!K122/Calculations!K$9</f>
        <v>0</v>
      </c>
      <c r="M121" s="659">
        <f>Calculations!L122/Calculations!L$9</f>
        <v>0</v>
      </c>
      <c r="N121" s="659">
        <f>Calculations!M122/Calculations!M$9</f>
        <v>0</v>
      </c>
      <c r="O121" s="659">
        <f>Calculations!N122/Calculations!N$9</f>
        <v>0</v>
      </c>
      <c r="P121" s="659">
        <f>Calculations!O122/Calculations!O$9</f>
        <v>0</v>
      </c>
      <c r="Q121" s="659">
        <f>Calculations!P122/Calculations!P$9</f>
        <v>0</v>
      </c>
      <c r="R121" s="659">
        <f>Calculations!Q122/Calculations!Q$9</f>
        <v>0</v>
      </c>
      <c r="S121" s="659">
        <f>Calculations!R122/Calculations!R$9</f>
        <v>0</v>
      </c>
      <c r="T121" s="659">
        <f>Calculations!S122/Calculations!S$9</f>
        <v>0</v>
      </c>
      <c r="U121" s="659">
        <f>Calculations!T122/Calculations!T$9</f>
        <v>0</v>
      </c>
      <c r="V121" s="659">
        <f>Calculations!U122/Calculations!U$9</f>
        <v>0</v>
      </c>
      <c r="W121" s="659">
        <f>Calculations!V122/Calculations!V$9</f>
        <v>0</v>
      </c>
      <c r="X121" s="659">
        <f>Calculations!W122/Calculations!W$9</f>
        <v>0</v>
      </c>
      <c r="Y121" s="659">
        <f>Calculations!X122/Calculations!X$9</f>
        <v>0</v>
      </c>
      <c r="Z121" s="659">
        <f>Calculations!Y122/Calculations!Y$9</f>
        <v>0</v>
      </c>
    </row>
    <row r="122" spans="3:26" ht="16.5" customHeight="1" x14ac:dyDescent="0.2">
      <c r="C122" s="513"/>
      <c r="D122" s="656" t="str">
        <f>Calculations!C123</f>
        <v>Cost 5</v>
      </c>
      <c r="E122" s="657">
        <f t="shared" si="18"/>
        <v>0</v>
      </c>
      <c r="F122" s="659">
        <f>Calculations!E123/Calculations!E$9</f>
        <v>0</v>
      </c>
      <c r="G122" s="659">
        <f>Calculations!F123/Calculations!F$9</f>
        <v>0</v>
      </c>
      <c r="H122" s="659">
        <f>Calculations!G123/Calculations!G$9</f>
        <v>0</v>
      </c>
      <c r="I122" s="659">
        <f>Calculations!H123/Calculations!H$9</f>
        <v>0</v>
      </c>
      <c r="J122" s="659">
        <f>Calculations!I123/Calculations!I$9</f>
        <v>0</v>
      </c>
      <c r="K122" s="659">
        <f>Calculations!J123/Calculations!J$9</f>
        <v>0</v>
      </c>
      <c r="L122" s="659">
        <f>Calculations!K123/Calculations!K$9</f>
        <v>0</v>
      </c>
      <c r="M122" s="659">
        <f>Calculations!L123/Calculations!L$9</f>
        <v>0</v>
      </c>
      <c r="N122" s="659">
        <f>Calculations!M123/Calculations!M$9</f>
        <v>0</v>
      </c>
      <c r="O122" s="659">
        <f>Calculations!N123/Calculations!N$9</f>
        <v>0</v>
      </c>
      <c r="P122" s="659">
        <f>Calculations!O123/Calculations!O$9</f>
        <v>0</v>
      </c>
      <c r="Q122" s="659">
        <f>Calculations!P123/Calculations!P$9</f>
        <v>0</v>
      </c>
      <c r="R122" s="659">
        <f>Calculations!Q123/Calculations!Q$9</f>
        <v>0</v>
      </c>
      <c r="S122" s="659">
        <f>Calculations!R123/Calculations!R$9</f>
        <v>0</v>
      </c>
      <c r="T122" s="659">
        <f>Calculations!S123/Calculations!S$9</f>
        <v>0</v>
      </c>
      <c r="U122" s="659">
        <f>Calculations!T123/Calculations!T$9</f>
        <v>0</v>
      </c>
      <c r="V122" s="659">
        <f>Calculations!U123/Calculations!U$9</f>
        <v>0</v>
      </c>
      <c r="W122" s="659">
        <f>Calculations!V123/Calculations!V$9</f>
        <v>0</v>
      </c>
      <c r="X122" s="659">
        <f>Calculations!W123/Calculations!W$9</f>
        <v>0</v>
      </c>
      <c r="Y122" s="659">
        <f>Calculations!X123/Calculations!X$9</f>
        <v>0</v>
      </c>
      <c r="Z122" s="659">
        <f>Calculations!Y123/Calculations!Y$9</f>
        <v>0</v>
      </c>
    </row>
    <row r="123" spans="3:26" ht="16.5" customHeight="1" x14ac:dyDescent="0.2">
      <c r="C123" s="513"/>
      <c r="D123" s="656" t="str">
        <f>Calculations!C124</f>
        <v>Risk 1</v>
      </c>
      <c r="E123" s="657">
        <f t="shared" si="18"/>
        <v>0</v>
      </c>
      <c r="F123" s="659">
        <f>Calculations!E124/Calculations!E$9</f>
        <v>0</v>
      </c>
      <c r="G123" s="659">
        <f>Calculations!F124/Calculations!F$9</f>
        <v>0</v>
      </c>
      <c r="H123" s="659">
        <f>Calculations!G124/Calculations!G$9</f>
        <v>0</v>
      </c>
      <c r="I123" s="659">
        <f>Calculations!H124/Calculations!H$9</f>
        <v>0</v>
      </c>
      <c r="J123" s="659">
        <f>Calculations!I124/Calculations!I$9</f>
        <v>0</v>
      </c>
      <c r="K123" s="659">
        <f>Calculations!J124/Calculations!J$9</f>
        <v>0</v>
      </c>
      <c r="L123" s="659">
        <f>Calculations!K124/Calculations!K$9</f>
        <v>0</v>
      </c>
      <c r="M123" s="659">
        <f>Calculations!L124/Calculations!L$9</f>
        <v>0</v>
      </c>
      <c r="N123" s="659">
        <f>Calculations!M124/Calculations!M$9</f>
        <v>0</v>
      </c>
      <c r="O123" s="659">
        <f>Calculations!N124/Calculations!N$9</f>
        <v>0</v>
      </c>
      <c r="P123" s="659">
        <f>Calculations!O124/Calculations!O$9</f>
        <v>0</v>
      </c>
      <c r="Q123" s="659">
        <f>Calculations!P124/Calculations!P$9</f>
        <v>0</v>
      </c>
      <c r="R123" s="659">
        <f>Calculations!Q124/Calculations!Q$9</f>
        <v>0</v>
      </c>
      <c r="S123" s="659">
        <f>Calculations!R124/Calculations!R$9</f>
        <v>0</v>
      </c>
      <c r="T123" s="659">
        <f>Calculations!S124/Calculations!S$9</f>
        <v>0</v>
      </c>
      <c r="U123" s="659">
        <f>Calculations!T124/Calculations!T$9</f>
        <v>0</v>
      </c>
      <c r="V123" s="659">
        <f>Calculations!U124/Calculations!U$9</f>
        <v>0</v>
      </c>
      <c r="W123" s="659">
        <f>Calculations!V124/Calculations!V$9</f>
        <v>0</v>
      </c>
      <c r="X123" s="659">
        <f>Calculations!W124/Calculations!W$9</f>
        <v>0</v>
      </c>
      <c r="Y123" s="659">
        <f>Calculations!X124/Calculations!X$9</f>
        <v>0</v>
      </c>
      <c r="Z123" s="659">
        <f>Calculations!Y124/Calculations!Y$9</f>
        <v>0</v>
      </c>
    </row>
    <row r="124" spans="3:26" ht="16.5" customHeight="1" x14ac:dyDescent="0.2">
      <c r="C124" s="513"/>
      <c r="D124" s="656" t="str">
        <f>Calculations!C125</f>
        <v>Risk 2</v>
      </c>
      <c r="E124" s="657">
        <f t="shared" si="18"/>
        <v>0</v>
      </c>
      <c r="F124" s="659">
        <f>Calculations!E125/Calculations!E$9</f>
        <v>0</v>
      </c>
      <c r="G124" s="659">
        <f>Calculations!F125/Calculations!F$9</f>
        <v>0</v>
      </c>
      <c r="H124" s="659">
        <f>Calculations!G125/Calculations!G$9</f>
        <v>0</v>
      </c>
      <c r="I124" s="659">
        <f>Calculations!H125/Calculations!H$9</f>
        <v>0</v>
      </c>
      <c r="J124" s="659">
        <f>Calculations!I125/Calculations!I$9</f>
        <v>0</v>
      </c>
      <c r="K124" s="659">
        <f>Calculations!J125/Calculations!J$9</f>
        <v>0</v>
      </c>
      <c r="L124" s="659">
        <f>Calculations!K125/Calculations!K$9</f>
        <v>0</v>
      </c>
      <c r="M124" s="659">
        <f>Calculations!L125/Calculations!L$9</f>
        <v>0</v>
      </c>
      <c r="N124" s="659">
        <f>Calculations!M125/Calculations!M$9</f>
        <v>0</v>
      </c>
      <c r="O124" s="659">
        <f>Calculations!N125/Calculations!N$9</f>
        <v>0</v>
      </c>
      <c r="P124" s="659">
        <f>Calculations!O125/Calculations!O$9</f>
        <v>0</v>
      </c>
      <c r="Q124" s="659">
        <f>Calculations!P125/Calculations!P$9</f>
        <v>0</v>
      </c>
      <c r="R124" s="659">
        <f>Calculations!Q125/Calculations!Q$9</f>
        <v>0</v>
      </c>
      <c r="S124" s="659">
        <f>Calculations!R125/Calculations!R$9</f>
        <v>0</v>
      </c>
      <c r="T124" s="659">
        <f>Calculations!S125/Calculations!S$9</f>
        <v>0</v>
      </c>
      <c r="U124" s="659">
        <f>Calculations!T125/Calculations!T$9</f>
        <v>0</v>
      </c>
      <c r="V124" s="659">
        <f>Calculations!U125/Calculations!U$9</f>
        <v>0</v>
      </c>
      <c r="W124" s="659">
        <f>Calculations!V125/Calculations!V$9</f>
        <v>0</v>
      </c>
      <c r="X124" s="659">
        <f>Calculations!W125/Calculations!W$9</f>
        <v>0</v>
      </c>
      <c r="Y124" s="659">
        <f>Calculations!X125/Calculations!X$9</f>
        <v>0</v>
      </c>
      <c r="Z124" s="659">
        <f>Calculations!Y125/Calculations!Y$9</f>
        <v>0</v>
      </c>
    </row>
    <row r="125" spans="3:26" ht="16.5" customHeight="1" x14ac:dyDescent="0.2">
      <c r="C125" s="513"/>
      <c r="D125" s="656" t="str">
        <f>Calculations!C126</f>
        <v>Risk 3</v>
      </c>
      <c r="E125" s="657">
        <f t="shared" si="18"/>
        <v>0</v>
      </c>
      <c r="F125" s="659">
        <f>Calculations!E126/Calculations!E$9</f>
        <v>0</v>
      </c>
      <c r="G125" s="659">
        <f>Calculations!F126/Calculations!F$9</f>
        <v>0</v>
      </c>
      <c r="H125" s="659">
        <f>Calculations!G126/Calculations!G$9</f>
        <v>0</v>
      </c>
      <c r="I125" s="659">
        <f>Calculations!H126/Calculations!H$9</f>
        <v>0</v>
      </c>
      <c r="J125" s="659">
        <f>Calculations!I126/Calculations!I$9</f>
        <v>0</v>
      </c>
      <c r="K125" s="659">
        <f>Calculations!J126/Calculations!J$9</f>
        <v>0</v>
      </c>
      <c r="L125" s="659">
        <f>Calculations!K126/Calculations!K$9</f>
        <v>0</v>
      </c>
      <c r="M125" s="659">
        <f>Calculations!L126/Calculations!L$9</f>
        <v>0</v>
      </c>
      <c r="N125" s="659">
        <f>Calculations!M126/Calculations!M$9</f>
        <v>0</v>
      </c>
      <c r="O125" s="659">
        <f>Calculations!N126/Calculations!N$9</f>
        <v>0</v>
      </c>
      <c r="P125" s="659">
        <f>Calculations!O126/Calculations!O$9</f>
        <v>0</v>
      </c>
      <c r="Q125" s="659">
        <f>Calculations!P126/Calculations!P$9</f>
        <v>0</v>
      </c>
      <c r="R125" s="659">
        <f>Calculations!Q126/Calculations!Q$9</f>
        <v>0</v>
      </c>
      <c r="S125" s="659">
        <f>Calculations!R126/Calculations!R$9</f>
        <v>0</v>
      </c>
      <c r="T125" s="659">
        <f>Calculations!S126/Calculations!S$9</f>
        <v>0</v>
      </c>
      <c r="U125" s="659">
        <f>Calculations!T126/Calculations!T$9</f>
        <v>0</v>
      </c>
      <c r="V125" s="659">
        <f>Calculations!U126/Calculations!U$9</f>
        <v>0</v>
      </c>
      <c r="W125" s="659">
        <f>Calculations!V126/Calculations!V$9</f>
        <v>0</v>
      </c>
      <c r="X125" s="659">
        <f>Calculations!W126/Calculations!W$9</f>
        <v>0</v>
      </c>
      <c r="Y125" s="659">
        <f>Calculations!X126/Calculations!X$9</f>
        <v>0</v>
      </c>
      <c r="Z125" s="659">
        <f>Calculations!Y126/Calculations!Y$9</f>
        <v>0</v>
      </c>
    </row>
    <row r="126" spans="3:26" ht="16.5" customHeight="1" x14ac:dyDescent="0.2">
      <c r="C126" s="513"/>
      <c r="D126" s="656" t="str">
        <f>Calculations!C127</f>
        <v>Risk 4</v>
      </c>
      <c r="E126" s="657">
        <f t="shared" si="18"/>
        <v>0</v>
      </c>
      <c r="F126" s="659">
        <f>Calculations!E127/Calculations!E$9</f>
        <v>0</v>
      </c>
      <c r="G126" s="659">
        <f>Calculations!F127/Calculations!F$9</f>
        <v>0</v>
      </c>
      <c r="H126" s="659">
        <f>Calculations!G127/Calculations!G$9</f>
        <v>0</v>
      </c>
      <c r="I126" s="659">
        <f>Calculations!H127/Calculations!H$9</f>
        <v>0</v>
      </c>
      <c r="J126" s="659">
        <f>Calculations!I127/Calculations!I$9</f>
        <v>0</v>
      </c>
      <c r="K126" s="659">
        <f>Calculations!J127/Calculations!J$9</f>
        <v>0</v>
      </c>
      <c r="L126" s="659">
        <f>Calculations!K127/Calculations!K$9</f>
        <v>0</v>
      </c>
      <c r="M126" s="659">
        <f>Calculations!L127/Calculations!L$9</f>
        <v>0</v>
      </c>
      <c r="N126" s="659">
        <f>Calculations!M127/Calculations!M$9</f>
        <v>0</v>
      </c>
      <c r="O126" s="659">
        <f>Calculations!N127/Calculations!N$9</f>
        <v>0</v>
      </c>
      <c r="P126" s="659">
        <f>Calculations!O127/Calculations!O$9</f>
        <v>0</v>
      </c>
      <c r="Q126" s="659">
        <f>Calculations!P127/Calculations!P$9</f>
        <v>0</v>
      </c>
      <c r="R126" s="659">
        <f>Calculations!Q127/Calculations!Q$9</f>
        <v>0</v>
      </c>
      <c r="S126" s="659">
        <f>Calculations!R127/Calculations!R$9</f>
        <v>0</v>
      </c>
      <c r="T126" s="659">
        <f>Calculations!S127/Calculations!S$9</f>
        <v>0</v>
      </c>
      <c r="U126" s="659">
        <f>Calculations!T127/Calculations!T$9</f>
        <v>0</v>
      </c>
      <c r="V126" s="659">
        <f>Calculations!U127/Calculations!U$9</f>
        <v>0</v>
      </c>
      <c r="W126" s="659">
        <f>Calculations!V127/Calculations!V$9</f>
        <v>0</v>
      </c>
      <c r="X126" s="659">
        <f>Calculations!W127/Calculations!W$9</f>
        <v>0</v>
      </c>
      <c r="Y126" s="659">
        <f>Calculations!X127/Calculations!X$9</f>
        <v>0</v>
      </c>
      <c r="Z126" s="659">
        <f>Calculations!Y127/Calculations!Y$9</f>
        <v>0</v>
      </c>
    </row>
    <row r="127" spans="3:26" ht="16.5" customHeight="1" x14ac:dyDescent="0.2">
      <c r="C127" s="513"/>
      <c r="D127" s="656" t="str">
        <f>Calculations!C128</f>
        <v>Risk 5</v>
      </c>
      <c r="E127" s="657">
        <f t="shared" si="18"/>
        <v>0</v>
      </c>
      <c r="F127" s="659">
        <f>Calculations!E128/Calculations!E$9</f>
        <v>0</v>
      </c>
      <c r="G127" s="659">
        <f>Calculations!F128/Calculations!F$9</f>
        <v>0</v>
      </c>
      <c r="H127" s="659">
        <f>Calculations!G128/Calculations!G$9</f>
        <v>0</v>
      </c>
      <c r="I127" s="659">
        <f>Calculations!H128/Calculations!H$9</f>
        <v>0</v>
      </c>
      <c r="J127" s="659">
        <f>Calculations!I128/Calculations!I$9</f>
        <v>0</v>
      </c>
      <c r="K127" s="659">
        <f>Calculations!J128/Calculations!J$9</f>
        <v>0</v>
      </c>
      <c r="L127" s="659">
        <f>Calculations!K128/Calculations!K$9</f>
        <v>0</v>
      </c>
      <c r="M127" s="659">
        <f>Calculations!L128/Calculations!L$9</f>
        <v>0</v>
      </c>
      <c r="N127" s="659">
        <f>Calculations!M128/Calculations!M$9</f>
        <v>0</v>
      </c>
      <c r="O127" s="659">
        <f>Calculations!N128/Calculations!N$9</f>
        <v>0</v>
      </c>
      <c r="P127" s="659">
        <f>Calculations!O128/Calculations!O$9</f>
        <v>0</v>
      </c>
      <c r="Q127" s="659">
        <f>Calculations!P128/Calculations!P$9</f>
        <v>0</v>
      </c>
      <c r="R127" s="659">
        <f>Calculations!Q128/Calculations!Q$9</f>
        <v>0</v>
      </c>
      <c r="S127" s="659">
        <f>Calculations!R128/Calculations!R$9</f>
        <v>0</v>
      </c>
      <c r="T127" s="659">
        <f>Calculations!S128/Calculations!S$9</f>
        <v>0</v>
      </c>
      <c r="U127" s="659">
        <f>Calculations!T128/Calculations!T$9</f>
        <v>0</v>
      </c>
      <c r="V127" s="659">
        <f>Calculations!U128/Calculations!U$9</f>
        <v>0</v>
      </c>
      <c r="W127" s="659">
        <f>Calculations!V128/Calculations!V$9</f>
        <v>0</v>
      </c>
      <c r="X127" s="659">
        <f>Calculations!W128/Calculations!W$9</f>
        <v>0</v>
      </c>
      <c r="Y127" s="659">
        <f>Calculations!X128/Calculations!X$9</f>
        <v>0</v>
      </c>
      <c r="Z127" s="659">
        <f>Calculations!Y128/Calculations!Y$9</f>
        <v>0</v>
      </c>
    </row>
    <row r="128" spans="3:26" ht="16.5" customHeight="1" x14ac:dyDescent="0.2">
      <c r="C128" s="513"/>
      <c r="D128" s="656" t="s">
        <v>254</v>
      </c>
      <c r="E128" s="657">
        <f t="shared" ref="E128:Z128" si="19">SUM(E109:E127)-E111</f>
        <v>0</v>
      </c>
      <c r="F128" s="657">
        <f t="shared" si="19"/>
        <v>0</v>
      </c>
      <c r="G128" s="657">
        <f t="shared" si="19"/>
        <v>0</v>
      </c>
      <c r="H128" s="657">
        <f t="shared" si="19"/>
        <v>0</v>
      </c>
      <c r="I128" s="657">
        <f t="shared" si="19"/>
        <v>0</v>
      </c>
      <c r="J128" s="657">
        <f t="shared" si="19"/>
        <v>0</v>
      </c>
      <c r="K128" s="657">
        <f t="shared" si="19"/>
        <v>0</v>
      </c>
      <c r="L128" s="657">
        <f t="shared" si="19"/>
        <v>0</v>
      </c>
      <c r="M128" s="657">
        <f t="shared" si="19"/>
        <v>0</v>
      </c>
      <c r="N128" s="657">
        <f t="shared" si="19"/>
        <v>0</v>
      </c>
      <c r="O128" s="657">
        <f t="shared" si="19"/>
        <v>0</v>
      </c>
      <c r="P128" s="657">
        <f t="shared" si="19"/>
        <v>0</v>
      </c>
      <c r="Q128" s="657">
        <f t="shared" si="19"/>
        <v>0</v>
      </c>
      <c r="R128" s="657">
        <f t="shared" si="19"/>
        <v>0</v>
      </c>
      <c r="S128" s="657">
        <f t="shared" si="19"/>
        <v>0</v>
      </c>
      <c r="T128" s="657">
        <f t="shared" si="19"/>
        <v>0</v>
      </c>
      <c r="U128" s="657">
        <f t="shared" si="19"/>
        <v>0</v>
      </c>
      <c r="V128" s="657">
        <f t="shared" si="19"/>
        <v>0</v>
      </c>
      <c r="W128" s="657">
        <f t="shared" si="19"/>
        <v>0</v>
      </c>
      <c r="X128" s="657">
        <f t="shared" si="19"/>
        <v>0</v>
      </c>
      <c r="Y128" s="657">
        <f t="shared" si="19"/>
        <v>0</v>
      </c>
      <c r="Z128" s="657">
        <f t="shared" si="19"/>
        <v>0</v>
      </c>
    </row>
    <row r="129" spans="3:26" ht="16.5" customHeight="1" x14ac:dyDescent="0.2"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</row>
    <row r="130" spans="3:26" ht="16.5" customHeight="1" x14ac:dyDescent="0.25">
      <c r="C130" s="513"/>
      <c r="D130" s="651" t="str">
        <f>'User Input'!D169</f>
        <v xml:space="preserve">Option 5: </v>
      </c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</row>
    <row r="131" spans="3:26" ht="16.5" customHeight="1" x14ac:dyDescent="0.25">
      <c r="C131" s="513"/>
      <c r="D131" s="499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</row>
    <row r="132" spans="3:26" ht="16.5" customHeight="1" x14ac:dyDescent="0.25">
      <c r="C132" s="513"/>
      <c r="D132" s="654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</row>
    <row r="133" spans="3:26" ht="16.5" customHeight="1" x14ac:dyDescent="0.25">
      <c r="C133" s="513"/>
      <c r="D133" s="654"/>
      <c r="E133" s="655" t="s">
        <v>254</v>
      </c>
      <c r="F133" s="655">
        <f>'User Input'!$E$6</f>
        <v>2016</v>
      </c>
      <c r="G133" s="655">
        <f>F133+1</f>
        <v>2017</v>
      </c>
      <c r="H133" s="655">
        <f t="shared" ref="H133:Z133" si="20">G133+1</f>
        <v>2018</v>
      </c>
      <c r="I133" s="655">
        <f t="shared" si="20"/>
        <v>2019</v>
      </c>
      <c r="J133" s="655">
        <f t="shared" si="20"/>
        <v>2020</v>
      </c>
      <c r="K133" s="655">
        <f t="shared" si="20"/>
        <v>2021</v>
      </c>
      <c r="L133" s="655">
        <f t="shared" si="20"/>
        <v>2022</v>
      </c>
      <c r="M133" s="655">
        <f t="shared" si="20"/>
        <v>2023</v>
      </c>
      <c r="N133" s="655">
        <f t="shared" si="20"/>
        <v>2024</v>
      </c>
      <c r="O133" s="655">
        <f t="shared" si="20"/>
        <v>2025</v>
      </c>
      <c r="P133" s="655">
        <f t="shared" si="20"/>
        <v>2026</v>
      </c>
      <c r="Q133" s="655">
        <f t="shared" si="20"/>
        <v>2027</v>
      </c>
      <c r="R133" s="655">
        <f t="shared" si="20"/>
        <v>2028</v>
      </c>
      <c r="S133" s="655">
        <f t="shared" si="20"/>
        <v>2029</v>
      </c>
      <c r="T133" s="655">
        <f t="shared" si="20"/>
        <v>2030</v>
      </c>
      <c r="U133" s="655">
        <f t="shared" si="20"/>
        <v>2031</v>
      </c>
      <c r="V133" s="655">
        <f t="shared" si="20"/>
        <v>2032</v>
      </c>
      <c r="W133" s="655">
        <f t="shared" si="20"/>
        <v>2033</v>
      </c>
      <c r="X133" s="655">
        <f t="shared" si="20"/>
        <v>2034</v>
      </c>
      <c r="Y133" s="655">
        <f t="shared" si="20"/>
        <v>2035</v>
      </c>
      <c r="Z133" s="655">
        <f t="shared" si="20"/>
        <v>2036</v>
      </c>
    </row>
    <row r="134" spans="3:26" ht="16.5" customHeight="1" x14ac:dyDescent="0.2">
      <c r="C134" s="513"/>
      <c r="D134" s="656" t="str">
        <f>Calculations!C134</f>
        <v>Capital Costs</v>
      </c>
      <c r="E134" s="657">
        <f>SUM(F134:Z134)</f>
        <v>0</v>
      </c>
      <c r="F134" s="659">
        <f>Calculations!E134/Calculations!E$9</f>
        <v>0</v>
      </c>
      <c r="G134" s="659">
        <f>Calculations!F134/Calculations!F$9</f>
        <v>0</v>
      </c>
      <c r="H134" s="659">
        <f>Calculations!G134/Calculations!G$9</f>
        <v>0</v>
      </c>
      <c r="I134" s="659">
        <f>Calculations!H134/Calculations!H$9</f>
        <v>0</v>
      </c>
      <c r="J134" s="659">
        <f>Calculations!I134/Calculations!I$9</f>
        <v>0</v>
      </c>
      <c r="K134" s="659">
        <f>Calculations!J134/Calculations!J$9</f>
        <v>0</v>
      </c>
      <c r="L134" s="659">
        <f>Calculations!K134/Calculations!K$9</f>
        <v>0</v>
      </c>
      <c r="M134" s="659">
        <f>Calculations!L134/Calculations!L$9</f>
        <v>0</v>
      </c>
      <c r="N134" s="659">
        <f>Calculations!M134/Calculations!M$9</f>
        <v>0</v>
      </c>
      <c r="O134" s="659">
        <f>Calculations!N134/Calculations!N$9</f>
        <v>0</v>
      </c>
      <c r="P134" s="659">
        <f>Calculations!O134/Calculations!O$9</f>
        <v>0</v>
      </c>
      <c r="Q134" s="659">
        <f>Calculations!P134/Calculations!P$9</f>
        <v>0</v>
      </c>
      <c r="R134" s="659">
        <f>Calculations!Q134/Calculations!Q$9</f>
        <v>0</v>
      </c>
      <c r="S134" s="659">
        <f>Calculations!R134/Calculations!R$9</f>
        <v>0</v>
      </c>
      <c r="T134" s="659">
        <f>Calculations!S134/Calculations!S$9</f>
        <v>0</v>
      </c>
      <c r="U134" s="659">
        <f>Calculations!T134/Calculations!T$9</f>
        <v>0</v>
      </c>
      <c r="V134" s="659">
        <f>Calculations!U134/Calculations!U$9</f>
        <v>0</v>
      </c>
      <c r="W134" s="659">
        <f>Calculations!V134/Calculations!V$9</f>
        <v>0</v>
      </c>
      <c r="X134" s="659">
        <f>Calculations!W134/Calculations!W$9</f>
        <v>0</v>
      </c>
      <c r="Y134" s="659">
        <f>Calculations!X134/Calculations!X$9</f>
        <v>0</v>
      </c>
      <c r="Z134" s="659">
        <f>Calculations!Y134/Calculations!Y$9</f>
        <v>0</v>
      </c>
    </row>
    <row r="135" spans="3:26" ht="16.5" customHeight="1" x14ac:dyDescent="0.2">
      <c r="C135" s="513"/>
      <c r="D135" s="656" t="str">
        <f>Calculations!C135</f>
        <v>Maintenance Costs</v>
      </c>
      <c r="E135" s="657">
        <f>SUM(F135:Z135)</f>
        <v>0</v>
      </c>
      <c r="F135" s="659">
        <f>Calculations!E135/Calculations!E$9</f>
        <v>0</v>
      </c>
      <c r="G135" s="659">
        <f>Calculations!F135/Calculations!F$9</f>
        <v>0</v>
      </c>
      <c r="H135" s="659">
        <f>Calculations!G135/Calculations!G$9</f>
        <v>0</v>
      </c>
      <c r="I135" s="659">
        <f>Calculations!H135/Calculations!H$9</f>
        <v>0</v>
      </c>
      <c r="J135" s="659">
        <f>Calculations!I135/Calculations!I$9</f>
        <v>0</v>
      </c>
      <c r="K135" s="659">
        <f>Calculations!J135/Calculations!J$9</f>
        <v>0</v>
      </c>
      <c r="L135" s="659">
        <f>Calculations!K135/Calculations!K$9</f>
        <v>0</v>
      </c>
      <c r="M135" s="659">
        <f>Calculations!L135/Calculations!L$9</f>
        <v>0</v>
      </c>
      <c r="N135" s="659">
        <f>Calculations!M135/Calculations!M$9</f>
        <v>0</v>
      </c>
      <c r="O135" s="659">
        <f>Calculations!N135/Calculations!N$9</f>
        <v>0</v>
      </c>
      <c r="P135" s="659">
        <f>Calculations!O135/Calculations!O$9</f>
        <v>0</v>
      </c>
      <c r="Q135" s="659">
        <f>Calculations!P135/Calculations!P$9</f>
        <v>0</v>
      </c>
      <c r="R135" s="659">
        <f>Calculations!Q135/Calculations!Q$9</f>
        <v>0</v>
      </c>
      <c r="S135" s="659">
        <f>Calculations!R135/Calculations!R$9</f>
        <v>0</v>
      </c>
      <c r="T135" s="659">
        <f>Calculations!S135/Calculations!S$9</f>
        <v>0</v>
      </c>
      <c r="U135" s="659">
        <f>Calculations!T135/Calculations!T$9</f>
        <v>0</v>
      </c>
      <c r="V135" s="659">
        <f>Calculations!U135/Calculations!U$9</f>
        <v>0</v>
      </c>
      <c r="W135" s="659">
        <f>Calculations!V135/Calculations!V$9</f>
        <v>0</v>
      </c>
      <c r="X135" s="659">
        <f>Calculations!W135/Calculations!W$9</f>
        <v>0</v>
      </c>
      <c r="Y135" s="659">
        <f>Calculations!X135/Calculations!X$9</f>
        <v>0</v>
      </c>
      <c r="Z135" s="659">
        <f>Calculations!Y135/Calculations!Y$9</f>
        <v>0</v>
      </c>
    </row>
    <row r="136" spans="3:26" ht="16.5" customHeight="1" x14ac:dyDescent="0.2">
      <c r="C136" s="513"/>
      <c r="D136" s="656" t="str">
        <f>Calculations!C136</f>
        <v>Negative Impact on Revenue (STPIS)</v>
      </c>
      <c r="E136" s="657">
        <f t="shared" ref="E136:Z136" si="21">SUM(E137:E140)</f>
        <v>0</v>
      </c>
      <c r="F136" s="657">
        <f t="shared" si="21"/>
        <v>0</v>
      </c>
      <c r="G136" s="657">
        <f t="shared" si="21"/>
        <v>0</v>
      </c>
      <c r="H136" s="657">
        <f t="shared" si="21"/>
        <v>0</v>
      </c>
      <c r="I136" s="657">
        <f t="shared" si="21"/>
        <v>0</v>
      </c>
      <c r="J136" s="657">
        <f t="shared" si="21"/>
        <v>0</v>
      </c>
      <c r="K136" s="657">
        <f t="shared" si="21"/>
        <v>0</v>
      </c>
      <c r="L136" s="657">
        <f t="shared" si="21"/>
        <v>0</v>
      </c>
      <c r="M136" s="657">
        <f t="shared" si="21"/>
        <v>0</v>
      </c>
      <c r="N136" s="657">
        <f t="shared" si="21"/>
        <v>0</v>
      </c>
      <c r="O136" s="657">
        <f t="shared" si="21"/>
        <v>0</v>
      </c>
      <c r="P136" s="657">
        <f t="shared" si="21"/>
        <v>0</v>
      </c>
      <c r="Q136" s="657">
        <f t="shared" si="21"/>
        <v>0</v>
      </c>
      <c r="R136" s="657">
        <f t="shared" si="21"/>
        <v>0</v>
      </c>
      <c r="S136" s="657">
        <f t="shared" si="21"/>
        <v>0</v>
      </c>
      <c r="T136" s="657">
        <f t="shared" si="21"/>
        <v>0</v>
      </c>
      <c r="U136" s="657">
        <f t="shared" si="21"/>
        <v>0</v>
      </c>
      <c r="V136" s="657">
        <f t="shared" si="21"/>
        <v>0</v>
      </c>
      <c r="W136" s="657">
        <f t="shared" si="21"/>
        <v>0</v>
      </c>
      <c r="X136" s="657">
        <f t="shared" si="21"/>
        <v>0</v>
      </c>
      <c r="Y136" s="657">
        <f t="shared" si="21"/>
        <v>0</v>
      </c>
      <c r="Z136" s="657">
        <f t="shared" si="21"/>
        <v>0</v>
      </c>
    </row>
    <row r="137" spans="3:26" ht="16.5" customHeight="1" x14ac:dyDescent="0.2">
      <c r="C137" s="513"/>
      <c r="D137" s="660" t="str">
        <f>Calculations!C137</f>
        <v>SAIFI sustained</v>
      </c>
      <c r="E137" s="657">
        <f t="shared" ref="E137:E152" si="22">SUM(F137:Z137)</f>
        <v>0</v>
      </c>
      <c r="F137" s="659">
        <f>Calculations!E137/Calculations!E$9</f>
        <v>0</v>
      </c>
      <c r="G137" s="659">
        <f>Calculations!F137/Calculations!F$9</f>
        <v>0</v>
      </c>
      <c r="H137" s="659">
        <f>Calculations!G137/Calculations!G$9</f>
        <v>0</v>
      </c>
      <c r="I137" s="659">
        <f>Calculations!H137/Calculations!H$9</f>
        <v>0</v>
      </c>
      <c r="J137" s="659">
        <f>Calculations!I137/Calculations!I$9</f>
        <v>0</v>
      </c>
      <c r="K137" s="659">
        <f>Calculations!J137/Calculations!J$9</f>
        <v>0</v>
      </c>
      <c r="L137" s="659">
        <f>Calculations!K137/Calculations!K$9</f>
        <v>0</v>
      </c>
      <c r="M137" s="659">
        <f>Calculations!L137/Calculations!L$9</f>
        <v>0</v>
      </c>
      <c r="N137" s="659">
        <f>Calculations!M137/Calculations!M$9</f>
        <v>0</v>
      </c>
      <c r="O137" s="659">
        <f>Calculations!N137/Calculations!N$9</f>
        <v>0</v>
      </c>
      <c r="P137" s="659">
        <f>Calculations!O137/Calculations!O$9</f>
        <v>0</v>
      </c>
      <c r="Q137" s="659">
        <f>Calculations!P137/Calculations!P$9</f>
        <v>0</v>
      </c>
      <c r="R137" s="659">
        <f>Calculations!Q137/Calculations!Q$9</f>
        <v>0</v>
      </c>
      <c r="S137" s="659">
        <f>Calculations!R137/Calculations!R$9</f>
        <v>0</v>
      </c>
      <c r="T137" s="659">
        <f>Calculations!S137/Calculations!S$9</f>
        <v>0</v>
      </c>
      <c r="U137" s="659">
        <f>Calculations!T137/Calculations!T$9</f>
        <v>0</v>
      </c>
      <c r="V137" s="659">
        <f>Calculations!U137/Calculations!U$9</f>
        <v>0</v>
      </c>
      <c r="W137" s="659">
        <f>Calculations!V137/Calculations!V$9</f>
        <v>0</v>
      </c>
      <c r="X137" s="659">
        <f>Calculations!W137/Calculations!W$9</f>
        <v>0</v>
      </c>
      <c r="Y137" s="659">
        <f>Calculations!X137/Calculations!X$9</f>
        <v>0</v>
      </c>
      <c r="Z137" s="659">
        <f>Calculations!Y137/Calculations!Y$9</f>
        <v>0</v>
      </c>
    </row>
    <row r="138" spans="3:26" ht="16.5" customHeight="1" x14ac:dyDescent="0.2">
      <c r="C138" s="513"/>
      <c r="D138" s="660" t="str">
        <f>Calculations!C138</f>
        <v>SAIDI accidental</v>
      </c>
      <c r="E138" s="657">
        <f t="shared" si="22"/>
        <v>0</v>
      </c>
      <c r="F138" s="659">
        <f>Calculations!E138/Calculations!E$9</f>
        <v>0</v>
      </c>
      <c r="G138" s="659">
        <f>Calculations!F138/Calculations!F$9</f>
        <v>0</v>
      </c>
      <c r="H138" s="659">
        <f>Calculations!G138/Calculations!G$9</f>
        <v>0</v>
      </c>
      <c r="I138" s="659">
        <f>Calculations!H138/Calculations!H$9</f>
        <v>0</v>
      </c>
      <c r="J138" s="659">
        <f>Calculations!I138/Calculations!I$9</f>
        <v>0</v>
      </c>
      <c r="K138" s="659">
        <f>Calculations!J138/Calculations!J$9</f>
        <v>0</v>
      </c>
      <c r="L138" s="659">
        <f>Calculations!K138/Calculations!K$9</f>
        <v>0</v>
      </c>
      <c r="M138" s="659">
        <f>Calculations!L138/Calculations!L$9</f>
        <v>0</v>
      </c>
      <c r="N138" s="659">
        <f>Calculations!M138/Calculations!M$9</f>
        <v>0</v>
      </c>
      <c r="O138" s="659">
        <f>Calculations!N138/Calculations!N$9</f>
        <v>0</v>
      </c>
      <c r="P138" s="659">
        <f>Calculations!O138/Calculations!O$9</f>
        <v>0</v>
      </c>
      <c r="Q138" s="659">
        <f>Calculations!P138/Calculations!P$9</f>
        <v>0</v>
      </c>
      <c r="R138" s="659">
        <f>Calculations!Q138/Calculations!Q$9</f>
        <v>0</v>
      </c>
      <c r="S138" s="659">
        <f>Calculations!R138/Calculations!R$9</f>
        <v>0</v>
      </c>
      <c r="T138" s="659">
        <f>Calculations!S138/Calculations!S$9</f>
        <v>0</v>
      </c>
      <c r="U138" s="659">
        <f>Calculations!T138/Calculations!T$9</f>
        <v>0</v>
      </c>
      <c r="V138" s="659">
        <f>Calculations!U138/Calculations!U$9</f>
        <v>0</v>
      </c>
      <c r="W138" s="659">
        <f>Calculations!V138/Calculations!V$9</f>
        <v>0</v>
      </c>
      <c r="X138" s="659">
        <f>Calculations!W138/Calculations!W$9</f>
        <v>0</v>
      </c>
      <c r="Y138" s="659">
        <f>Calculations!X138/Calculations!X$9</f>
        <v>0</v>
      </c>
      <c r="Z138" s="659">
        <f>Calculations!Y138/Calculations!Y$9</f>
        <v>0</v>
      </c>
    </row>
    <row r="139" spans="3:26" ht="16.5" customHeight="1" x14ac:dyDescent="0.2">
      <c r="C139" s="513"/>
      <c r="D139" s="660" t="str">
        <f>Calculations!C139</f>
        <v>MAIFI momentary</v>
      </c>
      <c r="E139" s="657">
        <f t="shared" si="22"/>
        <v>0</v>
      </c>
      <c r="F139" s="659">
        <f>Calculations!E139/Calculations!E$9</f>
        <v>0</v>
      </c>
      <c r="G139" s="659">
        <f>Calculations!F139/Calculations!F$9</f>
        <v>0</v>
      </c>
      <c r="H139" s="659">
        <f>Calculations!G139/Calculations!G$9</f>
        <v>0</v>
      </c>
      <c r="I139" s="659">
        <f>Calculations!H139/Calculations!H$9</f>
        <v>0</v>
      </c>
      <c r="J139" s="659">
        <f>Calculations!I139/Calculations!I$9</f>
        <v>0</v>
      </c>
      <c r="K139" s="659">
        <f>Calculations!J139/Calculations!J$9</f>
        <v>0</v>
      </c>
      <c r="L139" s="659">
        <f>Calculations!K139/Calculations!K$9</f>
        <v>0</v>
      </c>
      <c r="M139" s="659">
        <f>Calculations!L139/Calculations!L$9</f>
        <v>0</v>
      </c>
      <c r="N139" s="659">
        <f>Calculations!M139/Calculations!M$9</f>
        <v>0</v>
      </c>
      <c r="O139" s="659">
        <f>Calculations!N139/Calculations!N$9</f>
        <v>0</v>
      </c>
      <c r="P139" s="659">
        <f>Calculations!O139/Calculations!O$9</f>
        <v>0</v>
      </c>
      <c r="Q139" s="659">
        <f>Calculations!P139/Calculations!P$9</f>
        <v>0</v>
      </c>
      <c r="R139" s="659">
        <f>Calculations!Q139/Calculations!Q$9</f>
        <v>0</v>
      </c>
      <c r="S139" s="659">
        <f>Calculations!R139/Calculations!R$9</f>
        <v>0</v>
      </c>
      <c r="T139" s="659">
        <f>Calculations!S139/Calculations!S$9</f>
        <v>0</v>
      </c>
      <c r="U139" s="659">
        <f>Calculations!T139/Calculations!T$9</f>
        <v>0</v>
      </c>
      <c r="V139" s="659">
        <f>Calculations!U139/Calculations!U$9</f>
        <v>0</v>
      </c>
      <c r="W139" s="659">
        <f>Calculations!V139/Calculations!V$9</f>
        <v>0</v>
      </c>
      <c r="X139" s="659">
        <f>Calculations!W139/Calculations!W$9</f>
        <v>0</v>
      </c>
      <c r="Y139" s="659">
        <f>Calculations!X139/Calculations!X$9</f>
        <v>0</v>
      </c>
      <c r="Z139" s="659">
        <f>Calculations!Y139/Calculations!Y$9</f>
        <v>0</v>
      </c>
    </row>
    <row r="140" spans="3:26" ht="16.5" customHeight="1" x14ac:dyDescent="0.2">
      <c r="C140" s="513"/>
      <c r="D140" s="660" t="str">
        <f>Calculations!C140</f>
        <v>Call centre response</v>
      </c>
      <c r="E140" s="657">
        <f t="shared" si="22"/>
        <v>0</v>
      </c>
      <c r="F140" s="659">
        <f>Calculations!E140/Calculations!E$9</f>
        <v>0</v>
      </c>
      <c r="G140" s="659">
        <f>Calculations!F140/Calculations!F$9</f>
        <v>0</v>
      </c>
      <c r="H140" s="659">
        <f>Calculations!G140/Calculations!G$9</f>
        <v>0</v>
      </c>
      <c r="I140" s="659">
        <f>Calculations!H140/Calculations!H$9</f>
        <v>0</v>
      </c>
      <c r="J140" s="659">
        <f>Calculations!I140/Calculations!I$9</f>
        <v>0</v>
      </c>
      <c r="K140" s="659">
        <f>Calculations!J140/Calculations!J$9</f>
        <v>0</v>
      </c>
      <c r="L140" s="659">
        <f>Calculations!K140/Calculations!K$9</f>
        <v>0</v>
      </c>
      <c r="M140" s="659">
        <f>Calculations!L140/Calculations!L$9</f>
        <v>0</v>
      </c>
      <c r="N140" s="659">
        <f>Calculations!M140/Calculations!M$9</f>
        <v>0</v>
      </c>
      <c r="O140" s="659">
        <f>Calculations!N140/Calculations!N$9</f>
        <v>0</v>
      </c>
      <c r="P140" s="659">
        <f>Calculations!O140/Calculations!O$9</f>
        <v>0</v>
      </c>
      <c r="Q140" s="659">
        <f>Calculations!P140/Calculations!P$9</f>
        <v>0</v>
      </c>
      <c r="R140" s="659">
        <f>Calculations!Q140/Calculations!Q$9</f>
        <v>0</v>
      </c>
      <c r="S140" s="659">
        <f>Calculations!R140/Calculations!R$9</f>
        <v>0</v>
      </c>
      <c r="T140" s="659">
        <f>Calculations!S140/Calculations!S$9</f>
        <v>0</v>
      </c>
      <c r="U140" s="659">
        <f>Calculations!T140/Calculations!T$9</f>
        <v>0</v>
      </c>
      <c r="V140" s="659">
        <f>Calculations!U140/Calculations!U$9</f>
        <v>0</v>
      </c>
      <c r="W140" s="659">
        <f>Calculations!V140/Calculations!V$9</f>
        <v>0</v>
      </c>
      <c r="X140" s="659">
        <f>Calculations!W140/Calculations!W$9</f>
        <v>0</v>
      </c>
      <c r="Y140" s="659">
        <f>Calculations!X140/Calculations!X$9</f>
        <v>0</v>
      </c>
      <c r="Z140" s="659">
        <f>Calculations!Y140/Calculations!Y$9</f>
        <v>0</v>
      </c>
    </row>
    <row r="141" spans="3:26" ht="16.5" customHeight="1" x14ac:dyDescent="0.2">
      <c r="C141" s="513"/>
      <c r="D141" s="656" t="str">
        <f>Calculations!C141</f>
        <v>Network Outage Costs</v>
      </c>
      <c r="E141" s="657">
        <f t="shared" si="22"/>
        <v>0</v>
      </c>
      <c r="F141" s="659">
        <f>Calculations!E141/Calculations!E$9</f>
        <v>0</v>
      </c>
      <c r="G141" s="659">
        <f>Calculations!F141/Calculations!F$9</f>
        <v>0</v>
      </c>
      <c r="H141" s="659">
        <f>Calculations!G141/Calculations!G$9</f>
        <v>0</v>
      </c>
      <c r="I141" s="659">
        <f>Calculations!H141/Calculations!H$9</f>
        <v>0</v>
      </c>
      <c r="J141" s="659">
        <f>Calculations!I141/Calculations!I$9</f>
        <v>0</v>
      </c>
      <c r="K141" s="659">
        <f>Calculations!J141/Calculations!J$9</f>
        <v>0</v>
      </c>
      <c r="L141" s="659">
        <f>Calculations!K141/Calculations!K$9</f>
        <v>0</v>
      </c>
      <c r="M141" s="659">
        <f>Calculations!L141/Calculations!L$9</f>
        <v>0</v>
      </c>
      <c r="N141" s="659">
        <f>Calculations!M141/Calculations!M$9</f>
        <v>0</v>
      </c>
      <c r="O141" s="659">
        <f>Calculations!N141/Calculations!N$9</f>
        <v>0</v>
      </c>
      <c r="P141" s="659">
        <f>Calculations!O141/Calculations!O$9</f>
        <v>0</v>
      </c>
      <c r="Q141" s="659">
        <f>Calculations!P141/Calculations!P$9</f>
        <v>0</v>
      </c>
      <c r="R141" s="659">
        <f>Calculations!Q141/Calculations!Q$9</f>
        <v>0</v>
      </c>
      <c r="S141" s="659">
        <f>Calculations!R141/Calculations!R$9</f>
        <v>0</v>
      </c>
      <c r="T141" s="659">
        <f>Calculations!S141/Calculations!S$9</f>
        <v>0</v>
      </c>
      <c r="U141" s="659">
        <f>Calculations!T141/Calculations!T$9</f>
        <v>0</v>
      </c>
      <c r="V141" s="659">
        <f>Calculations!U141/Calculations!U$9</f>
        <v>0</v>
      </c>
      <c r="W141" s="659">
        <f>Calculations!V141/Calculations!V$9</f>
        <v>0</v>
      </c>
      <c r="X141" s="659">
        <f>Calculations!W141/Calculations!W$9</f>
        <v>0</v>
      </c>
      <c r="Y141" s="659">
        <f>Calculations!X141/Calculations!X$9</f>
        <v>0</v>
      </c>
      <c r="Z141" s="659">
        <f>Calculations!Y141/Calculations!Y$9</f>
        <v>0</v>
      </c>
    </row>
    <row r="142" spans="3:26" ht="16.5" customHeight="1" x14ac:dyDescent="0.2">
      <c r="C142" s="513"/>
      <c r="D142" s="656" t="str">
        <f>Calculations!C142</f>
        <v>Loss of F Factor Benefit</v>
      </c>
      <c r="E142" s="657">
        <f t="shared" si="22"/>
        <v>0</v>
      </c>
      <c r="F142" s="659">
        <f>Calculations!E142/Calculations!E$9</f>
        <v>0</v>
      </c>
      <c r="G142" s="659">
        <f>Calculations!F142/Calculations!F$9</f>
        <v>0</v>
      </c>
      <c r="H142" s="659">
        <f>Calculations!G142/Calculations!G$9</f>
        <v>0</v>
      </c>
      <c r="I142" s="659">
        <f>Calculations!H142/Calculations!H$9</f>
        <v>0</v>
      </c>
      <c r="J142" s="659">
        <f>Calculations!I142/Calculations!I$9</f>
        <v>0</v>
      </c>
      <c r="K142" s="659">
        <f>Calculations!J142/Calculations!J$9</f>
        <v>0</v>
      </c>
      <c r="L142" s="659">
        <f>Calculations!K142/Calculations!K$9</f>
        <v>0</v>
      </c>
      <c r="M142" s="659">
        <f>Calculations!L142/Calculations!L$9</f>
        <v>0</v>
      </c>
      <c r="N142" s="659">
        <f>Calculations!M142/Calculations!M$9</f>
        <v>0</v>
      </c>
      <c r="O142" s="659">
        <f>Calculations!N142/Calculations!N$9</f>
        <v>0</v>
      </c>
      <c r="P142" s="659">
        <f>Calculations!O142/Calculations!O$9</f>
        <v>0</v>
      </c>
      <c r="Q142" s="659">
        <f>Calculations!P142/Calculations!P$9</f>
        <v>0</v>
      </c>
      <c r="R142" s="659">
        <f>Calculations!Q142/Calculations!Q$9</f>
        <v>0</v>
      </c>
      <c r="S142" s="659">
        <f>Calculations!R142/Calculations!R$9</f>
        <v>0</v>
      </c>
      <c r="T142" s="659">
        <f>Calculations!S142/Calculations!S$9</f>
        <v>0</v>
      </c>
      <c r="U142" s="659">
        <f>Calculations!T142/Calculations!T$9</f>
        <v>0</v>
      </c>
      <c r="V142" s="659">
        <f>Calculations!U142/Calculations!U$9</f>
        <v>0</v>
      </c>
      <c r="W142" s="659">
        <f>Calculations!V142/Calculations!V$9</f>
        <v>0</v>
      </c>
      <c r="X142" s="659">
        <f>Calculations!W142/Calculations!W$9</f>
        <v>0</v>
      </c>
      <c r="Y142" s="659">
        <f>Calculations!X142/Calculations!X$9</f>
        <v>0</v>
      </c>
      <c r="Z142" s="659">
        <f>Calculations!Y142/Calculations!Y$9</f>
        <v>0</v>
      </c>
    </row>
    <row r="143" spans="3:26" ht="16.5" customHeight="1" x14ac:dyDescent="0.2">
      <c r="C143" s="513"/>
      <c r="D143" s="656" t="str">
        <f>Calculations!C143</f>
        <v>Cost 1</v>
      </c>
      <c r="E143" s="657">
        <f t="shared" si="22"/>
        <v>0</v>
      </c>
      <c r="F143" s="659">
        <f>Calculations!E143/Calculations!E$9</f>
        <v>0</v>
      </c>
      <c r="G143" s="659">
        <f>Calculations!F143/Calculations!F$9</f>
        <v>0</v>
      </c>
      <c r="H143" s="659">
        <f>Calculations!G143/Calculations!G$9</f>
        <v>0</v>
      </c>
      <c r="I143" s="659">
        <f>Calculations!H143/Calculations!H$9</f>
        <v>0</v>
      </c>
      <c r="J143" s="659">
        <f>Calculations!I143/Calculations!I$9</f>
        <v>0</v>
      </c>
      <c r="K143" s="659">
        <f>Calculations!J143/Calculations!J$9</f>
        <v>0</v>
      </c>
      <c r="L143" s="659">
        <f>Calculations!K143/Calculations!K$9</f>
        <v>0</v>
      </c>
      <c r="M143" s="659">
        <f>Calculations!L143/Calculations!L$9</f>
        <v>0</v>
      </c>
      <c r="N143" s="659">
        <f>Calculations!M143/Calculations!M$9</f>
        <v>0</v>
      </c>
      <c r="O143" s="659">
        <f>Calculations!N143/Calculations!N$9</f>
        <v>0</v>
      </c>
      <c r="P143" s="659">
        <f>Calculations!O143/Calculations!O$9</f>
        <v>0</v>
      </c>
      <c r="Q143" s="659">
        <f>Calculations!P143/Calculations!P$9</f>
        <v>0</v>
      </c>
      <c r="R143" s="659">
        <f>Calculations!Q143/Calculations!Q$9</f>
        <v>0</v>
      </c>
      <c r="S143" s="659">
        <f>Calculations!R143/Calculations!R$9</f>
        <v>0</v>
      </c>
      <c r="T143" s="659">
        <f>Calculations!S143/Calculations!S$9</f>
        <v>0</v>
      </c>
      <c r="U143" s="659">
        <f>Calculations!T143/Calculations!T$9</f>
        <v>0</v>
      </c>
      <c r="V143" s="659">
        <f>Calculations!U143/Calculations!U$9</f>
        <v>0</v>
      </c>
      <c r="W143" s="659">
        <f>Calculations!V143/Calculations!V$9</f>
        <v>0</v>
      </c>
      <c r="X143" s="659">
        <f>Calculations!W143/Calculations!W$9</f>
        <v>0</v>
      </c>
      <c r="Y143" s="659">
        <f>Calculations!X143/Calculations!X$9</f>
        <v>0</v>
      </c>
      <c r="Z143" s="659">
        <f>Calculations!Y143/Calculations!Y$9</f>
        <v>0</v>
      </c>
    </row>
    <row r="144" spans="3:26" ht="16.5" customHeight="1" x14ac:dyDescent="0.2">
      <c r="C144" s="513"/>
      <c r="D144" s="656" t="str">
        <f>Calculations!C144</f>
        <v>Cost 2</v>
      </c>
      <c r="E144" s="657">
        <f t="shared" si="22"/>
        <v>0</v>
      </c>
      <c r="F144" s="659">
        <f>Calculations!E144/Calculations!E$9</f>
        <v>0</v>
      </c>
      <c r="G144" s="659">
        <f>Calculations!F144/Calculations!F$9</f>
        <v>0</v>
      </c>
      <c r="H144" s="659">
        <f>Calculations!G144/Calculations!G$9</f>
        <v>0</v>
      </c>
      <c r="I144" s="659">
        <f>Calculations!H144/Calculations!H$9</f>
        <v>0</v>
      </c>
      <c r="J144" s="659">
        <f>Calculations!I144/Calculations!I$9</f>
        <v>0</v>
      </c>
      <c r="K144" s="659">
        <f>Calculations!J144/Calculations!J$9</f>
        <v>0</v>
      </c>
      <c r="L144" s="659">
        <f>Calculations!K144/Calculations!K$9</f>
        <v>0</v>
      </c>
      <c r="M144" s="659">
        <f>Calculations!L144/Calculations!L$9</f>
        <v>0</v>
      </c>
      <c r="N144" s="659">
        <f>Calculations!M144/Calculations!M$9</f>
        <v>0</v>
      </c>
      <c r="O144" s="659">
        <f>Calculations!N144/Calculations!N$9</f>
        <v>0</v>
      </c>
      <c r="P144" s="659">
        <f>Calculations!O144/Calculations!O$9</f>
        <v>0</v>
      </c>
      <c r="Q144" s="659">
        <f>Calculations!P144/Calculations!P$9</f>
        <v>0</v>
      </c>
      <c r="R144" s="659">
        <f>Calculations!Q144/Calculations!Q$9</f>
        <v>0</v>
      </c>
      <c r="S144" s="659">
        <f>Calculations!R144/Calculations!R$9</f>
        <v>0</v>
      </c>
      <c r="T144" s="659">
        <f>Calculations!S144/Calculations!S$9</f>
        <v>0</v>
      </c>
      <c r="U144" s="659">
        <f>Calculations!T144/Calculations!T$9</f>
        <v>0</v>
      </c>
      <c r="V144" s="659">
        <f>Calculations!U144/Calculations!U$9</f>
        <v>0</v>
      </c>
      <c r="W144" s="659">
        <f>Calculations!V144/Calculations!V$9</f>
        <v>0</v>
      </c>
      <c r="X144" s="659">
        <f>Calculations!W144/Calculations!W$9</f>
        <v>0</v>
      </c>
      <c r="Y144" s="659">
        <f>Calculations!X144/Calculations!X$9</f>
        <v>0</v>
      </c>
      <c r="Z144" s="659">
        <f>Calculations!Y144/Calculations!Y$9</f>
        <v>0</v>
      </c>
    </row>
    <row r="145" spans="3:26" ht="16.5" customHeight="1" x14ac:dyDescent="0.2">
      <c r="C145" s="513"/>
      <c r="D145" s="656" t="str">
        <f>Calculations!C145</f>
        <v>Cost 3</v>
      </c>
      <c r="E145" s="657">
        <f t="shared" si="22"/>
        <v>0</v>
      </c>
      <c r="F145" s="659">
        <f>Calculations!E145/Calculations!E$9</f>
        <v>0</v>
      </c>
      <c r="G145" s="659">
        <f>Calculations!F145/Calculations!F$9</f>
        <v>0</v>
      </c>
      <c r="H145" s="659">
        <f>Calculations!G145/Calculations!G$9</f>
        <v>0</v>
      </c>
      <c r="I145" s="659">
        <f>Calculations!H145/Calculations!H$9</f>
        <v>0</v>
      </c>
      <c r="J145" s="659">
        <f>Calculations!I145/Calculations!I$9</f>
        <v>0</v>
      </c>
      <c r="K145" s="659">
        <f>Calculations!J145/Calculations!J$9</f>
        <v>0</v>
      </c>
      <c r="L145" s="659">
        <f>Calculations!K145/Calculations!K$9</f>
        <v>0</v>
      </c>
      <c r="M145" s="659">
        <f>Calculations!L145/Calculations!L$9</f>
        <v>0</v>
      </c>
      <c r="N145" s="659">
        <f>Calculations!M145/Calculations!M$9</f>
        <v>0</v>
      </c>
      <c r="O145" s="659">
        <f>Calculations!N145/Calculations!N$9</f>
        <v>0</v>
      </c>
      <c r="P145" s="659">
        <f>Calculations!O145/Calculations!O$9</f>
        <v>0</v>
      </c>
      <c r="Q145" s="659">
        <f>Calculations!P145/Calculations!P$9</f>
        <v>0</v>
      </c>
      <c r="R145" s="659">
        <f>Calculations!Q145/Calculations!Q$9</f>
        <v>0</v>
      </c>
      <c r="S145" s="659">
        <f>Calculations!R145/Calculations!R$9</f>
        <v>0</v>
      </c>
      <c r="T145" s="659">
        <f>Calculations!S145/Calculations!S$9</f>
        <v>0</v>
      </c>
      <c r="U145" s="659">
        <f>Calculations!T145/Calculations!T$9</f>
        <v>0</v>
      </c>
      <c r="V145" s="659">
        <f>Calculations!U145/Calculations!U$9</f>
        <v>0</v>
      </c>
      <c r="W145" s="659">
        <f>Calculations!V145/Calculations!V$9</f>
        <v>0</v>
      </c>
      <c r="X145" s="659">
        <f>Calculations!W145/Calculations!W$9</f>
        <v>0</v>
      </c>
      <c r="Y145" s="659">
        <f>Calculations!X145/Calculations!X$9</f>
        <v>0</v>
      </c>
      <c r="Z145" s="659">
        <f>Calculations!Y145/Calculations!Y$9</f>
        <v>0</v>
      </c>
    </row>
    <row r="146" spans="3:26" ht="16.5" customHeight="1" x14ac:dyDescent="0.2">
      <c r="C146" s="513"/>
      <c r="D146" s="656" t="str">
        <f>Calculations!C146</f>
        <v>Cost 4</v>
      </c>
      <c r="E146" s="657">
        <f t="shared" si="22"/>
        <v>0</v>
      </c>
      <c r="F146" s="659">
        <f>Calculations!E146/Calculations!E$9</f>
        <v>0</v>
      </c>
      <c r="G146" s="659">
        <f>Calculations!F146/Calculations!F$9</f>
        <v>0</v>
      </c>
      <c r="H146" s="659">
        <f>Calculations!G146/Calculations!G$9</f>
        <v>0</v>
      </c>
      <c r="I146" s="659">
        <f>Calculations!H146/Calculations!H$9</f>
        <v>0</v>
      </c>
      <c r="J146" s="659">
        <f>Calculations!I146/Calculations!I$9</f>
        <v>0</v>
      </c>
      <c r="K146" s="659">
        <f>Calculations!J146/Calculations!J$9</f>
        <v>0</v>
      </c>
      <c r="L146" s="659">
        <f>Calculations!K146/Calculations!K$9</f>
        <v>0</v>
      </c>
      <c r="M146" s="659">
        <f>Calculations!L146/Calculations!L$9</f>
        <v>0</v>
      </c>
      <c r="N146" s="659">
        <f>Calculations!M146/Calculations!M$9</f>
        <v>0</v>
      </c>
      <c r="O146" s="659">
        <f>Calculations!N146/Calculations!N$9</f>
        <v>0</v>
      </c>
      <c r="P146" s="659">
        <f>Calculations!O146/Calculations!O$9</f>
        <v>0</v>
      </c>
      <c r="Q146" s="659">
        <f>Calculations!P146/Calculations!P$9</f>
        <v>0</v>
      </c>
      <c r="R146" s="659">
        <f>Calculations!Q146/Calculations!Q$9</f>
        <v>0</v>
      </c>
      <c r="S146" s="659">
        <f>Calculations!R146/Calculations!R$9</f>
        <v>0</v>
      </c>
      <c r="T146" s="659">
        <f>Calculations!S146/Calculations!S$9</f>
        <v>0</v>
      </c>
      <c r="U146" s="659">
        <f>Calculations!T146/Calculations!T$9</f>
        <v>0</v>
      </c>
      <c r="V146" s="659">
        <f>Calculations!U146/Calculations!U$9</f>
        <v>0</v>
      </c>
      <c r="W146" s="659">
        <f>Calculations!V146/Calculations!V$9</f>
        <v>0</v>
      </c>
      <c r="X146" s="659">
        <f>Calculations!W146/Calculations!W$9</f>
        <v>0</v>
      </c>
      <c r="Y146" s="659">
        <f>Calculations!X146/Calculations!X$9</f>
        <v>0</v>
      </c>
      <c r="Z146" s="659">
        <f>Calculations!Y146/Calculations!Y$9</f>
        <v>0</v>
      </c>
    </row>
    <row r="147" spans="3:26" ht="16.5" customHeight="1" x14ac:dyDescent="0.2">
      <c r="C147" s="513"/>
      <c r="D147" s="656" t="str">
        <f>Calculations!C147</f>
        <v>Cost 5</v>
      </c>
      <c r="E147" s="657">
        <f t="shared" si="22"/>
        <v>0</v>
      </c>
      <c r="F147" s="659">
        <f>Calculations!E147/Calculations!E$9</f>
        <v>0</v>
      </c>
      <c r="G147" s="659">
        <f>Calculations!F147/Calculations!F$9</f>
        <v>0</v>
      </c>
      <c r="H147" s="659">
        <f>Calculations!G147/Calculations!G$9</f>
        <v>0</v>
      </c>
      <c r="I147" s="659">
        <f>Calculations!H147/Calculations!H$9</f>
        <v>0</v>
      </c>
      <c r="J147" s="659">
        <f>Calculations!I147/Calculations!I$9</f>
        <v>0</v>
      </c>
      <c r="K147" s="659">
        <f>Calculations!J147/Calculations!J$9</f>
        <v>0</v>
      </c>
      <c r="L147" s="659">
        <f>Calculations!K147/Calculations!K$9</f>
        <v>0</v>
      </c>
      <c r="M147" s="659">
        <f>Calculations!L147/Calculations!L$9</f>
        <v>0</v>
      </c>
      <c r="N147" s="659">
        <f>Calculations!M147/Calculations!M$9</f>
        <v>0</v>
      </c>
      <c r="O147" s="659">
        <f>Calculations!N147/Calculations!N$9</f>
        <v>0</v>
      </c>
      <c r="P147" s="659">
        <f>Calculations!O147/Calculations!O$9</f>
        <v>0</v>
      </c>
      <c r="Q147" s="659">
        <f>Calculations!P147/Calculations!P$9</f>
        <v>0</v>
      </c>
      <c r="R147" s="659">
        <f>Calculations!Q147/Calculations!Q$9</f>
        <v>0</v>
      </c>
      <c r="S147" s="659">
        <f>Calculations!R147/Calculations!R$9</f>
        <v>0</v>
      </c>
      <c r="T147" s="659">
        <f>Calculations!S147/Calculations!S$9</f>
        <v>0</v>
      </c>
      <c r="U147" s="659">
        <f>Calculations!T147/Calculations!T$9</f>
        <v>0</v>
      </c>
      <c r="V147" s="659">
        <f>Calculations!U147/Calculations!U$9</f>
        <v>0</v>
      </c>
      <c r="W147" s="659">
        <f>Calculations!V147/Calculations!V$9</f>
        <v>0</v>
      </c>
      <c r="X147" s="659">
        <f>Calculations!W147/Calculations!W$9</f>
        <v>0</v>
      </c>
      <c r="Y147" s="659">
        <f>Calculations!X147/Calculations!X$9</f>
        <v>0</v>
      </c>
      <c r="Z147" s="659">
        <f>Calculations!Y147/Calculations!Y$9</f>
        <v>0</v>
      </c>
    </row>
    <row r="148" spans="3:26" ht="16.5" customHeight="1" x14ac:dyDescent="0.2">
      <c r="C148" s="513"/>
      <c r="D148" s="656" t="str">
        <f>Calculations!C148</f>
        <v>Risk 1</v>
      </c>
      <c r="E148" s="657">
        <f t="shared" si="22"/>
        <v>0</v>
      </c>
      <c r="F148" s="659">
        <f>Calculations!E148/Calculations!E$9</f>
        <v>0</v>
      </c>
      <c r="G148" s="659">
        <f>Calculations!F148/Calculations!F$9</f>
        <v>0</v>
      </c>
      <c r="H148" s="659">
        <f>Calculations!G148/Calculations!G$9</f>
        <v>0</v>
      </c>
      <c r="I148" s="659">
        <f>Calculations!H148/Calculations!H$9</f>
        <v>0</v>
      </c>
      <c r="J148" s="659">
        <f>Calculations!I148/Calculations!I$9</f>
        <v>0</v>
      </c>
      <c r="K148" s="659">
        <f>Calculations!J148/Calculations!J$9</f>
        <v>0</v>
      </c>
      <c r="L148" s="659">
        <f>Calculations!K148/Calculations!K$9</f>
        <v>0</v>
      </c>
      <c r="M148" s="659">
        <f>Calculations!L148/Calculations!L$9</f>
        <v>0</v>
      </c>
      <c r="N148" s="659">
        <f>Calculations!M148/Calculations!M$9</f>
        <v>0</v>
      </c>
      <c r="O148" s="659">
        <f>Calculations!N148/Calculations!N$9</f>
        <v>0</v>
      </c>
      <c r="P148" s="659">
        <f>Calculations!O148/Calculations!O$9</f>
        <v>0</v>
      </c>
      <c r="Q148" s="659">
        <f>Calculations!P148/Calculations!P$9</f>
        <v>0</v>
      </c>
      <c r="R148" s="659">
        <f>Calculations!Q148/Calculations!Q$9</f>
        <v>0</v>
      </c>
      <c r="S148" s="659">
        <f>Calculations!R148/Calculations!R$9</f>
        <v>0</v>
      </c>
      <c r="T148" s="659">
        <f>Calculations!S148/Calculations!S$9</f>
        <v>0</v>
      </c>
      <c r="U148" s="659">
        <f>Calculations!T148/Calculations!T$9</f>
        <v>0</v>
      </c>
      <c r="V148" s="659">
        <f>Calculations!U148/Calculations!U$9</f>
        <v>0</v>
      </c>
      <c r="W148" s="659">
        <f>Calculations!V148/Calculations!V$9</f>
        <v>0</v>
      </c>
      <c r="X148" s="659">
        <f>Calculations!W148/Calculations!W$9</f>
        <v>0</v>
      </c>
      <c r="Y148" s="659">
        <f>Calculations!X148/Calculations!X$9</f>
        <v>0</v>
      </c>
      <c r="Z148" s="659">
        <f>Calculations!Y148/Calculations!Y$9</f>
        <v>0</v>
      </c>
    </row>
    <row r="149" spans="3:26" ht="16.5" customHeight="1" x14ac:dyDescent="0.2">
      <c r="C149" s="513"/>
      <c r="D149" s="656" t="str">
        <f>Calculations!C149</f>
        <v>Risk 2</v>
      </c>
      <c r="E149" s="657">
        <f t="shared" si="22"/>
        <v>0</v>
      </c>
      <c r="F149" s="659">
        <f>Calculations!E149/Calculations!E$9</f>
        <v>0</v>
      </c>
      <c r="G149" s="659">
        <f>Calculations!F149/Calculations!F$9</f>
        <v>0</v>
      </c>
      <c r="H149" s="659">
        <f>Calculations!G149/Calculations!G$9</f>
        <v>0</v>
      </c>
      <c r="I149" s="659">
        <f>Calculations!H149/Calculations!H$9</f>
        <v>0</v>
      </c>
      <c r="J149" s="659">
        <f>Calculations!I149/Calculations!I$9</f>
        <v>0</v>
      </c>
      <c r="K149" s="659">
        <f>Calculations!J149/Calculations!J$9</f>
        <v>0</v>
      </c>
      <c r="L149" s="659">
        <f>Calculations!K149/Calculations!K$9</f>
        <v>0</v>
      </c>
      <c r="M149" s="659">
        <f>Calculations!L149/Calculations!L$9</f>
        <v>0</v>
      </c>
      <c r="N149" s="659">
        <f>Calculations!M149/Calculations!M$9</f>
        <v>0</v>
      </c>
      <c r="O149" s="659">
        <f>Calculations!N149/Calculations!N$9</f>
        <v>0</v>
      </c>
      <c r="P149" s="659">
        <f>Calculations!O149/Calculations!O$9</f>
        <v>0</v>
      </c>
      <c r="Q149" s="659">
        <f>Calculations!P149/Calculations!P$9</f>
        <v>0</v>
      </c>
      <c r="R149" s="659">
        <f>Calculations!Q149/Calculations!Q$9</f>
        <v>0</v>
      </c>
      <c r="S149" s="659">
        <f>Calculations!R149/Calculations!R$9</f>
        <v>0</v>
      </c>
      <c r="T149" s="659">
        <f>Calculations!S149/Calculations!S$9</f>
        <v>0</v>
      </c>
      <c r="U149" s="659">
        <f>Calculations!T149/Calculations!T$9</f>
        <v>0</v>
      </c>
      <c r="V149" s="659">
        <f>Calculations!U149/Calculations!U$9</f>
        <v>0</v>
      </c>
      <c r="W149" s="659">
        <f>Calculations!V149/Calculations!V$9</f>
        <v>0</v>
      </c>
      <c r="X149" s="659">
        <f>Calculations!W149/Calculations!W$9</f>
        <v>0</v>
      </c>
      <c r="Y149" s="659">
        <f>Calculations!X149/Calculations!X$9</f>
        <v>0</v>
      </c>
      <c r="Z149" s="659">
        <f>Calculations!Y149/Calculations!Y$9</f>
        <v>0</v>
      </c>
    </row>
    <row r="150" spans="3:26" ht="16.5" customHeight="1" x14ac:dyDescent="0.2">
      <c r="C150" s="513"/>
      <c r="D150" s="656" t="str">
        <f>Calculations!C150</f>
        <v>Risk 3</v>
      </c>
      <c r="E150" s="657">
        <f t="shared" si="22"/>
        <v>0</v>
      </c>
      <c r="F150" s="659">
        <f>Calculations!E150/Calculations!E$9</f>
        <v>0</v>
      </c>
      <c r="G150" s="659">
        <f>Calculations!F150/Calculations!F$9</f>
        <v>0</v>
      </c>
      <c r="H150" s="659">
        <f>Calculations!G150/Calculations!G$9</f>
        <v>0</v>
      </c>
      <c r="I150" s="659">
        <f>Calculations!H150/Calculations!H$9</f>
        <v>0</v>
      </c>
      <c r="J150" s="659">
        <f>Calculations!I150/Calculations!I$9</f>
        <v>0</v>
      </c>
      <c r="K150" s="659">
        <f>Calculations!J150/Calculations!J$9</f>
        <v>0</v>
      </c>
      <c r="L150" s="659">
        <f>Calculations!K150/Calculations!K$9</f>
        <v>0</v>
      </c>
      <c r="M150" s="659">
        <f>Calculations!L150/Calculations!L$9</f>
        <v>0</v>
      </c>
      <c r="N150" s="659">
        <f>Calculations!M150/Calculations!M$9</f>
        <v>0</v>
      </c>
      <c r="O150" s="659">
        <f>Calculations!N150/Calculations!N$9</f>
        <v>0</v>
      </c>
      <c r="P150" s="659">
        <f>Calculations!O150/Calculations!O$9</f>
        <v>0</v>
      </c>
      <c r="Q150" s="659">
        <f>Calculations!P150/Calculations!P$9</f>
        <v>0</v>
      </c>
      <c r="R150" s="659">
        <f>Calculations!Q150/Calculations!Q$9</f>
        <v>0</v>
      </c>
      <c r="S150" s="659">
        <f>Calculations!R150/Calculations!R$9</f>
        <v>0</v>
      </c>
      <c r="T150" s="659">
        <f>Calculations!S150/Calculations!S$9</f>
        <v>0</v>
      </c>
      <c r="U150" s="659">
        <f>Calculations!T150/Calculations!T$9</f>
        <v>0</v>
      </c>
      <c r="V150" s="659">
        <f>Calculations!U150/Calculations!U$9</f>
        <v>0</v>
      </c>
      <c r="W150" s="659">
        <f>Calculations!V150/Calculations!V$9</f>
        <v>0</v>
      </c>
      <c r="X150" s="659">
        <f>Calculations!W150/Calculations!W$9</f>
        <v>0</v>
      </c>
      <c r="Y150" s="659">
        <f>Calculations!X150/Calculations!X$9</f>
        <v>0</v>
      </c>
      <c r="Z150" s="659">
        <f>Calculations!Y150/Calculations!Y$9</f>
        <v>0</v>
      </c>
    </row>
    <row r="151" spans="3:26" ht="16.5" customHeight="1" x14ac:dyDescent="0.2">
      <c r="C151" s="513"/>
      <c r="D151" s="656" t="str">
        <f>Calculations!C151</f>
        <v>Risk 4</v>
      </c>
      <c r="E151" s="657">
        <f t="shared" si="22"/>
        <v>0</v>
      </c>
      <c r="F151" s="659">
        <f>Calculations!E151/Calculations!E$9</f>
        <v>0</v>
      </c>
      <c r="G151" s="659">
        <f>Calculations!F151/Calculations!F$9</f>
        <v>0</v>
      </c>
      <c r="H151" s="659">
        <f>Calculations!G151/Calculations!G$9</f>
        <v>0</v>
      </c>
      <c r="I151" s="659">
        <f>Calculations!H151/Calculations!H$9</f>
        <v>0</v>
      </c>
      <c r="J151" s="659">
        <f>Calculations!I151/Calculations!I$9</f>
        <v>0</v>
      </c>
      <c r="K151" s="659">
        <f>Calculations!J151/Calculations!J$9</f>
        <v>0</v>
      </c>
      <c r="L151" s="659">
        <f>Calculations!K151/Calculations!K$9</f>
        <v>0</v>
      </c>
      <c r="M151" s="659">
        <f>Calculations!L151/Calculations!L$9</f>
        <v>0</v>
      </c>
      <c r="N151" s="659">
        <f>Calculations!M151/Calculations!M$9</f>
        <v>0</v>
      </c>
      <c r="O151" s="659">
        <f>Calculations!N151/Calculations!N$9</f>
        <v>0</v>
      </c>
      <c r="P151" s="659">
        <f>Calculations!O151/Calculations!O$9</f>
        <v>0</v>
      </c>
      <c r="Q151" s="659">
        <f>Calculations!P151/Calculations!P$9</f>
        <v>0</v>
      </c>
      <c r="R151" s="659">
        <f>Calculations!Q151/Calculations!Q$9</f>
        <v>0</v>
      </c>
      <c r="S151" s="659">
        <f>Calculations!R151/Calculations!R$9</f>
        <v>0</v>
      </c>
      <c r="T151" s="659">
        <f>Calculations!S151/Calculations!S$9</f>
        <v>0</v>
      </c>
      <c r="U151" s="659">
        <f>Calculations!T151/Calculations!T$9</f>
        <v>0</v>
      </c>
      <c r="V151" s="659">
        <f>Calculations!U151/Calculations!U$9</f>
        <v>0</v>
      </c>
      <c r="W151" s="659">
        <f>Calculations!V151/Calculations!V$9</f>
        <v>0</v>
      </c>
      <c r="X151" s="659">
        <f>Calculations!W151/Calculations!W$9</f>
        <v>0</v>
      </c>
      <c r="Y151" s="659">
        <f>Calculations!X151/Calculations!X$9</f>
        <v>0</v>
      </c>
      <c r="Z151" s="659">
        <f>Calculations!Y151/Calculations!Y$9</f>
        <v>0</v>
      </c>
    </row>
    <row r="152" spans="3:26" ht="16.5" customHeight="1" x14ac:dyDescent="0.2">
      <c r="C152" s="513"/>
      <c r="D152" s="656" t="str">
        <f>Calculations!C152</f>
        <v>Risk 5</v>
      </c>
      <c r="E152" s="657">
        <f t="shared" si="22"/>
        <v>0</v>
      </c>
      <c r="F152" s="659">
        <f>Calculations!E152/Calculations!E$9</f>
        <v>0</v>
      </c>
      <c r="G152" s="659">
        <f>Calculations!F152/Calculations!F$9</f>
        <v>0</v>
      </c>
      <c r="H152" s="659">
        <f>Calculations!G152/Calculations!G$9</f>
        <v>0</v>
      </c>
      <c r="I152" s="659">
        <f>Calculations!H152/Calculations!H$9</f>
        <v>0</v>
      </c>
      <c r="J152" s="659">
        <f>Calculations!I152/Calculations!I$9</f>
        <v>0</v>
      </c>
      <c r="K152" s="659">
        <f>Calculations!J152/Calculations!J$9</f>
        <v>0</v>
      </c>
      <c r="L152" s="659">
        <f>Calculations!K152/Calculations!K$9</f>
        <v>0</v>
      </c>
      <c r="M152" s="659">
        <f>Calculations!L152/Calculations!L$9</f>
        <v>0</v>
      </c>
      <c r="N152" s="659">
        <f>Calculations!M152/Calculations!M$9</f>
        <v>0</v>
      </c>
      <c r="O152" s="659">
        <f>Calculations!N152/Calculations!N$9</f>
        <v>0</v>
      </c>
      <c r="P152" s="659">
        <f>Calculations!O152/Calculations!O$9</f>
        <v>0</v>
      </c>
      <c r="Q152" s="659">
        <f>Calculations!P152/Calculations!P$9</f>
        <v>0</v>
      </c>
      <c r="R152" s="659">
        <f>Calculations!Q152/Calculations!Q$9</f>
        <v>0</v>
      </c>
      <c r="S152" s="659">
        <f>Calculations!R152/Calculations!R$9</f>
        <v>0</v>
      </c>
      <c r="T152" s="659">
        <f>Calculations!S152/Calculations!S$9</f>
        <v>0</v>
      </c>
      <c r="U152" s="659">
        <f>Calculations!T152/Calculations!T$9</f>
        <v>0</v>
      </c>
      <c r="V152" s="659">
        <f>Calculations!U152/Calculations!U$9</f>
        <v>0</v>
      </c>
      <c r="W152" s="659">
        <f>Calculations!V152/Calculations!V$9</f>
        <v>0</v>
      </c>
      <c r="X152" s="659">
        <f>Calculations!W152/Calculations!W$9</f>
        <v>0</v>
      </c>
      <c r="Y152" s="659">
        <f>Calculations!X152/Calculations!X$9</f>
        <v>0</v>
      </c>
      <c r="Z152" s="659">
        <f>Calculations!Y152/Calculations!Y$9</f>
        <v>0</v>
      </c>
    </row>
    <row r="153" spans="3:26" ht="16.5" customHeight="1" x14ac:dyDescent="0.2">
      <c r="C153" s="513"/>
      <c r="D153" s="656" t="s">
        <v>254</v>
      </c>
      <c r="E153" s="657">
        <f t="shared" ref="E153:Z153" si="23">SUM(E134:E152)-E136</f>
        <v>0</v>
      </c>
      <c r="F153" s="657">
        <f t="shared" si="23"/>
        <v>0</v>
      </c>
      <c r="G153" s="657">
        <f t="shared" si="23"/>
        <v>0</v>
      </c>
      <c r="H153" s="657">
        <f t="shared" si="23"/>
        <v>0</v>
      </c>
      <c r="I153" s="657">
        <f t="shared" si="23"/>
        <v>0</v>
      </c>
      <c r="J153" s="657">
        <f t="shared" si="23"/>
        <v>0</v>
      </c>
      <c r="K153" s="657">
        <f t="shared" si="23"/>
        <v>0</v>
      </c>
      <c r="L153" s="657">
        <f t="shared" si="23"/>
        <v>0</v>
      </c>
      <c r="M153" s="657">
        <f t="shared" si="23"/>
        <v>0</v>
      </c>
      <c r="N153" s="657">
        <f t="shared" si="23"/>
        <v>0</v>
      </c>
      <c r="O153" s="657">
        <f t="shared" si="23"/>
        <v>0</v>
      </c>
      <c r="P153" s="657">
        <f t="shared" si="23"/>
        <v>0</v>
      </c>
      <c r="Q153" s="657">
        <f t="shared" si="23"/>
        <v>0</v>
      </c>
      <c r="R153" s="657">
        <f t="shared" si="23"/>
        <v>0</v>
      </c>
      <c r="S153" s="657">
        <f t="shared" si="23"/>
        <v>0</v>
      </c>
      <c r="T153" s="657">
        <f t="shared" si="23"/>
        <v>0</v>
      </c>
      <c r="U153" s="657">
        <f t="shared" si="23"/>
        <v>0</v>
      </c>
      <c r="V153" s="657">
        <f t="shared" si="23"/>
        <v>0</v>
      </c>
      <c r="W153" s="657">
        <f t="shared" si="23"/>
        <v>0</v>
      </c>
      <c r="X153" s="657">
        <f t="shared" si="23"/>
        <v>0</v>
      </c>
      <c r="Y153" s="657">
        <f t="shared" si="23"/>
        <v>0</v>
      </c>
      <c r="Z153" s="657">
        <f t="shared" si="23"/>
        <v>0</v>
      </c>
    </row>
    <row r="154" spans="3:26" ht="16.5" customHeight="1" x14ac:dyDescent="0.2">
      <c r="C154" s="513"/>
      <c r="D154" s="513"/>
      <c r="E154" s="513"/>
      <c r="F154" s="513"/>
      <c r="G154" s="51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</row>
    <row r="155" spans="3:26" ht="16.5" customHeight="1" x14ac:dyDescent="0.2"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</row>
    <row r="156" spans="3:26" ht="16.5" customHeight="1" x14ac:dyDescent="0.2"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</row>
    <row r="157" spans="3:26" ht="16.5" customHeight="1" x14ac:dyDescent="0.2"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</row>
    <row r="158" spans="3:26" ht="16.5" customHeight="1" x14ac:dyDescent="0.2"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</row>
    <row r="159" spans="3:26" ht="16.5" customHeight="1" x14ac:dyDescent="0.2"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</row>
    <row r="160" spans="3:26" ht="16.5" customHeight="1" x14ac:dyDescent="0.2">
      <c r="C160" s="513"/>
      <c r="D160" s="513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</row>
    <row r="161" spans="4:26" ht="16.5" customHeight="1" x14ac:dyDescent="0.2">
      <c r="D161" s="513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</row>
    <row r="162" spans="4:26" ht="16.5" customHeight="1" x14ac:dyDescent="0.2"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</row>
    <row r="163" spans="4:26" ht="16.5" customHeight="1" x14ac:dyDescent="0.2">
      <c r="D163" s="513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</row>
    <row r="164" spans="4:26" ht="16.5" customHeight="1" x14ac:dyDescent="0.2"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</row>
    <row r="165" spans="4:26" ht="16.5" customHeight="1" x14ac:dyDescent="0.2">
      <c r="D165" s="513"/>
      <c r="E165" s="513"/>
      <c r="F165" s="513"/>
      <c r="G165" s="51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</row>
    <row r="166" spans="4:26" ht="16.5" customHeight="1" x14ac:dyDescent="0.2">
      <c r="D166" s="513"/>
      <c r="E166" s="513"/>
      <c r="F166" s="513"/>
      <c r="G166" s="51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</row>
    <row r="167" spans="4:26" ht="16.5" customHeight="1" x14ac:dyDescent="0.2">
      <c r="D167" s="513"/>
      <c r="E167" s="513"/>
      <c r="F167" s="513"/>
      <c r="G167" s="51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</row>
    <row r="168" spans="4:26" ht="16.5" customHeight="1" x14ac:dyDescent="0.2"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</row>
    <row r="169" spans="4:26" ht="16.5" customHeight="1" x14ac:dyDescent="0.2">
      <c r="D169" s="513"/>
      <c r="E169" s="513"/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</row>
    <row r="170" spans="4:26" ht="16.5" customHeight="1" x14ac:dyDescent="0.2"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</row>
    <row r="171" spans="4:26" ht="16.5" customHeight="1" x14ac:dyDescent="0.2">
      <c r="D171" s="513"/>
      <c r="E171" s="513"/>
      <c r="F171" s="513"/>
      <c r="G171" s="513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</row>
    <row r="172" spans="4:26" ht="16.5" customHeight="1" x14ac:dyDescent="0.2"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</row>
    <row r="173" spans="4:26" ht="16.5" customHeight="1" x14ac:dyDescent="0.2"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</row>
    <row r="174" spans="4:26" ht="16.5" customHeight="1" x14ac:dyDescent="0.2"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</row>
    <row r="175" spans="4:26" ht="16.5" customHeight="1" x14ac:dyDescent="0.2"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</row>
    <row r="176" spans="4:26" ht="16.5" customHeight="1" x14ac:dyDescent="0.2">
      <c r="D176" s="513"/>
      <c r="E176" s="513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</row>
    <row r="177" spans="4:26" ht="16.5" customHeight="1" x14ac:dyDescent="0.2">
      <c r="D177" s="513"/>
      <c r="E177" s="513"/>
      <c r="F177" s="513"/>
      <c r="G177" s="513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</row>
    <row r="178" spans="4:26" ht="16.5" customHeight="1" x14ac:dyDescent="0.2"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</row>
    <row r="179" spans="4:26" ht="16.5" customHeight="1" x14ac:dyDescent="0.2"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</row>
    <row r="180" spans="4:26" ht="16.5" customHeight="1" x14ac:dyDescent="0.2">
      <c r="D180" s="513"/>
      <c r="E180" s="513"/>
      <c r="F180" s="513"/>
      <c r="G180" s="513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</row>
    <row r="181" spans="4:26" ht="16.5" customHeight="1" x14ac:dyDescent="0.2">
      <c r="D181" s="513"/>
      <c r="E181" s="513"/>
      <c r="F181" s="513"/>
      <c r="G181" s="513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</row>
    <row r="182" spans="4:26" ht="16.5" customHeight="1" x14ac:dyDescent="0.2"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</row>
    <row r="183" spans="4:26" ht="16.5" customHeight="1" x14ac:dyDescent="0.2"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</row>
    <row r="184" spans="4:26" ht="16.5" customHeight="1" x14ac:dyDescent="0.2">
      <c r="D184" s="513"/>
      <c r="E184" s="513"/>
      <c r="F184" s="513"/>
      <c r="G184" s="513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</row>
    <row r="185" spans="4:26" ht="16.5" customHeight="1" x14ac:dyDescent="0.2"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</row>
    <row r="186" spans="4:26" ht="16.5" customHeight="1" x14ac:dyDescent="0.2">
      <c r="D186" s="513"/>
      <c r="E186" s="513"/>
      <c r="F186" s="513"/>
      <c r="G186" s="513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</row>
    <row r="187" spans="4:26" ht="16.5" customHeight="1" x14ac:dyDescent="0.2">
      <c r="D187" s="513"/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</row>
    <row r="188" spans="4:26" ht="16.5" customHeight="1" x14ac:dyDescent="0.2">
      <c r="D188" s="513"/>
      <c r="E188" s="513"/>
      <c r="F188" s="513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</row>
    <row r="189" spans="4:26" ht="16.5" customHeight="1" x14ac:dyDescent="0.2">
      <c r="D189" s="513"/>
      <c r="E189" s="513"/>
      <c r="F189" s="513"/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</row>
    <row r="190" spans="4:26" ht="16.5" customHeight="1" x14ac:dyDescent="0.2"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</row>
    <row r="191" spans="4:26" ht="16.5" customHeight="1" x14ac:dyDescent="0.2"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</row>
    <row r="192" spans="4:26" ht="16.5" customHeight="1" x14ac:dyDescent="0.2"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</row>
    <row r="193" spans="4:26" ht="16.5" customHeight="1" x14ac:dyDescent="0.2"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</row>
    <row r="194" spans="4:26" ht="16.5" customHeight="1" x14ac:dyDescent="0.2"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</row>
    <row r="195" spans="4:26" ht="16.5" customHeight="1" x14ac:dyDescent="0.2"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</row>
    <row r="196" spans="4:26" ht="16.5" customHeight="1" x14ac:dyDescent="0.2"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</row>
    <row r="197" spans="4:26" ht="16.5" customHeight="1" x14ac:dyDescent="0.2">
      <c r="D197" s="513"/>
      <c r="E197" s="513"/>
      <c r="F197" s="513"/>
      <c r="G197" s="513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</row>
    <row r="198" spans="4:26" ht="16.5" customHeight="1" x14ac:dyDescent="0.2">
      <c r="D198" s="513"/>
      <c r="E198" s="513"/>
      <c r="F198" s="513"/>
      <c r="G198" s="513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</row>
    <row r="199" spans="4:26" ht="16.5" customHeight="1" x14ac:dyDescent="0.2"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</row>
    <row r="200" spans="4:26" ht="16.5" customHeight="1" x14ac:dyDescent="0.2"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</row>
    <row r="201" spans="4:26" ht="16.5" customHeight="1" x14ac:dyDescent="0.2"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</row>
    <row r="202" spans="4:26" ht="16.5" customHeight="1" x14ac:dyDescent="0.2">
      <c r="D202" s="513"/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</row>
    <row r="203" spans="4:26" ht="16.5" customHeight="1" x14ac:dyDescent="0.2"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</row>
    <row r="204" spans="4:26" ht="16.5" customHeight="1" x14ac:dyDescent="0.2">
      <c r="D204" s="513"/>
      <c r="E204" s="513"/>
      <c r="F204" s="513"/>
      <c r="G204" s="513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</row>
    <row r="205" spans="4:26" ht="16.5" customHeight="1" x14ac:dyDescent="0.2"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</row>
    <row r="206" spans="4:26" ht="16.5" customHeight="1" x14ac:dyDescent="0.2"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</row>
    <row r="207" spans="4:26" ht="16.5" customHeight="1" x14ac:dyDescent="0.2"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</row>
    <row r="208" spans="4:26" ht="16.5" customHeight="1" x14ac:dyDescent="0.2"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</row>
    <row r="209" spans="4:26" ht="16.5" customHeight="1" x14ac:dyDescent="0.2"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</row>
    <row r="210" spans="4:26" ht="16.5" customHeight="1" x14ac:dyDescent="0.2">
      <c r="D210" s="513"/>
      <c r="E210" s="513"/>
      <c r="F210" s="513"/>
      <c r="G210" s="513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</row>
    <row r="211" spans="4:26" ht="16.5" customHeight="1" x14ac:dyDescent="0.2"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</row>
    <row r="212" spans="4:26" ht="16.5" customHeight="1" x14ac:dyDescent="0.2">
      <c r="D212" s="513"/>
      <c r="E212" s="513"/>
      <c r="F212" s="513"/>
      <c r="G212" s="513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</row>
    <row r="213" spans="4:26" ht="16.5" customHeight="1" x14ac:dyDescent="0.2"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</row>
    <row r="214" spans="4:26" ht="16.5" customHeight="1" x14ac:dyDescent="0.2"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</row>
    <row r="215" spans="4:26" ht="16.5" customHeight="1" x14ac:dyDescent="0.2">
      <c r="D215" s="513"/>
      <c r="E215" s="513"/>
      <c r="F215" s="513"/>
      <c r="G215" s="513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</row>
    <row r="216" spans="4:26" ht="16.5" customHeight="1" x14ac:dyDescent="0.2"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</row>
    <row r="217" spans="4:26" ht="16.5" customHeight="1" x14ac:dyDescent="0.2"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</row>
    <row r="218" spans="4:26" ht="16.5" customHeight="1" x14ac:dyDescent="0.2">
      <c r="D218" s="513"/>
      <c r="E218" s="513"/>
      <c r="F218" s="513"/>
      <c r="G218" s="513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</row>
    <row r="219" spans="4:26" ht="16.5" customHeight="1" x14ac:dyDescent="0.2"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</row>
    <row r="220" spans="4:26" ht="16.5" customHeight="1" x14ac:dyDescent="0.2"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</row>
    <row r="221" spans="4:26" ht="16.5" customHeight="1" x14ac:dyDescent="0.2"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</row>
    <row r="222" spans="4:26" ht="16.5" customHeight="1" x14ac:dyDescent="0.2"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</row>
    <row r="223" spans="4:26" ht="16.5" customHeight="1" x14ac:dyDescent="0.2"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</row>
    <row r="224" spans="4:26" ht="16.5" customHeight="1" x14ac:dyDescent="0.2"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</row>
    <row r="225" spans="4:26" ht="16.5" customHeight="1" x14ac:dyDescent="0.2"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</row>
    <row r="226" spans="4:26" ht="16.5" customHeight="1" x14ac:dyDescent="0.2"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</row>
    <row r="227" spans="4:26" ht="16.5" customHeight="1" x14ac:dyDescent="0.2"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</row>
    <row r="228" spans="4:26" ht="16.5" customHeight="1" x14ac:dyDescent="0.2"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</row>
    <row r="229" spans="4:26" ht="16.5" customHeight="1" x14ac:dyDescent="0.2">
      <c r="D229" s="513"/>
      <c r="E229" s="513"/>
      <c r="F229" s="513"/>
      <c r="G229" s="513"/>
      <c r="H229" s="513"/>
      <c r="I229" s="513"/>
      <c r="J229" s="513"/>
      <c r="K229" s="513"/>
      <c r="L229" s="513"/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</row>
    <row r="230" spans="4:26" ht="16.5" customHeight="1" x14ac:dyDescent="0.2">
      <c r="D230" s="513"/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</row>
    <row r="231" spans="4:26" ht="16.5" customHeight="1" x14ac:dyDescent="0.2"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</row>
    <row r="232" spans="4:26" ht="16.5" customHeight="1" x14ac:dyDescent="0.2"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</row>
    <row r="233" spans="4:26" ht="16.5" customHeight="1" x14ac:dyDescent="0.2"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</row>
    <row r="234" spans="4:26" ht="16.5" customHeight="1" x14ac:dyDescent="0.2">
      <c r="D234" s="513"/>
      <c r="E234" s="513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</row>
    <row r="235" spans="4:26" ht="16.5" customHeight="1" x14ac:dyDescent="0.2">
      <c r="D235" s="513"/>
      <c r="E235" s="513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</row>
    <row r="236" spans="4:26" ht="16.5" customHeight="1" x14ac:dyDescent="0.2">
      <c r="D236" s="513"/>
      <c r="E236" s="513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</row>
    <row r="237" spans="4:26" ht="16.5" customHeight="1" x14ac:dyDescent="0.2">
      <c r="D237" s="513"/>
      <c r="E237" s="513"/>
      <c r="F237" s="513"/>
      <c r="G237" s="513"/>
      <c r="H237" s="513"/>
      <c r="I237" s="513"/>
      <c r="J237" s="513"/>
      <c r="K237" s="513"/>
      <c r="L237" s="513"/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</row>
    <row r="238" spans="4:26" ht="16.5" customHeight="1" x14ac:dyDescent="0.2">
      <c r="D238" s="513"/>
      <c r="E238" s="513"/>
      <c r="F238" s="513"/>
      <c r="G238" s="513"/>
      <c r="H238" s="513"/>
      <c r="I238" s="513"/>
      <c r="J238" s="513"/>
      <c r="K238" s="513"/>
      <c r="L238" s="513"/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</row>
    <row r="239" spans="4:26" ht="16.5" customHeight="1" x14ac:dyDescent="0.2"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</row>
    <row r="240" spans="4:26" ht="16.5" customHeight="1" x14ac:dyDescent="0.2">
      <c r="D240" s="513"/>
      <c r="E240" s="513"/>
      <c r="F240" s="513"/>
      <c r="G240" s="513"/>
      <c r="H240" s="513"/>
      <c r="I240" s="513"/>
      <c r="J240" s="513"/>
      <c r="K240" s="513"/>
      <c r="L240" s="513"/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</row>
    <row r="241" spans="4:26" ht="16.5" customHeight="1" x14ac:dyDescent="0.2">
      <c r="D241" s="513"/>
      <c r="E241" s="513"/>
      <c r="F241" s="513"/>
      <c r="G241" s="513"/>
      <c r="H241" s="513"/>
      <c r="I241" s="513"/>
      <c r="J241" s="513"/>
      <c r="K241" s="513"/>
      <c r="L241" s="513"/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</row>
    <row r="242" spans="4:26" ht="16.5" customHeight="1" x14ac:dyDescent="0.2">
      <c r="D242" s="513"/>
      <c r="E242" s="513"/>
      <c r="F242" s="513"/>
      <c r="G242" s="513"/>
      <c r="H242" s="513"/>
      <c r="I242" s="513"/>
      <c r="J242" s="513"/>
      <c r="K242" s="513"/>
      <c r="L242" s="513"/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324</v>
      </c>
      <c r="F24" s="46" t="s">
        <v>323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6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6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6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55.800613797914878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2" t="s">
        <v>301</v>
      </c>
      <c r="E72" s="355"/>
      <c r="F72" s="683" t="s">
        <v>302</v>
      </c>
      <c r="G72" s="683" t="s">
        <v>302</v>
      </c>
      <c r="H72" s="683" t="s">
        <v>302</v>
      </c>
      <c r="I72" s="683" t="s">
        <v>302</v>
      </c>
      <c r="J72" s="683" t="s">
        <v>302</v>
      </c>
      <c r="K72" s="683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2" t="s">
        <v>301</v>
      </c>
      <c r="E77" s="355"/>
      <c r="F77" s="683" t="s">
        <v>302</v>
      </c>
      <c r="G77" s="683" t="s">
        <v>302</v>
      </c>
      <c r="H77" s="683" t="s">
        <v>302</v>
      </c>
      <c r="I77" s="683" t="s">
        <v>302</v>
      </c>
      <c r="J77" s="683" t="s">
        <v>302</v>
      </c>
      <c r="K77" s="683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2016-01-03T23:29:05Z</cp:lastPrinted>
  <dcterms:created xsi:type="dcterms:W3CDTF">2000-11-09T00:46:39Z</dcterms:created>
  <dcterms:modified xsi:type="dcterms:W3CDTF">2016-01-03T23:57:35Z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