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3" l="1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I18" i="3"/>
  <c r="H18" i="3"/>
  <c r="G18" i="3"/>
  <c r="F18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Y30" i="3"/>
  <c r="Z142" i="12"/>
  <c r="Z118" i="12"/>
  <c r="Z94" i="12"/>
  <c r="Z70" i="12"/>
  <c r="Z46" i="12"/>
  <c r="Z22" i="12"/>
  <c r="C22" i="3"/>
  <c r="D9" i="3"/>
  <c r="D12" i="3"/>
  <c r="D56" i="3"/>
  <c r="D85" i="3"/>
  <c r="F68" i="24"/>
  <c r="G92" i="24"/>
  <c r="H65" i="24"/>
  <c r="I89" i="24"/>
  <c r="H66" i="24"/>
  <c r="I90" i="24"/>
  <c r="H67" i="24"/>
  <c r="I91" i="24"/>
  <c r="F79" i="24"/>
  <c r="G103" i="24"/>
  <c r="F103" i="24"/>
  <c r="F78" i="24"/>
  <c r="G102" i="24"/>
  <c r="F102" i="24"/>
  <c r="F77" i="24"/>
  <c r="G101" i="24"/>
  <c r="F101" i="24"/>
  <c r="F76" i="24"/>
  <c r="G100" i="24"/>
  <c r="F100" i="24"/>
  <c r="F75" i="24"/>
  <c r="G99" i="24"/>
  <c r="F99" i="24"/>
  <c r="F74" i="24"/>
  <c r="G98" i="24"/>
  <c r="F98" i="24"/>
  <c r="F73" i="24"/>
  <c r="G97" i="24"/>
  <c r="F97" i="24"/>
  <c r="F72" i="24"/>
  <c r="G96" i="24"/>
  <c r="F96" i="24"/>
  <c r="F71" i="24"/>
  <c r="G95" i="24"/>
  <c r="F95" i="24"/>
  <c r="F70" i="24"/>
  <c r="G94" i="24"/>
  <c r="F94" i="24"/>
  <c r="F69" i="24"/>
  <c r="G93" i="24"/>
  <c r="F93" i="24"/>
  <c r="F92" i="24"/>
  <c r="J91" i="24"/>
  <c r="J90" i="24"/>
  <c r="J89" i="24"/>
  <c r="F86" i="24"/>
  <c r="H64" i="24"/>
  <c r="I88" i="24"/>
  <c r="F62" i="24"/>
  <c r="G86" i="24"/>
  <c r="J88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/>
  <c r="G21" i="24"/>
  <c r="F21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41" i="24"/>
  <c r="G117" i="24"/>
  <c r="F141" i="24"/>
  <c r="F117" i="24"/>
  <c r="Z176" i="3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Z31" i="3"/>
  <c r="Y31" i="3"/>
  <c r="W31" i="3"/>
  <c r="V31" i="3"/>
  <c r="U31" i="3"/>
  <c r="T31" i="3"/>
  <c r="S31" i="3"/>
  <c r="Q31" i="3"/>
  <c r="P31" i="3"/>
  <c r="O31" i="3"/>
  <c r="N31" i="3"/>
  <c r="M31" i="3"/>
  <c r="K31" i="3"/>
  <c r="J31" i="3"/>
  <c r="I31" i="3"/>
  <c r="H31" i="3"/>
  <c r="G31" i="3"/>
  <c r="Z30" i="3"/>
  <c r="W30" i="3"/>
  <c r="V30" i="3"/>
  <c r="U30" i="3"/>
  <c r="T30" i="3"/>
  <c r="S30" i="3"/>
  <c r="Q30" i="3"/>
  <c r="P30" i="3"/>
  <c r="O30" i="3"/>
  <c r="N30" i="3"/>
  <c r="M30" i="3"/>
  <c r="K30" i="3"/>
  <c r="J30" i="3"/>
  <c r="I30" i="3"/>
  <c r="H30" i="3"/>
  <c r="G30" i="3"/>
  <c r="Z177" i="3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/>
  <c r="C17" i="3"/>
  <c r="C109" i="3"/>
  <c r="C18" i="3"/>
  <c r="C137" i="3"/>
  <c r="C19" i="3"/>
  <c r="C165" i="3"/>
  <c r="C20" i="3"/>
  <c r="C193" i="3"/>
  <c r="C16" i="3"/>
  <c r="C77" i="3"/>
  <c r="C108" i="3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/>
  <c r="C25" i="24"/>
  <c r="C213" i="24"/>
  <c r="C24" i="24"/>
  <c r="C212" i="24"/>
  <c r="C23" i="24"/>
  <c r="C211" i="24"/>
  <c r="C22" i="24"/>
  <c r="C210" i="24"/>
  <c r="C14" i="24"/>
  <c r="C206" i="24"/>
  <c r="B11" i="24"/>
  <c r="F8" i="24"/>
  <c r="F9" i="24"/>
  <c r="E5" i="24"/>
  <c r="E227" i="24"/>
  <c r="E3" i="24"/>
  <c r="F31" i="24"/>
  <c r="F30" i="24"/>
  <c r="F29" i="24"/>
  <c r="F28" i="24"/>
  <c r="F27" i="24"/>
  <c r="F26" i="24"/>
  <c r="F25" i="24"/>
  <c r="F24" i="24"/>
  <c r="F23" i="24"/>
  <c r="F22" i="24"/>
  <c r="F20" i="24"/>
  <c r="F14" i="24"/>
  <c r="I8" i="24"/>
  <c r="L8" i="24"/>
  <c r="Y8" i="24"/>
  <c r="T8" i="24"/>
  <c r="Q8" i="24"/>
  <c r="D21" i="24"/>
  <c r="D209" i="24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/>
  <c r="K8" i="24"/>
  <c r="O8" i="24"/>
  <c r="S8" i="24"/>
  <c r="W8" i="24"/>
  <c r="J8" i="24"/>
  <c r="F150" i="24"/>
  <c r="F126" i="24"/>
  <c r="G31" i="24"/>
  <c r="G30" i="24"/>
  <c r="G29" i="24"/>
  <c r="G28" i="24"/>
  <c r="G27" i="24"/>
  <c r="G26" i="24"/>
  <c r="G25" i="24"/>
  <c r="G24" i="24"/>
  <c r="G23" i="24"/>
  <c r="G22" i="24"/>
  <c r="G20" i="24"/>
  <c r="G14" i="24"/>
  <c r="F143" i="24"/>
  <c r="F119" i="24"/>
  <c r="F147" i="24"/>
  <c r="F123" i="24"/>
  <c r="F127" i="24"/>
  <c r="F151" i="24"/>
  <c r="F142" i="24"/>
  <c r="F118" i="24"/>
  <c r="F140" i="24"/>
  <c r="F116" i="24"/>
  <c r="F145" i="24"/>
  <c r="F121" i="24"/>
  <c r="F125" i="24"/>
  <c r="F149" i="24"/>
  <c r="F146" i="24"/>
  <c r="F122" i="24"/>
  <c r="F110" i="24"/>
  <c r="F134" i="24"/>
  <c r="F120" i="24"/>
  <c r="F144" i="24"/>
  <c r="F148" i="24"/>
  <c r="F124" i="24"/>
  <c r="H9" i="24"/>
  <c r="F227" i="24"/>
  <c r="G5" i="24"/>
  <c r="G116" i="24"/>
  <c r="G140" i="24"/>
  <c r="G121" i="24"/>
  <c r="G145" i="24"/>
  <c r="G125" i="24"/>
  <c r="G149" i="24"/>
  <c r="H16" i="24"/>
  <c r="H20" i="24"/>
  <c r="H140" i="24"/>
  <c r="H19" i="24"/>
  <c r="H31" i="24"/>
  <c r="H151" i="24"/>
  <c r="H29" i="24"/>
  <c r="H149" i="24"/>
  <c r="H28" i="24"/>
  <c r="H148" i="24"/>
  <c r="H26" i="24"/>
  <c r="H146" i="24"/>
  <c r="H17" i="24"/>
  <c r="H30" i="24"/>
  <c r="H150" i="24"/>
  <c r="H27" i="24"/>
  <c r="H147" i="24"/>
  <c r="H25" i="24"/>
  <c r="H145" i="24"/>
  <c r="H24" i="24"/>
  <c r="H144" i="24"/>
  <c r="H23" i="24"/>
  <c r="H143" i="24"/>
  <c r="H22" i="24"/>
  <c r="H142" i="24"/>
  <c r="H18" i="24"/>
  <c r="H14" i="24"/>
  <c r="G110" i="24"/>
  <c r="G134" i="24"/>
  <c r="G124" i="24"/>
  <c r="G148" i="24"/>
  <c r="G143" i="24"/>
  <c r="G119" i="24"/>
  <c r="G123" i="24"/>
  <c r="G147" i="24"/>
  <c r="G151" i="24"/>
  <c r="G127" i="24"/>
  <c r="G120" i="24"/>
  <c r="G144" i="24"/>
  <c r="G142" i="24"/>
  <c r="G118" i="24"/>
  <c r="G146" i="24"/>
  <c r="G122" i="24"/>
  <c r="G150" i="24"/>
  <c r="G126" i="24"/>
  <c r="I9" i="24"/>
  <c r="G227" i="24"/>
  <c r="H5" i="24"/>
  <c r="C35" i="23"/>
  <c r="D35" i="23"/>
  <c r="E35" i="23"/>
  <c r="F35" i="23"/>
  <c r="G35" i="23"/>
  <c r="H35" i="23"/>
  <c r="I35" i="23"/>
  <c r="J35" i="23"/>
  <c r="K35" i="23"/>
  <c r="L35" i="23"/>
  <c r="M35" i="23"/>
  <c r="C25" i="23"/>
  <c r="D25" i="23"/>
  <c r="E25" i="23"/>
  <c r="F25" i="23"/>
  <c r="G25" i="23"/>
  <c r="H25" i="23"/>
  <c r="I25" i="23"/>
  <c r="J25" i="23"/>
  <c r="K25" i="23"/>
  <c r="L25" i="23"/>
  <c r="M25" i="23"/>
  <c r="C15" i="23"/>
  <c r="D15" i="23"/>
  <c r="E15" i="23"/>
  <c r="F15" i="23"/>
  <c r="G15" i="23"/>
  <c r="H15" i="23"/>
  <c r="I15" i="23"/>
  <c r="J15" i="23"/>
  <c r="K15" i="23"/>
  <c r="L15" i="23"/>
  <c r="M15" i="23"/>
  <c r="C7" i="23"/>
  <c r="D7" i="23"/>
  <c r="E7" i="23"/>
  <c r="F7" i="23"/>
  <c r="G7" i="23"/>
  <c r="H7" i="23"/>
  <c r="I7" i="23"/>
  <c r="J7" i="23"/>
  <c r="K7" i="23"/>
  <c r="L7" i="23"/>
  <c r="M7" i="23"/>
  <c r="I31" i="24"/>
  <c r="I30" i="24"/>
  <c r="I29" i="24"/>
  <c r="I28" i="24"/>
  <c r="I27" i="24"/>
  <c r="I26" i="24"/>
  <c r="I25" i="24"/>
  <c r="I24" i="24"/>
  <c r="I23" i="24"/>
  <c r="I22" i="24"/>
  <c r="I20" i="24"/>
  <c r="I14" i="24"/>
  <c r="I134" i="24"/>
  <c r="I16" i="24"/>
  <c r="I17" i="24"/>
  <c r="H134" i="24"/>
  <c r="H110" i="24"/>
  <c r="H227" i="24"/>
  <c r="I5" i="24"/>
  <c r="J9" i="24"/>
  <c r="I113" i="24"/>
  <c r="I137" i="24"/>
  <c r="I136" i="24"/>
  <c r="I112" i="24"/>
  <c r="J31" i="24"/>
  <c r="J30" i="24"/>
  <c r="J29" i="24"/>
  <c r="J28" i="24"/>
  <c r="J27" i="24"/>
  <c r="J26" i="24"/>
  <c r="J25" i="24"/>
  <c r="J24" i="24"/>
  <c r="J23" i="24"/>
  <c r="J22" i="24"/>
  <c r="J20" i="24"/>
  <c r="J14" i="24"/>
  <c r="J16" i="24"/>
  <c r="J136" i="24"/>
  <c r="J17" i="24"/>
  <c r="J137" i="24"/>
  <c r="K9" i="24"/>
  <c r="I227" i="24"/>
  <c r="J5" i="24"/>
  <c r="K31" i="24"/>
  <c r="K30" i="24"/>
  <c r="K29" i="24"/>
  <c r="K28" i="24"/>
  <c r="K27" i="24"/>
  <c r="K26" i="24"/>
  <c r="K25" i="24"/>
  <c r="K24" i="24"/>
  <c r="K23" i="24"/>
  <c r="K22" i="24"/>
  <c r="K20" i="24"/>
  <c r="K14" i="24"/>
  <c r="K16" i="24"/>
  <c r="K17" i="24"/>
  <c r="J227" i="24"/>
  <c r="K5" i="24"/>
  <c r="L9" i="24"/>
  <c r="J352" i="3"/>
  <c r="D247" i="20"/>
  <c r="K352" i="3"/>
  <c r="D248" i="20"/>
  <c r="L352" i="3"/>
  <c r="D249" i="20"/>
  <c r="H351" i="3"/>
  <c r="D20" i="20"/>
  <c r="I351" i="3"/>
  <c r="J351" i="3"/>
  <c r="D21" i="20"/>
  <c r="K351" i="3"/>
  <c r="D22" i="20"/>
  <c r="L351" i="3"/>
  <c r="D23" i="20"/>
  <c r="G351" i="3"/>
  <c r="D19" i="20"/>
  <c r="L28" i="24"/>
  <c r="L24" i="24"/>
  <c r="L31" i="24"/>
  <c r="L30" i="24"/>
  <c r="L29" i="24"/>
  <c r="L27" i="24"/>
  <c r="L25" i="24"/>
  <c r="L23" i="24"/>
  <c r="L22" i="24"/>
  <c r="L14" i="24"/>
  <c r="L26" i="24"/>
  <c r="L20" i="24"/>
  <c r="L17" i="24"/>
  <c r="L16" i="24"/>
  <c r="M9" i="24"/>
  <c r="K227" i="24"/>
  <c r="L5" i="24"/>
  <c r="M31" i="24"/>
  <c r="M30" i="24"/>
  <c r="M29" i="24"/>
  <c r="M28" i="24"/>
  <c r="M27" i="24"/>
  <c r="M26" i="24"/>
  <c r="M25" i="24"/>
  <c r="M24" i="24"/>
  <c r="M23" i="24"/>
  <c r="M22" i="24"/>
  <c r="M20" i="24"/>
  <c r="M14" i="24"/>
  <c r="M16" i="24"/>
  <c r="M17" i="24"/>
  <c r="L227" i="24"/>
  <c r="M5" i="24"/>
  <c r="N9" i="24"/>
  <c r="D432" i="17"/>
  <c r="D388" i="17"/>
  <c r="F212" i="17"/>
  <c r="N31" i="24"/>
  <c r="N30" i="24"/>
  <c r="N29" i="24"/>
  <c r="N28" i="24"/>
  <c r="N27" i="24"/>
  <c r="N26" i="24"/>
  <c r="N25" i="24"/>
  <c r="N24" i="24"/>
  <c r="N23" i="24"/>
  <c r="N22" i="24"/>
  <c r="N20" i="24"/>
  <c r="N17" i="24"/>
  <c r="N14" i="24"/>
  <c r="N16" i="24"/>
  <c r="N19" i="24"/>
  <c r="N18" i="24"/>
  <c r="O9" i="24"/>
  <c r="M227" i="24"/>
  <c r="N5" i="24"/>
  <c r="J39" i="10"/>
  <c r="I39" i="10"/>
  <c r="H39" i="10"/>
  <c r="G39" i="10"/>
  <c r="F39" i="10"/>
  <c r="O31" i="24"/>
  <c r="O30" i="24"/>
  <c r="O29" i="24"/>
  <c r="O28" i="24"/>
  <c r="O27" i="24"/>
  <c r="O26" i="24"/>
  <c r="O25" i="24"/>
  <c r="O24" i="24"/>
  <c r="O23" i="24"/>
  <c r="O22" i="24"/>
  <c r="O20" i="24"/>
  <c r="O14" i="24"/>
  <c r="O16" i="24"/>
  <c r="O17" i="24"/>
  <c r="N227" i="24"/>
  <c r="O5" i="24"/>
  <c r="P9" i="24"/>
  <c r="C357" i="3"/>
  <c r="E3" i="15"/>
  <c r="P22" i="24"/>
  <c r="P14" i="24"/>
  <c r="P31" i="24"/>
  <c r="P30" i="24"/>
  <c r="P29" i="24"/>
  <c r="P28" i="24"/>
  <c r="P26" i="24"/>
  <c r="P24" i="24"/>
  <c r="P20" i="24"/>
  <c r="P27" i="24"/>
  <c r="P25" i="24"/>
  <c r="P23" i="24"/>
  <c r="P16" i="24"/>
  <c r="P17" i="24"/>
  <c r="F357" i="3"/>
  <c r="F128" i="10"/>
  <c r="O182" i="24"/>
  <c r="O227" i="24"/>
  <c r="P5" i="24"/>
  <c r="Q5" i="24"/>
  <c r="R5" i="24"/>
  <c r="S5" i="24"/>
  <c r="T5" i="24"/>
  <c r="U5" i="24"/>
  <c r="V5" i="24"/>
  <c r="W5" i="24"/>
  <c r="X5" i="24"/>
  <c r="Y5" i="24"/>
  <c r="Q9" i="24"/>
  <c r="F148" i="3"/>
  <c r="D337" i="17"/>
  <c r="O13" i="24"/>
  <c r="O178" i="24"/>
  <c r="P13" i="24"/>
  <c r="D330" i="17"/>
  <c r="Q31" i="24"/>
  <c r="Q30" i="24"/>
  <c r="Q29" i="24"/>
  <c r="Q28" i="24"/>
  <c r="Q27" i="24"/>
  <c r="Q26" i="24"/>
  <c r="Q25" i="24"/>
  <c r="Q24" i="24"/>
  <c r="Q23" i="24"/>
  <c r="Q22" i="24"/>
  <c r="Q20" i="24"/>
  <c r="Q14" i="24"/>
  <c r="Q16" i="24"/>
  <c r="Q17" i="24"/>
  <c r="D293" i="17"/>
  <c r="D358" i="17"/>
  <c r="D351" i="17"/>
  <c r="D344" i="17"/>
  <c r="R9" i="24"/>
  <c r="Q13" i="24"/>
  <c r="P182" i="24"/>
  <c r="P183" i="24"/>
  <c r="P178" i="24"/>
  <c r="D256" i="17"/>
  <c r="R31" i="24"/>
  <c r="R30" i="24"/>
  <c r="R29" i="24"/>
  <c r="R28" i="24"/>
  <c r="R27" i="24"/>
  <c r="R26" i="24"/>
  <c r="R25" i="24"/>
  <c r="R24" i="24"/>
  <c r="R23" i="24"/>
  <c r="R22" i="24"/>
  <c r="R20" i="24"/>
  <c r="R14" i="24"/>
  <c r="R16" i="24"/>
  <c r="R17" i="24"/>
  <c r="D300" i="17"/>
  <c r="D307" i="17"/>
  <c r="D321" i="17"/>
  <c r="D314" i="17"/>
  <c r="R13" i="24"/>
  <c r="S9" i="24"/>
  <c r="Q183" i="24"/>
  <c r="Q178" i="24"/>
  <c r="Q182" i="24"/>
  <c r="D270" i="17"/>
  <c r="D226" i="17"/>
  <c r="S31" i="24"/>
  <c r="S30" i="24"/>
  <c r="S29" i="24"/>
  <c r="S28" i="24"/>
  <c r="S27" i="24"/>
  <c r="S26" i="24"/>
  <c r="S25" i="24"/>
  <c r="S24" i="24"/>
  <c r="S23" i="24"/>
  <c r="S22" i="24"/>
  <c r="S20" i="24"/>
  <c r="S14" i="24"/>
  <c r="S16" i="24"/>
  <c r="S17" i="24"/>
  <c r="D219" i="17"/>
  <c r="E13" i="24"/>
  <c r="D411" i="17"/>
  <c r="F13" i="24"/>
  <c r="R183" i="24"/>
  <c r="R182" i="24"/>
  <c r="S13" i="24"/>
  <c r="T9" i="24"/>
  <c r="R178" i="24"/>
  <c r="D277" i="17"/>
  <c r="D263" i="17"/>
  <c r="T18" i="24"/>
  <c r="T20" i="24"/>
  <c r="T16" i="24"/>
  <c r="T17" i="24"/>
  <c r="T31" i="24"/>
  <c r="T30" i="24"/>
  <c r="T29" i="24"/>
  <c r="T28" i="24"/>
  <c r="T27" i="24"/>
  <c r="T25" i="24"/>
  <c r="T23" i="24"/>
  <c r="T19" i="24"/>
  <c r="T26" i="24"/>
  <c r="T24" i="24"/>
  <c r="T22" i="24"/>
  <c r="T14" i="24"/>
  <c r="F85" i="24"/>
  <c r="F104" i="24"/>
  <c r="F109" i="24"/>
  <c r="F182" i="24"/>
  <c r="F133" i="24"/>
  <c r="F183" i="24"/>
  <c r="E85" i="24"/>
  <c r="E104" i="24"/>
  <c r="E61" i="24"/>
  <c r="E180" i="24"/>
  <c r="E109" i="24"/>
  <c r="E182" i="24"/>
  <c r="E133" i="24"/>
  <c r="E183" i="24"/>
  <c r="E181" i="24"/>
  <c r="F178" i="24"/>
  <c r="D240" i="17"/>
  <c r="H13" i="24"/>
  <c r="H133" i="24"/>
  <c r="D404" i="17"/>
  <c r="F233" i="24"/>
  <c r="F234" i="24"/>
  <c r="E178" i="24"/>
  <c r="E233" i="24"/>
  <c r="E234" i="24"/>
  <c r="D233" i="17"/>
  <c r="G13" i="24"/>
  <c r="S178" i="24"/>
  <c r="T13" i="24"/>
  <c r="U9" i="24"/>
  <c r="S183" i="24"/>
  <c r="S182" i="24"/>
  <c r="Z45" i="23"/>
  <c r="AA45" i="23"/>
  <c r="AB45" i="23"/>
  <c r="D284" i="17"/>
  <c r="D374" i="17"/>
  <c r="D367" i="17"/>
  <c r="D418" i="17"/>
  <c r="U31" i="24"/>
  <c r="U30" i="24"/>
  <c r="U29" i="24"/>
  <c r="U28" i="24"/>
  <c r="U27" i="24"/>
  <c r="U26" i="24"/>
  <c r="U25" i="24"/>
  <c r="U24" i="24"/>
  <c r="U23" i="24"/>
  <c r="U22" i="24"/>
  <c r="U20" i="24"/>
  <c r="U14" i="24"/>
  <c r="U16" i="24"/>
  <c r="U17" i="24"/>
  <c r="F181" i="24"/>
  <c r="G233" i="24"/>
  <c r="G234" i="24"/>
  <c r="G109" i="24"/>
  <c r="G182" i="24"/>
  <c r="G133" i="24"/>
  <c r="G183" i="24"/>
  <c r="G178" i="24"/>
  <c r="F32" i="24"/>
  <c r="F235" i="24"/>
  <c r="F236" i="24"/>
  <c r="F228" i="24"/>
  <c r="F163" i="24"/>
  <c r="E32" i="24"/>
  <c r="E235" i="24"/>
  <c r="E236" i="24"/>
  <c r="E228" i="24"/>
  <c r="E163" i="24"/>
  <c r="E80" i="24"/>
  <c r="E162" i="24"/>
  <c r="D247" i="17"/>
  <c r="I13" i="24"/>
  <c r="D381" i="17"/>
  <c r="G32" i="24"/>
  <c r="G181" i="3"/>
  <c r="H178" i="24"/>
  <c r="H233" i="24"/>
  <c r="H234" i="24"/>
  <c r="H183" i="24"/>
  <c r="D425" i="17"/>
  <c r="V9" i="24"/>
  <c r="U13" i="24"/>
  <c r="T178" i="24"/>
  <c r="T182" i="24"/>
  <c r="T183" i="24"/>
  <c r="J13" i="24"/>
  <c r="J178" i="24"/>
  <c r="V31" i="24"/>
  <c r="V30" i="24"/>
  <c r="V29" i="24"/>
  <c r="V28" i="24"/>
  <c r="V27" i="24"/>
  <c r="V26" i="24"/>
  <c r="V25" i="24"/>
  <c r="V24" i="24"/>
  <c r="V23" i="24"/>
  <c r="V22" i="24"/>
  <c r="V20" i="24"/>
  <c r="V14" i="24"/>
  <c r="V16" i="24"/>
  <c r="V17" i="24"/>
  <c r="F152" i="24"/>
  <c r="F165" i="24"/>
  <c r="F128" i="24"/>
  <c r="F164" i="24"/>
  <c r="E160" i="24"/>
  <c r="E187" i="24"/>
  <c r="F160" i="24"/>
  <c r="F187" i="24"/>
  <c r="D395" i="17"/>
  <c r="G160" i="24"/>
  <c r="G187" i="24"/>
  <c r="G235" i="24"/>
  <c r="G236" i="24"/>
  <c r="G228" i="24"/>
  <c r="I178" i="24"/>
  <c r="I233" i="24"/>
  <c r="I234" i="24"/>
  <c r="J233" i="24"/>
  <c r="J234" i="24"/>
  <c r="E128" i="24"/>
  <c r="G128" i="24"/>
  <c r="F181" i="3"/>
  <c r="E152" i="24"/>
  <c r="G152" i="24"/>
  <c r="V13" i="24"/>
  <c r="W9" i="24"/>
  <c r="U178" i="24"/>
  <c r="U182" i="24"/>
  <c r="U183" i="24"/>
  <c r="K13" i="24"/>
  <c r="K233" i="24"/>
  <c r="K234" i="24"/>
  <c r="W31" i="24"/>
  <c r="W30" i="24"/>
  <c r="W29" i="24"/>
  <c r="W28" i="24"/>
  <c r="W27" i="24"/>
  <c r="W26" i="24"/>
  <c r="W25" i="24"/>
  <c r="W24" i="24"/>
  <c r="W23" i="24"/>
  <c r="W22" i="24"/>
  <c r="W20" i="24"/>
  <c r="W14" i="24"/>
  <c r="W16" i="24"/>
  <c r="W17" i="24"/>
  <c r="K178" i="24"/>
  <c r="E165" i="24"/>
  <c r="E164" i="24"/>
  <c r="G165" i="24"/>
  <c r="G164" i="24"/>
  <c r="V178" i="24"/>
  <c r="V182" i="24"/>
  <c r="W13" i="24"/>
  <c r="X9" i="24"/>
  <c r="V183" i="24"/>
  <c r="L13" i="24"/>
  <c r="X31" i="24"/>
  <c r="X30" i="24"/>
  <c r="X29" i="24"/>
  <c r="X28" i="24"/>
  <c r="X26" i="24"/>
  <c r="X24" i="24"/>
  <c r="X23" i="24"/>
  <c r="X22" i="24"/>
  <c r="X20" i="24"/>
  <c r="X14" i="24"/>
  <c r="X27" i="24"/>
  <c r="X25" i="24"/>
  <c r="X16" i="24"/>
  <c r="X17" i="24"/>
  <c r="L178" i="24"/>
  <c r="L233" i="24"/>
  <c r="L234" i="24"/>
  <c r="X13" i="24"/>
  <c r="Y9" i="24"/>
  <c r="W183" i="24"/>
  <c r="W178" i="24"/>
  <c r="W182" i="24"/>
  <c r="N13" i="24"/>
  <c r="M13" i="24"/>
  <c r="Y31" i="24"/>
  <c r="Y30" i="24"/>
  <c r="Y29" i="24"/>
  <c r="Y28" i="24"/>
  <c r="Y27" i="24"/>
  <c r="Y26" i="24"/>
  <c r="D26" i="24"/>
  <c r="D214" i="24"/>
  <c r="Y25" i="24"/>
  <c r="Y24" i="24"/>
  <c r="Y23" i="24"/>
  <c r="Y22" i="24"/>
  <c r="D22" i="24"/>
  <c r="D210" i="24"/>
  <c r="Y20" i="24"/>
  <c r="Y14" i="24"/>
  <c r="Y16" i="24"/>
  <c r="Y17" i="24"/>
  <c r="T233" i="24"/>
  <c r="T234" i="24"/>
  <c r="U233" i="24"/>
  <c r="U234" i="24"/>
  <c r="W233" i="24"/>
  <c r="W234" i="24"/>
  <c r="V233" i="24"/>
  <c r="V234" i="24"/>
  <c r="P233" i="24"/>
  <c r="P234" i="24"/>
  <c r="M233" i="24"/>
  <c r="M234" i="24"/>
  <c r="N178" i="24"/>
  <c r="M178" i="24"/>
  <c r="O233" i="24"/>
  <c r="O234" i="24"/>
  <c r="R233" i="24"/>
  <c r="R234" i="24"/>
  <c r="Q233" i="24"/>
  <c r="Q234" i="24"/>
  <c r="N233" i="24"/>
  <c r="N234" i="24"/>
  <c r="S233" i="24"/>
  <c r="S234" i="24"/>
  <c r="D28" i="24"/>
  <c r="D25" i="24"/>
  <c r="D213" i="24"/>
  <c r="D30" i="24"/>
  <c r="D24" i="24"/>
  <c r="D212" i="24"/>
  <c r="D20" i="24"/>
  <c r="D208" i="24"/>
  <c r="D29" i="24"/>
  <c r="D27" i="24"/>
  <c r="D31" i="24"/>
  <c r="D23" i="24"/>
  <c r="D211" i="24"/>
  <c r="Y13" i="24"/>
  <c r="X178" i="24"/>
  <c r="X233" i="24"/>
  <c r="X234" i="24"/>
  <c r="X183" i="24"/>
  <c r="X182" i="24"/>
  <c r="D14" i="24"/>
  <c r="D206" i="24"/>
  <c r="D17" i="24"/>
  <c r="D16" i="24"/>
  <c r="D215" i="24"/>
  <c r="Y182" i="24"/>
  <c r="Y183" i="24"/>
  <c r="Y178" i="24"/>
  <c r="Y233" i="24"/>
  <c r="Y234" i="24"/>
  <c r="D13" i="24"/>
  <c r="D205" i="24"/>
  <c r="E89" i="22"/>
  <c r="E88" i="22"/>
  <c r="E76" i="22"/>
  <c r="E75" i="22"/>
  <c r="E63" i="22"/>
  <c r="E62" i="22"/>
  <c r="E50" i="22"/>
  <c r="E49" i="22"/>
  <c r="E37" i="22"/>
  <c r="E36" i="22"/>
  <c r="E24" i="22"/>
  <c r="E23" i="22"/>
  <c r="E87" i="22"/>
  <c r="E74" i="22"/>
  <c r="E90" i="22"/>
  <c r="E77" i="22"/>
  <c r="E64" i="22"/>
  <c r="E51" i="22"/>
  <c r="E38" i="22"/>
  <c r="E25" i="22"/>
  <c r="D82" i="22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/>
  <c r="D134" i="2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Z133" i="21"/>
  <c r="D109" i="21"/>
  <c r="F108" i="21"/>
  <c r="G108" i="21"/>
  <c r="H108" i="21"/>
  <c r="I108" i="21"/>
  <c r="J108" i="21"/>
  <c r="K108" i="21"/>
  <c r="L108" i="21"/>
  <c r="M108" i="21"/>
  <c r="N108" i="21"/>
  <c r="O108" i="21"/>
  <c r="P108" i="21"/>
  <c r="Q108" i="21"/>
  <c r="R108" i="21"/>
  <c r="S108" i="21"/>
  <c r="T108" i="21"/>
  <c r="U108" i="21"/>
  <c r="V108" i="21"/>
  <c r="W108" i="21"/>
  <c r="X108" i="21"/>
  <c r="Y108" i="21"/>
  <c r="Z108" i="21"/>
  <c r="D84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Z83" i="21"/>
  <c r="D59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D34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D30" i="21"/>
  <c r="D12" i="21"/>
  <c r="D13" i="21"/>
  <c r="D14" i="21"/>
  <c r="D15" i="21"/>
  <c r="D9" i="21"/>
  <c r="D5" i="21"/>
  <c r="D9" i="10"/>
  <c r="L357" i="3"/>
  <c r="D38" i="3"/>
  <c r="D67" i="3"/>
  <c r="D29" i="3"/>
  <c r="C15" i="24"/>
  <c r="C207" i="24"/>
  <c r="G128" i="10"/>
  <c r="E128" i="10"/>
  <c r="H128" i="10"/>
  <c r="J357" i="3"/>
  <c r="E357" i="3"/>
  <c r="G44" i="4"/>
  <c r="H44" i="4"/>
  <c r="I44" i="4"/>
  <c r="G43" i="4"/>
  <c r="H43" i="4"/>
  <c r="I43" i="4"/>
  <c r="G41" i="4"/>
  <c r="H41" i="4"/>
  <c r="I41" i="4"/>
  <c r="G42" i="4"/>
  <c r="H42" i="4"/>
  <c r="I42" i="4"/>
  <c r="D22" i="10"/>
  <c r="E22" i="10"/>
  <c r="D21" i="10"/>
  <c r="E21" i="10"/>
  <c r="D20" i="10"/>
  <c r="E20" i="10"/>
  <c r="D19" i="10"/>
  <c r="E19" i="10"/>
  <c r="D18" i="10"/>
  <c r="E18" i="10"/>
  <c r="D17" i="10"/>
  <c r="E17" i="10"/>
  <c r="D16" i="10"/>
  <c r="E16" i="10"/>
  <c r="D15" i="10"/>
  <c r="E15" i="10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/>
  <c r="D246" i="20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/>
  <c r="H32" i="3"/>
  <c r="J18" i="24"/>
  <c r="J138" i="24"/>
  <c r="I32" i="3"/>
  <c r="K18" i="24"/>
  <c r="J32" i="3"/>
  <c r="L18" i="24"/>
  <c r="K32" i="3"/>
  <c r="M18" i="24"/>
  <c r="M32" i="3"/>
  <c r="O18" i="24"/>
  <c r="N32" i="3"/>
  <c r="P18" i="24"/>
  <c r="O32" i="3"/>
  <c r="Q18" i="24"/>
  <c r="P32" i="3"/>
  <c r="R18" i="24"/>
  <c r="Q32" i="3"/>
  <c r="S18" i="24"/>
  <c r="S32" i="3"/>
  <c r="U18" i="24"/>
  <c r="T32" i="3"/>
  <c r="V18" i="24"/>
  <c r="U32" i="3"/>
  <c r="W18" i="24"/>
  <c r="V32" i="3"/>
  <c r="X18" i="24"/>
  <c r="W32" i="3"/>
  <c r="Y18" i="24"/>
  <c r="G33" i="3"/>
  <c r="I19" i="24"/>
  <c r="H33" i="3"/>
  <c r="J19" i="24"/>
  <c r="J139" i="24"/>
  <c r="I33" i="3"/>
  <c r="K19" i="24"/>
  <c r="J33" i="3"/>
  <c r="L19" i="24"/>
  <c r="K33" i="3"/>
  <c r="M19" i="24"/>
  <c r="M33" i="3"/>
  <c r="O19" i="24"/>
  <c r="N33" i="3"/>
  <c r="P19" i="24"/>
  <c r="O33" i="3"/>
  <c r="Q19" i="24"/>
  <c r="P33" i="3"/>
  <c r="R19" i="24"/>
  <c r="Q33" i="3"/>
  <c r="S19" i="24"/>
  <c r="S33" i="3"/>
  <c r="U19" i="24"/>
  <c r="T33" i="3"/>
  <c r="V19" i="24"/>
  <c r="U33" i="3"/>
  <c r="W19" i="24"/>
  <c r="V33" i="3"/>
  <c r="X19" i="24"/>
  <c r="W33" i="3"/>
  <c r="Y19" i="24"/>
  <c r="F76" i="4"/>
  <c r="G352" i="3"/>
  <c r="D245" i="20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/>
  <c r="C183" i="17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/>
  <c r="C29" i="12"/>
  <c r="D24" i="21"/>
  <c r="C30" i="12"/>
  <c r="D25" i="21"/>
  <c r="C31" i="12"/>
  <c r="D26" i="21"/>
  <c r="C32" i="12"/>
  <c r="D27" i="21"/>
  <c r="C148" i="12"/>
  <c r="D148" i="21"/>
  <c r="C149" i="12"/>
  <c r="D149" i="21"/>
  <c r="C150" i="12"/>
  <c r="D150" i="21"/>
  <c r="C151" i="12"/>
  <c r="D151" i="21"/>
  <c r="C152" i="12"/>
  <c r="D152" i="21"/>
  <c r="C124" i="12"/>
  <c r="D123" i="21"/>
  <c r="C125" i="12"/>
  <c r="D124" i="21"/>
  <c r="C126" i="12"/>
  <c r="D125" i="21"/>
  <c r="C127" i="12"/>
  <c r="D126" i="21"/>
  <c r="C128" i="12"/>
  <c r="D127" i="21"/>
  <c r="C100" i="12"/>
  <c r="D98" i="21"/>
  <c r="C101" i="12"/>
  <c r="D99" i="21"/>
  <c r="C102" i="12"/>
  <c r="D100" i="21"/>
  <c r="C103" i="12"/>
  <c r="D101" i="21"/>
  <c r="C104" i="12"/>
  <c r="D102" i="21"/>
  <c r="C78" i="12"/>
  <c r="D75" i="21"/>
  <c r="C79" i="12"/>
  <c r="D76" i="21"/>
  <c r="C80" i="12"/>
  <c r="D77" i="21"/>
  <c r="C54" i="12"/>
  <c r="D50" i="21"/>
  <c r="C55" i="12"/>
  <c r="D51" i="21"/>
  <c r="C56" i="12"/>
  <c r="D52" i="21"/>
  <c r="C76" i="12"/>
  <c r="D73" i="21"/>
  <c r="C77" i="12"/>
  <c r="D74" i="21"/>
  <c r="C52" i="12"/>
  <c r="D48" i="21"/>
  <c r="C53" i="12"/>
  <c r="D49" i="21"/>
  <c r="D4" i="24"/>
  <c r="D178" i="3"/>
  <c r="C139" i="24"/>
  <c r="D177" i="3"/>
  <c r="D176" i="3"/>
  <c r="D175" i="3"/>
  <c r="D174" i="3"/>
  <c r="C135" i="24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04" i="3"/>
  <c r="D103" i="3"/>
  <c r="D102" i="3"/>
  <c r="D101" i="3"/>
  <c r="D100" i="3"/>
  <c r="D75" i="3"/>
  <c r="D74" i="3"/>
  <c r="D73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/>
  <c r="E242" i="3"/>
  <c r="E243" i="3"/>
  <c r="E244" i="3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/>
  <c r="E341" i="3"/>
  <c r="E342" i="3"/>
  <c r="E343" i="3"/>
  <c r="D338" i="3"/>
  <c r="E272" i="3"/>
  <c r="E273" i="3"/>
  <c r="E274" i="3"/>
  <c r="E275" i="3"/>
  <c r="E276" i="3"/>
  <c r="E256" i="3"/>
  <c r="E257" i="3"/>
  <c r="E258" i="3"/>
  <c r="E259" i="3"/>
  <c r="E260" i="3"/>
  <c r="D255" i="3"/>
  <c r="D247" i="3"/>
  <c r="D231" i="3"/>
  <c r="D223" i="3"/>
  <c r="G64" i="4"/>
  <c r="D204" i="3"/>
  <c r="G75" i="4"/>
  <c r="H75" i="4"/>
  <c r="H76" i="4"/>
  <c r="I352" i="3"/>
  <c r="F75" i="4"/>
  <c r="F352" i="3"/>
  <c r="F351" i="3"/>
  <c r="H350" i="3"/>
  <c r="I350" i="3"/>
  <c r="G350" i="3"/>
  <c r="D76" i="4"/>
  <c r="D75" i="4"/>
  <c r="E39" i="10"/>
  <c r="E122" i="10"/>
  <c r="D108" i="10"/>
  <c r="C193" i="20"/>
  <c r="D96" i="10"/>
  <c r="E234" i="20"/>
  <c r="E236" i="20"/>
  <c r="F239" i="20"/>
  <c r="G239" i="20"/>
  <c r="B251" i="20"/>
  <c r="C400" i="20"/>
  <c r="C254" i="20"/>
  <c r="C420" i="20"/>
  <c r="C255" i="20"/>
  <c r="C421" i="20"/>
  <c r="C262" i="20"/>
  <c r="C424" i="20"/>
  <c r="C263" i="20"/>
  <c r="C425" i="20"/>
  <c r="C264" i="20"/>
  <c r="C426" i="20"/>
  <c r="C265" i="20"/>
  <c r="C427" i="20"/>
  <c r="C266" i="20"/>
  <c r="C428" i="20"/>
  <c r="D114" i="3"/>
  <c r="D143" i="3"/>
  <c r="D172" i="3"/>
  <c r="C419" i="20"/>
  <c r="C430" i="20"/>
  <c r="E7" i="20"/>
  <c r="E9" i="20"/>
  <c r="F12" i="20"/>
  <c r="I12" i="20"/>
  <c r="B25" i="20"/>
  <c r="D220" i="20"/>
  <c r="C28" i="20"/>
  <c r="C194" i="20"/>
  <c r="C29" i="20"/>
  <c r="C195" i="20"/>
  <c r="C36" i="20"/>
  <c r="C198" i="20"/>
  <c r="C37" i="20"/>
  <c r="C199" i="20"/>
  <c r="C38" i="20"/>
  <c r="C200" i="20"/>
  <c r="C39" i="20"/>
  <c r="C201" i="20"/>
  <c r="C40" i="20"/>
  <c r="C202" i="20"/>
  <c r="C204" i="20"/>
  <c r="C53" i="17"/>
  <c r="C203" i="17"/>
  <c r="C52" i="17"/>
  <c r="C172" i="17"/>
  <c r="D330" i="3"/>
  <c r="D322" i="3"/>
  <c r="B293" i="17"/>
  <c r="B12" i="12"/>
  <c r="D233" i="12"/>
  <c r="D311" i="3"/>
  <c r="D271" i="3"/>
  <c r="D292" i="3"/>
  <c r="D284" i="3"/>
  <c r="D263" i="3"/>
  <c r="E5" i="12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S32" i="24"/>
  <c r="S160" i="24"/>
  <c r="S187" i="24"/>
  <c r="Y32" i="24"/>
  <c r="Y160" i="24"/>
  <c r="Y187" i="24"/>
  <c r="F9" i="20"/>
  <c r="E105" i="24"/>
  <c r="F105" i="24"/>
  <c r="Y235" i="24"/>
  <c r="Y236" i="24"/>
  <c r="Y228" i="24"/>
  <c r="I139" i="24"/>
  <c r="I115" i="24"/>
  <c r="S235" i="24"/>
  <c r="S236" i="24"/>
  <c r="S228" i="24"/>
  <c r="M32" i="24"/>
  <c r="M33" i="24"/>
  <c r="M169" i="24"/>
  <c r="M191" i="24"/>
  <c r="I114" i="24"/>
  <c r="I138" i="24"/>
  <c r="E10" i="12"/>
  <c r="F5" i="12"/>
  <c r="E24" i="17"/>
  <c r="O32" i="24"/>
  <c r="O160" i="24"/>
  <c r="O187" i="24"/>
  <c r="U32" i="24"/>
  <c r="U33" i="24"/>
  <c r="U169" i="24"/>
  <c r="U191" i="24"/>
  <c r="P32" i="24"/>
  <c r="P33" i="24"/>
  <c r="P169" i="24"/>
  <c r="P191" i="24"/>
  <c r="K32" i="24"/>
  <c r="K235" i="24"/>
  <c r="K236" i="24"/>
  <c r="K228" i="24"/>
  <c r="W32" i="24"/>
  <c r="W160" i="24"/>
  <c r="W187" i="24"/>
  <c r="R32" i="24"/>
  <c r="R160" i="24"/>
  <c r="R187" i="24"/>
  <c r="N32" i="24"/>
  <c r="N235" i="24"/>
  <c r="N236" i="24"/>
  <c r="N228" i="24"/>
  <c r="I32" i="24"/>
  <c r="I33" i="24"/>
  <c r="I169" i="24"/>
  <c r="I191" i="24"/>
  <c r="C374" i="20"/>
  <c r="C134" i="24"/>
  <c r="C87" i="12"/>
  <c r="D85" i="21"/>
  <c r="C86" i="24"/>
  <c r="C48" i="12"/>
  <c r="D44" i="21"/>
  <c r="C47" i="24"/>
  <c r="C71" i="12"/>
  <c r="D68" i="21"/>
  <c r="C70" i="24"/>
  <c r="C75" i="12"/>
  <c r="D72" i="21"/>
  <c r="C74" i="24"/>
  <c r="C98" i="12"/>
  <c r="D96" i="21"/>
  <c r="C97" i="24"/>
  <c r="C121" i="12"/>
  <c r="D120" i="21"/>
  <c r="C120" i="24"/>
  <c r="C383" i="20"/>
  <c r="C143" i="24"/>
  <c r="C40" i="12"/>
  <c r="D36" i="21"/>
  <c r="C39" i="24"/>
  <c r="C44" i="12"/>
  <c r="D40" i="21"/>
  <c r="C43" i="24"/>
  <c r="C306" i="20"/>
  <c r="C66" i="24"/>
  <c r="C103" i="20"/>
  <c r="C89" i="24"/>
  <c r="C126" i="20"/>
  <c r="C112" i="24"/>
  <c r="F172" i="24"/>
  <c r="E81" i="24"/>
  <c r="S33" i="24"/>
  <c r="S169" i="24"/>
  <c r="S191" i="24"/>
  <c r="F33" i="24"/>
  <c r="F169" i="24"/>
  <c r="F191" i="24"/>
  <c r="E33" i="24"/>
  <c r="G33" i="24"/>
  <c r="G169" i="24"/>
  <c r="G191" i="24"/>
  <c r="F129" i="24"/>
  <c r="F173" i="24"/>
  <c r="F153" i="24"/>
  <c r="F174" i="24"/>
  <c r="E129" i="24"/>
  <c r="G129" i="24"/>
  <c r="G173" i="24"/>
  <c r="E153" i="24"/>
  <c r="G153" i="24"/>
  <c r="G174" i="24"/>
  <c r="Y33" i="24"/>
  <c r="Y169" i="24"/>
  <c r="Y191" i="24"/>
  <c r="D19" i="24"/>
  <c r="U235" i="24"/>
  <c r="U236" i="24"/>
  <c r="U228" i="24"/>
  <c r="H152" i="24"/>
  <c r="C260" i="20"/>
  <c r="C422" i="20"/>
  <c r="C20" i="24"/>
  <c r="C208" i="24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/>
  <c r="C38" i="24"/>
  <c r="C289" i="20"/>
  <c r="C49" i="24"/>
  <c r="C73" i="12"/>
  <c r="D70" i="2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/>
  <c r="C64" i="24"/>
  <c r="C101" i="20"/>
  <c r="C87" i="24"/>
  <c r="C331" i="20"/>
  <c r="C91" i="24"/>
  <c r="C128" i="20"/>
  <c r="C114" i="24"/>
  <c r="C151" i="20"/>
  <c r="C137" i="24"/>
  <c r="C261" i="20"/>
  <c r="C423" i="20"/>
  <c r="C21" i="24"/>
  <c r="C209" i="24"/>
  <c r="C350" i="20"/>
  <c r="C110" i="24"/>
  <c r="C286" i="20"/>
  <c r="C46" i="24"/>
  <c r="C64" i="20"/>
  <c r="C50" i="24"/>
  <c r="C74" i="12"/>
  <c r="D71" i="2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E9" i="12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/>
  <c r="C360" i="20"/>
  <c r="C337" i="20"/>
  <c r="D315" i="3"/>
  <c r="C120" i="12"/>
  <c r="D119" i="21"/>
  <c r="C87" i="20"/>
  <c r="C290" i="20"/>
  <c r="C51" i="12"/>
  <c r="D47" i="21"/>
  <c r="C160" i="20"/>
  <c r="C143" i="12"/>
  <c r="D143" i="21"/>
  <c r="D94" i="3"/>
  <c r="B108" i="12"/>
  <c r="B150" i="17"/>
  <c r="B365" i="17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/>
  <c r="C60" i="20"/>
  <c r="C22" i="12"/>
  <c r="C42" i="12"/>
  <c r="D38" i="21"/>
  <c r="D266" i="3"/>
  <c r="C304" i="20"/>
  <c r="D126" i="3"/>
  <c r="C93" i="24"/>
  <c r="G12" i="3"/>
  <c r="C144" i="12"/>
  <c r="D144" i="21"/>
  <c r="C63" i="12"/>
  <c r="D60" i="21"/>
  <c r="C116" i="12"/>
  <c r="D115" i="21"/>
  <c r="C328" i="20"/>
  <c r="C305" i="20"/>
  <c r="G95" i="10"/>
  <c r="D61" i="10"/>
  <c r="D181" i="3"/>
  <c r="D295" i="3"/>
  <c r="C111" i="20"/>
  <c r="C66" i="12"/>
  <c r="D63" i="2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/>
  <c r="D68" i="3"/>
  <c r="C45" i="24"/>
  <c r="C90" i="12"/>
  <c r="D88" i="21"/>
  <c r="B60" i="12"/>
  <c r="C181" i="12"/>
  <c r="C63" i="20"/>
  <c r="R12" i="20"/>
  <c r="G12" i="20"/>
  <c r="C153" i="17"/>
  <c r="D97" i="3"/>
  <c r="D184" i="3"/>
  <c r="C141" i="24"/>
  <c r="C352" i="20"/>
  <c r="D155" i="3"/>
  <c r="C117" i="24"/>
  <c r="E38" i="20"/>
  <c r="C35" i="20"/>
  <c r="C197" i="20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/>
  <c r="C85" i="20"/>
  <c r="D151" i="3"/>
  <c r="C137" i="12"/>
  <c r="D137" i="21"/>
  <c r="D233" i="3"/>
  <c r="F64" i="4"/>
  <c r="D19" i="17"/>
  <c r="C96" i="12"/>
  <c r="D94" i="21"/>
  <c r="C88" i="12"/>
  <c r="D86" i="21"/>
  <c r="C138" i="12"/>
  <c r="D138" i="2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/>
  <c r="C93" i="17"/>
  <c r="C43" i="17"/>
  <c r="C102" i="17"/>
  <c r="C133" i="17"/>
  <c r="C161" i="17"/>
  <c r="C146" i="12"/>
  <c r="D146" i="21"/>
  <c r="C97" i="12"/>
  <c r="D95" i="21"/>
  <c r="C41" i="12"/>
  <c r="D37" i="21"/>
  <c r="C68" i="12"/>
  <c r="D65" i="21"/>
  <c r="C91" i="12"/>
  <c r="D89" i="21"/>
  <c r="C114" i="12"/>
  <c r="D113" i="21"/>
  <c r="D152" i="3"/>
  <c r="C47" i="17"/>
  <c r="B219" i="17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/>
  <c r="C64" i="12"/>
  <c r="D61" i="21"/>
  <c r="D293" i="3"/>
  <c r="C136" i="20"/>
  <c r="D64" i="3"/>
  <c r="D260" i="3"/>
  <c r="C63" i="17"/>
  <c r="D120" i="10"/>
  <c r="C147" i="12"/>
  <c r="D147" i="21"/>
  <c r="C123" i="12"/>
  <c r="D122" i="21"/>
  <c r="C50" i="12"/>
  <c r="D46" i="21"/>
  <c r="C214" i="12"/>
  <c r="C111" i="12"/>
  <c r="D110" i="21"/>
  <c r="C92" i="12"/>
  <c r="D90" i="21"/>
  <c r="C115" i="12"/>
  <c r="D114" i="21"/>
  <c r="D286" i="3"/>
  <c r="D294" i="3"/>
  <c r="D276" i="3"/>
  <c r="F310" i="3"/>
  <c r="D324" i="3"/>
  <c r="C34" i="20"/>
  <c r="C196" i="20"/>
  <c r="D180" i="3"/>
  <c r="C140" i="24"/>
  <c r="D93" i="3"/>
  <c r="C68" i="24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/>
  <c r="F44" i="10"/>
  <c r="E115" i="20"/>
  <c r="Q107" i="20"/>
  <c r="E135" i="20"/>
  <c r="E159" i="20"/>
  <c r="E82" i="20"/>
  <c r="B2" i="15"/>
  <c r="D118" i="12"/>
  <c r="H210" i="12"/>
  <c r="I44" i="10"/>
  <c r="D142" i="12"/>
  <c r="I210" i="12"/>
  <c r="J44" i="10"/>
  <c r="C83" i="17"/>
  <c r="C173" i="17"/>
  <c r="D94" i="12"/>
  <c r="G210" i="12"/>
  <c r="H44" i="10"/>
  <c r="C113" i="17"/>
  <c r="V239" i="20"/>
  <c r="H122" i="10"/>
  <c r="F155" i="20"/>
  <c r="E117" i="20"/>
  <c r="O107" i="20"/>
  <c r="K107" i="20"/>
  <c r="H95" i="10"/>
  <c r="G9" i="2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/>
  <c r="D228" i="3"/>
  <c r="D339" i="3"/>
  <c r="D244" i="3"/>
  <c r="D268" i="3"/>
  <c r="D327" i="3"/>
  <c r="B49" i="20"/>
  <c r="C184" i="20"/>
  <c r="D252" i="3"/>
  <c r="D265" i="3"/>
  <c r="D285" i="3"/>
  <c r="D297" i="3"/>
  <c r="D313" i="3"/>
  <c r="B132" i="12"/>
  <c r="I204" i="12"/>
  <c r="D323" i="3"/>
  <c r="D335" i="3"/>
  <c r="B145" i="20"/>
  <c r="I191" i="20"/>
  <c r="D248" i="3"/>
  <c r="D257" i="3"/>
  <c r="D340" i="3"/>
  <c r="D301" i="3"/>
  <c r="B30" i="17"/>
  <c r="B217" i="17"/>
  <c r="C179" i="12"/>
  <c r="D204" i="12"/>
  <c r="E131" i="20"/>
  <c r="E215" i="20"/>
  <c r="D325" i="3"/>
  <c r="D333" i="3"/>
  <c r="B323" i="20"/>
  <c r="C412" i="20"/>
  <c r="D341" i="3"/>
  <c r="D288" i="3"/>
  <c r="D275" i="3"/>
  <c r="D312" i="3"/>
  <c r="B36" i="12"/>
  <c r="C171" i="12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/>
  <c r="B121" i="20"/>
  <c r="H191" i="20"/>
  <c r="B97" i="20"/>
  <c r="C177" i="20"/>
  <c r="B275" i="20"/>
  <c r="E417" i="20"/>
  <c r="D226" i="3"/>
  <c r="D232" i="3"/>
  <c r="D258" i="3"/>
  <c r="D243" i="3"/>
  <c r="D60" i="10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/>
  <c r="G44" i="10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/>
  <c r="E44" i="10"/>
  <c r="C208" i="12"/>
  <c r="C72" i="12"/>
  <c r="D69" i="21"/>
  <c r="C108" i="20"/>
  <c r="C49" i="12"/>
  <c r="D45" i="21"/>
  <c r="D47" i="10"/>
  <c r="C207" i="12"/>
  <c r="C135" i="12"/>
  <c r="D135" i="21"/>
  <c r="C80" i="20"/>
  <c r="C329" i="20"/>
  <c r="C279" i="20"/>
  <c r="C53" i="20"/>
  <c r="C283" i="20"/>
  <c r="C57" i="20"/>
  <c r="C153" i="20"/>
  <c r="C379" i="20"/>
  <c r="C113" i="12"/>
  <c r="D112" i="21"/>
  <c r="C136" i="12"/>
  <c r="D136" i="21"/>
  <c r="C112" i="20"/>
  <c r="C326" i="20"/>
  <c r="C100" i="20"/>
  <c r="C278" i="20"/>
  <c r="C52" i="20"/>
  <c r="C122" i="12"/>
  <c r="D121" i="21"/>
  <c r="C99" i="12"/>
  <c r="D97" i="21"/>
  <c r="C95" i="12"/>
  <c r="D93" i="21"/>
  <c r="C67" i="12"/>
  <c r="D64" i="21"/>
  <c r="C140" i="12"/>
  <c r="D140" i="2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/>
  <c r="C351" i="20"/>
  <c r="C112" i="12"/>
  <c r="D111" i="21"/>
  <c r="C378" i="20"/>
  <c r="C139" i="12"/>
  <c r="D139" i="2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F141" i="21"/>
  <c r="F117" i="21"/>
  <c r="F93" i="21"/>
  <c r="F69" i="21"/>
  <c r="F45" i="21"/>
  <c r="F148" i="21"/>
  <c r="F124" i="21"/>
  <c r="F100" i="21"/>
  <c r="F122" i="21"/>
  <c r="F92" i="21"/>
  <c r="F62" i="21"/>
  <c r="F147" i="21"/>
  <c r="F113" i="21"/>
  <c r="F70" i="21"/>
  <c r="F39" i="21"/>
  <c r="F118" i="21"/>
  <c r="F64" i="21"/>
  <c r="F95" i="21"/>
  <c r="F46" i="21"/>
  <c r="F66" i="21"/>
  <c r="F74" i="21"/>
  <c r="F14" i="21"/>
  <c r="F25" i="21"/>
  <c r="F10" i="21"/>
  <c r="F16" i="21"/>
  <c r="F125" i="21"/>
  <c r="F101" i="21"/>
  <c r="F60" i="21"/>
  <c r="F138" i="21"/>
  <c r="F150" i="21"/>
  <c r="F76" i="21"/>
  <c r="F91" i="21"/>
  <c r="F142" i="21"/>
  <c r="F40" i="21"/>
  <c r="F90" i="21"/>
  <c r="F35" i="21"/>
  <c r="F20" i="21"/>
  <c r="F12" i="21"/>
  <c r="F145" i="21"/>
  <c r="F121" i="21"/>
  <c r="F97" i="21"/>
  <c r="F73" i="21"/>
  <c r="F49" i="21"/>
  <c r="F152" i="21"/>
  <c r="F135" i="21"/>
  <c r="F112" i="21"/>
  <c r="F140" i="21"/>
  <c r="F94" i="21"/>
  <c r="F71" i="21"/>
  <c r="F42" i="21"/>
  <c r="F119" i="21"/>
  <c r="F75" i="21"/>
  <c r="F47" i="21"/>
  <c r="F126" i="21"/>
  <c r="F72" i="21"/>
  <c r="F151" i="21"/>
  <c r="F67" i="21"/>
  <c r="F85" i="21"/>
  <c r="F123" i="21"/>
  <c r="F18" i="21"/>
  <c r="F19" i="21"/>
  <c r="F27" i="21"/>
  <c r="F17" i="21"/>
  <c r="F149" i="21"/>
  <c r="F77" i="21"/>
  <c r="F37" i="21"/>
  <c r="F116" i="21"/>
  <c r="F102" i="21"/>
  <c r="F43" i="21"/>
  <c r="F127" i="21"/>
  <c r="F52" i="21"/>
  <c r="F110" i="21"/>
  <c r="F68" i="21"/>
  <c r="F38" i="21"/>
  <c r="F22" i="21"/>
  <c r="F23" i="21"/>
  <c r="F137" i="21"/>
  <c r="F115" i="21"/>
  <c r="F89" i="21"/>
  <c r="F63" i="21"/>
  <c r="F41" i="21"/>
  <c r="F144" i="21"/>
  <c r="F120" i="21"/>
  <c r="F96" i="21"/>
  <c r="F114" i="21"/>
  <c r="F88" i="21"/>
  <c r="F48" i="21"/>
  <c r="F139" i="21"/>
  <c r="F99" i="21"/>
  <c r="F65" i="21"/>
  <c r="F146" i="21"/>
  <c r="F98" i="21"/>
  <c r="F50" i="21"/>
  <c r="F87" i="21"/>
  <c r="F143" i="21"/>
  <c r="F44" i="21"/>
  <c r="F51" i="21"/>
  <c r="F26" i="21"/>
  <c r="F21" i="21"/>
  <c r="F24" i="21"/>
  <c r="F13" i="21"/>
  <c r="F15" i="21"/>
  <c r="G215" i="20"/>
  <c r="F10" i="12"/>
  <c r="F14" i="20"/>
  <c r="E14" i="20"/>
  <c r="F215" i="20"/>
  <c r="F228" i="12"/>
  <c r="F9" i="12"/>
  <c r="M235" i="24"/>
  <c r="M236" i="24"/>
  <c r="M228" i="24"/>
  <c r="M160" i="24"/>
  <c r="M187" i="24"/>
  <c r="G5" i="12"/>
  <c r="D244" i="20"/>
  <c r="E112" i="10"/>
  <c r="E86" i="12"/>
  <c r="E134" i="12"/>
  <c r="F134" i="21"/>
  <c r="E38" i="12"/>
  <c r="E62" i="12"/>
  <c r="F59" i="21"/>
  <c r="E110" i="12"/>
  <c r="E14" i="12"/>
  <c r="F9" i="21"/>
  <c r="F152" i="12"/>
  <c r="F148" i="12"/>
  <c r="G148" i="21"/>
  <c r="F128" i="12"/>
  <c r="F124" i="12"/>
  <c r="G123" i="21"/>
  <c r="F104" i="12"/>
  <c r="F100" i="12"/>
  <c r="G98" i="21"/>
  <c r="F80" i="12"/>
  <c r="F76" i="12"/>
  <c r="G73" i="21"/>
  <c r="F56" i="12"/>
  <c r="F52" i="12"/>
  <c r="G48" i="21"/>
  <c r="F32" i="12"/>
  <c r="F28" i="12"/>
  <c r="G23" i="21"/>
  <c r="F151" i="12"/>
  <c r="F147" i="12"/>
  <c r="G147" i="21"/>
  <c r="F123" i="12"/>
  <c r="F119" i="12"/>
  <c r="F95" i="12"/>
  <c r="F79" i="12"/>
  <c r="G76" i="21"/>
  <c r="F55" i="12"/>
  <c r="F51" i="12"/>
  <c r="G47" i="21"/>
  <c r="F150" i="12"/>
  <c r="F146" i="12"/>
  <c r="G146" i="21"/>
  <c r="F102" i="12"/>
  <c r="F98" i="12"/>
  <c r="G96" i="21"/>
  <c r="F54" i="12"/>
  <c r="F50" i="12"/>
  <c r="G46" i="21"/>
  <c r="F149" i="12"/>
  <c r="F145" i="12"/>
  <c r="G145" i="21"/>
  <c r="F121" i="12"/>
  <c r="F117" i="12"/>
  <c r="G116" i="21"/>
  <c r="F93" i="12"/>
  <c r="F77" i="12"/>
  <c r="G74" i="21"/>
  <c r="F53" i="12"/>
  <c r="F49" i="12"/>
  <c r="G45" i="21"/>
  <c r="F25" i="12"/>
  <c r="F21" i="12"/>
  <c r="G16" i="21"/>
  <c r="I160" i="24"/>
  <c r="I187" i="24"/>
  <c r="P160" i="24"/>
  <c r="P187" i="24"/>
  <c r="O235" i="24"/>
  <c r="O236" i="24"/>
  <c r="O228" i="24"/>
  <c r="N33" i="24"/>
  <c r="N169" i="24"/>
  <c r="N191" i="24"/>
  <c r="P235" i="24"/>
  <c r="P236" i="24"/>
  <c r="P228" i="24"/>
  <c r="O33" i="24"/>
  <c r="O169" i="24"/>
  <c r="O191" i="24"/>
  <c r="W235" i="24"/>
  <c r="W236" i="24"/>
  <c r="W228" i="24"/>
  <c r="R33" i="24"/>
  <c r="R169" i="24"/>
  <c r="R191" i="24"/>
  <c r="R235" i="24"/>
  <c r="R236" i="24"/>
  <c r="R228" i="24"/>
  <c r="W33" i="24"/>
  <c r="W169" i="24"/>
  <c r="W191" i="24"/>
  <c r="U160" i="24"/>
  <c r="U187" i="24"/>
  <c r="K160" i="24"/>
  <c r="K187" i="24"/>
  <c r="H240" i="20"/>
  <c r="I240" i="20"/>
  <c r="J240" i="20"/>
  <c r="K240" i="20"/>
  <c r="L240" i="20"/>
  <c r="M240" i="20"/>
  <c r="N240" i="20"/>
  <c r="O240" i="20"/>
  <c r="P240" i="20"/>
  <c r="Q240" i="20"/>
  <c r="R240" i="20"/>
  <c r="S240" i="20"/>
  <c r="T240" i="20"/>
  <c r="U240" i="20"/>
  <c r="V240" i="20"/>
  <c r="W240" i="20"/>
  <c r="X240" i="20"/>
  <c r="Y240" i="20"/>
  <c r="K33" i="24"/>
  <c r="K169" i="24"/>
  <c r="K191" i="24"/>
  <c r="D207" i="24"/>
  <c r="D216" i="24"/>
  <c r="N160" i="24"/>
  <c r="N187" i="24"/>
  <c r="I235" i="24"/>
  <c r="I236" i="24"/>
  <c r="I228" i="24"/>
  <c r="Q235" i="24"/>
  <c r="Q236" i="24"/>
  <c r="Q228" i="24"/>
  <c r="Q160" i="24"/>
  <c r="Q187" i="24"/>
  <c r="Q33" i="24"/>
  <c r="Q169" i="24"/>
  <c r="Q191" i="24"/>
  <c r="E174" i="24"/>
  <c r="V160" i="24"/>
  <c r="V187" i="24"/>
  <c r="V235" i="24"/>
  <c r="V236" i="24"/>
  <c r="V228" i="24"/>
  <c r="V33" i="24"/>
  <c r="V169" i="24"/>
  <c r="V191" i="24"/>
  <c r="H235" i="24"/>
  <c r="H236" i="24"/>
  <c r="H228" i="24"/>
  <c r="H160" i="24"/>
  <c r="H187" i="24"/>
  <c r="H33" i="24"/>
  <c r="H169" i="24"/>
  <c r="H191" i="24"/>
  <c r="D32" i="24"/>
  <c r="T235" i="24"/>
  <c r="T236" i="24"/>
  <c r="T228" i="24"/>
  <c r="T160" i="24"/>
  <c r="T187" i="24"/>
  <c r="T33" i="24"/>
  <c r="T169" i="24"/>
  <c r="T191" i="24"/>
  <c r="E173" i="24"/>
  <c r="E169" i="24"/>
  <c r="E191" i="24"/>
  <c r="E171" i="24"/>
  <c r="C356" i="20"/>
  <c r="C116" i="24"/>
  <c r="C309" i="20"/>
  <c r="C69" i="24"/>
  <c r="J160" i="24"/>
  <c r="J187" i="24"/>
  <c r="J33" i="24"/>
  <c r="J169" i="24"/>
  <c r="J191" i="24"/>
  <c r="J235" i="24"/>
  <c r="J236" i="24"/>
  <c r="J228" i="24"/>
  <c r="H165" i="24"/>
  <c r="H153" i="24"/>
  <c r="H174" i="24"/>
  <c r="E172" i="24"/>
  <c r="E8" i="10"/>
  <c r="L235" i="24"/>
  <c r="L236" i="24"/>
  <c r="L228" i="24"/>
  <c r="L33" i="24"/>
  <c r="L169" i="24"/>
  <c r="L191" i="24"/>
  <c r="L160" i="24"/>
  <c r="L187" i="24"/>
  <c r="X235" i="24"/>
  <c r="X236" i="24"/>
  <c r="X228" i="24"/>
  <c r="X33" i="24"/>
  <c r="X169" i="24"/>
  <c r="X191" i="24"/>
  <c r="X160" i="24"/>
  <c r="X187" i="24"/>
  <c r="D18" i="20"/>
  <c r="E13" i="20"/>
  <c r="F134" i="12"/>
  <c r="C404" i="20"/>
  <c r="C413" i="20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F55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F26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G346" i="17"/>
  <c r="D44" i="10"/>
  <c r="D17" i="21"/>
  <c r="D11" i="22"/>
  <c r="D43" i="10"/>
  <c r="D16" i="21"/>
  <c r="C174" i="12"/>
  <c r="H204" i="12"/>
  <c r="C165" i="12"/>
  <c r="C117" i="12"/>
  <c r="D116" i="21"/>
  <c r="C183" i="12"/>
  <c r="H12" i="3"/>
  <c r="C163" i="12"/>
  <c r="C209" i="12"/>
  <c r="G310" i="3"/>
  <c r="C48" i="17"/>
  <c r="C198" i="17"/>
  <c r="B411" i="17"/>
  <c r="C70" i="12"/>
  <c r="D67" i="21"/>
  <c r="D96" i="3"/>
  <c r="C142" i="12"/>
  <c r="D142" i="21"/>
  <c r="D183" i="3"/>
  <c r="C131" i="20"/>
  <c r="D154" i="3"/>
  <c r="C107" i="20"/>
  <c r="D125" i="3"/>
  <c r="C210" i="12"/>
  <c r="C94" i="12"/>
  <c r="D92" i="21"/>
  <c r="C333" i="20"/>
  <c r="H310" i="3"/>
  <c r="C381" i="20"/>
  <c r="C155" i="20"/>
  <c r="G321" i="3"/>
  <c r="E258" i="17"/>
  <c r="E295" i="17"/>
  <c r="F302" i="17"/>
  <c r="F303" i="17"/>
  <c r="F305" i="17"/>
  <c r="G302" i="17"/>
  <c r="G420" i="17"/>
  <c r="H242" i="17"/>
  <c r="G383" i="17"/>
  <c r="G384" i="17"/>
  <c r="G386" i="17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/>
  <c r="G309" i="17"/>
  <c r="G310" i="17"/>
  <c r="G312" i="17"/>
  <c r="H309" i="17"/>
  <c r="F228" i="17"/>
  <c r="H279" i="17"/>
  <c r="F204" i="12"/>
  <c r="C172" i="12"/>
  <c r="C197" i="17"/>
  <c r="B404" i="17"/>
  <c r="C77" i="17"/>
  <c r="B256" i="17"/>
  <c r="C107" i="17"/>
  <c r="C293" i="17"/>
  <c r="C118" i="12"/>
  <c r="D117" i="21"/>
  <c r="C179" i="20"/>
  <c r="C357" i="20"/>
  <c r="C59" i="20"/>
  <c r="C285" i="20"/>
  <c r="C46" i="12"/>
  <c r="D42" i="21"/>
  <c r="I360" i="17"/>
  <c r="I361" i="17"/>
  <c r="I363" i="17"/>
  <c r="F265" i="17"/>
  <c r="F266" i="17"/>
  <c r="F268" i="17"/>
  <c r="E332" i="17"/>
  <c r="I323" i="17"/>
  <c r="I286" i="17"/>
  <c r="I287" i="17"/>
  <c r="I289" i="17"/>
  <c r="G235" i="17"/>
  <c r="G236" i="17"/>
  <c r="G238" i="17"/>
  <c r="H235" i="17"/>
  <c r="H236" i="17"/>
  <c r="H237" i="17"/>
  <c r="H49" i="17"/>
  <c r="G272" i="17"/>
  <c r="G273" i="17"/>
  <c r="G275" i="17"/>
  <c r="H272" i="17"/>
  <c r="I397" i="17"/>
  <c r="F413" i="17"/>
  <c r="F414" i="17"/>
  <c r="F416" i="17"/>
  <c r="G413" i="17"/>
  <c r="F339" i="17"/>
  <c r="H427" i="17"/>
  <c r="H428" i="17"/>
  <c r="H430" i="17"/>
  <c r="I427" i="17"/>
  <c r="I434" i="17"/>
  <c r="H353" i="17"/>
  <c r="H354" i="17"/>
  <c r="H356" i="17"/>
  <c r="C137" i="17"/>
  <c r="B330" i="17"/>
  <c r="H390" i="17"/>
  <c r="H391" i="17"/>
  <c r="H393" i="17"/>
  <c r="I390" i="17"/>
  <c r="I391" i="17"/>
  <c r="I392" i="17"/>
  <c r="E221" i="17"/>
  <c r="G417" i="20"/>
  <c r="C10" i="17"/>
  <c r="C167" i="17"/>
  <c r="B367" i="17"/>
  <c r="C162" i="12"/>
  <c r="C130" i="20"/>
  <c r="C154" i="20"/>
  <c r="C380" i="20"/>
  <c r="C141" i="12"/>
  <c r="D141" i="21"/>
  <c r="C332" i="20"/>
  <c r="C93" i="12"/>
  <c r="D91" i="21"/>
  <c r="C106" i="20"/>
  <c r="C82" i="20"/>
  <c r="C308" i="20"/>
  <c r="C69" i="12"/>
  <c r="D66" i="21"/>
  <c r="C45" i="12"/>
  <c r="D41" i="21"/>
  <c r="C58" i="20"/>
  <c r="C284" i="20"/>
  <c r="C188" i="20"/>
  <c r="C175" i="20"/>
  <c r="C403" i="20"/>
  <c r="H9" i="20"/>
  <c r="D83" i="20"/>
  <c r="F197" i="20"/>
  <c r="E191" i="20"/>
  <c r="D333" i="20"/>
  <c r="G423" i="20"/>
  <c r="D309" i="20"/>
  <c r="F423" i="20"/>
  <c r="D357" i="20"/>
  <c r="H423" i="20"/>
  <c r="C184" i="12"/>
  <c r="C166" i="12"/>
  <c r="C410" i="20"/>
  <c r="B180" i="17"/>
  <c r="C15" i="17"/>
  <c r="C175" i="12"/>
  <c r="C185" i="20"/>
  <c r="C176" i="20"/>
  <c r="F191" i="20"/>
  <c r="C401" i="20"/>
  <c r="C414" i="20"/>
  <c r="F62" i="12"/>
  <c r="F110" i="12"/>
  <c r="F14" i="12"/>
  <c r="F38" i="12"/>
  <c r="G34" i="21"/>
  <c r="F86" i="12"/>
  <c r="D261" i="20"/>
  <c r="D423" i="20"/>
  <c r="B60" i="17"/>
  <c r="C180" i="12"/>
  <c r="G10" i="12"/>
  <c r="G14" i="20"/>
  <c r="D381" i="20"/>
  <c r="I423" i="20"/>
  <c r="D35" i="20"/>
  <c r="D197" i="20"/>
  <c r="D131" i="20"/>
  <c r="H197" i="20"/>
  <c r="C178" i="20"/>
  <c r="C187" i="20"/>
  <c r="G204" i="12"/>
  <c r="B120" i="17"/>
  <c r="C164" i="12"/>
  <c r="C173" i="12"/>
  <c r="E204" i="12"/>
  <c r="G191" i="20"/>
  <c r="D107" i="20"/>
  <c r="G197" i="20"/>
  <c r="D59" i="20"/>
  <c r="E197" i="20"/>
  <c r="D285" i="20"/>
  <c r="E423" i="20"/>
  <c r="D155" i="20"/>
  <c r="I197" i="20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F47" i="12"/>
  <c r="F45" i="12"/>
  <c r="F73" i="12"/>
  <c r="F101" i="12"/>
  <c r="F141" i="12"/>
  <c r="F30" i="12"/>
  <c r="F78" i="12"/>
  <c r="F126" i="12"/>
  <c r="F31" i="12"/>
  <c r="F75" i="12"/>
  <c r="F103" i="12"/>
  <c r="F143" i="12"/>
  <c r="F24" i="12"/>
  <c r="F48" i="12"/>
  <c r="F72" i="12"/>
  <c r="F96" i="12"/>
  <c r="F120" i="12"/>
  <c r="F144" i="12"/>
  <c r="F27" i="12"/>
  <c r="F29" i="12"/>
  <c r="F69" i="12"/>
  <c r="F97" i="12"/>
  <c r="F125" i="12"/>
  <c r="F26" i="12"/>
  <c r="F74" i="12"/>
  <c r="F122" i="12"/>
  <c r="F23" i="12"/>
  <c r="F71" i="12"/>
  <c r="F99" i="12"/>
  <c r="F127" i="12"/>
  <c r="F15" i="12"/>
  <c r="F39" i="12"/>
  <c r="F63" i="12"/>
  <c r="F87" i="12"/>
  <c r="F111" i="12"/>
  <c r="F135" i="12"/>
  <c r="F13" i="20"/>
  <c r="G13" i="20"/>
  <c r="G9" i="21"/>
  <c r="G134" i="21"/>
  <c r="G20" i="21"/>
  <c r="G49" i="21"/>
  <c r="G91" i="21"/>
  <c r="G120" i="21"/>
  <c r="G149" i="21"/>
  <c r="G50" i="21"/>
  <c r="G100" i="21"/>
  <c r="G150" i="21"/>
  <c r="G51" i="21"/>
  <c r="G93" i="21"/>
  <c r="G122" i="21"/>
  <c r="G151" i="21"/>
  <c r="G27" i="21"/>
  <c r="G52" i="21"/>
  <c r="G77" i="21"/>
  <c r="G102" i="21"/>
  <c r="G127" i="21"/>
  <c r="G152" i="21"/>
  <c r="G109" i="21"/>
  <c r="G22" i="21"/>
  <c r="G24" i="21"/>
  <c r="G66" i="21"/>
  <c r="G95" i="21"/>
  <c r="G124" i="21"/>
  <c r="G21" i="21"/>
  <c r="G71" i="21"/>
  <c r="G121" i="21"/>
  <c r="G18" i="21"/>
  <c r="G68" i="21"/>
  <c r="G97" i="21"/>
  <c r="G126" i="21"/>
  <c r="G10" i="21"/>
  <c r="G35" i="21"/>
  <c r="G60" i="21"/>
  <c r="G85" i="21"/>
  <c r="G110" i="21"/>
  <c r="G135" i="21"/>
  <c r="G138" i="21"/>
  <c r="G112" i="21"/>
  <c r="G92" i="21"/>
  <c r="G90" i="21"/>
  <c r="G64" i="21"/>
  <c r="G38" i="21"/>
  <c r="G139" i="21"/>
  <c r="G113" i="21"/>
  <c r="G137" i="21"/>
  <c r="G117" i="21"/>
  <c r="G65" i="21"/>
  <c r="G39" i="21"/>
  <c r="G142" i="21"/>
  <c r="G89" i="21"/>
  <c r="G87" i="21"/>
  <c r="G67" i="21"/>
  <c r="G63" i="21"/>
  <c r="G62" i="21"/>
  <c r="G61" i="21"/>
  <c r="G37" i="21"/>
  <c r="G115" i="21"/>
  <c r="G88" i="21"/>
  <c r="G140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72" i="21"/>
  <c r="G101" i="21"/>
  <c r="G143" i="21"/>
  <c r="G19" i="21"/>
  <c r="G44" i="21"/>
  <c r="G69" i="21"/>
  <c r="G94" i="21"/>
  <c r="G119" i="21"/>
  <c r="G144" i="21"/>
  <c r="F132" i="20"/>
  <c r="G118" i="21"/>
  <c r="E349" i="20"/>
  <c r="E368" i="20"/>
  <c r="E404" i="20"/>
  <c r="F109" i="21"/>
  <c r="E325" i="20"/>
  <c r="E344" i="20"/>
  <c r="E403" i="20"/>
  <c r="F84" i="21"/>
  <c r="E277" i="20"/>
  <c r="E296" i="20"/>
  <c r="E297" i="20"/>
  <c r="F34" i="21"/>
  <c r="G17" i="21"/>
  <c r="G13" i="21"/>
  <c r="G12" i="21"/>
  <c r="G15" i="21"/>
  <c r="G14" i="21"/>
  <c r="I9" i="20"/>
  <c r="I13" i="20"/>
  <c r="H13" i="20"/>
  <c r="G228" i="12"/>
  <c r="G9" i="12"/>
  <c r="F24" i="17"/>
  <c r="E100" i="10"/>
  <c r="F136" i="21"/>
  <c r="H5" i="12"/>
  <c r="E301" i="20"/>
  <c r="E320" i="20"/>
  <c r="E402" i="20"/>
  <c r="E153" i="12"/>
  <c r="E154" i="12"/>
  <c r="E373" i="20"/>
  <c r="E392" i="20"/>
  <c r="E393" i="20"/>
  <c r="E184" i="12"/>
  <c r="E147" i="20"/>
  <c r="E166" i="20"/>
  <c r="E179" i="20"/>
  <c r="E75" i="20"/>
  <c r="E94" i="20"/>
  <c r="E176" i="20"/>
  <c r="E181" i="12"/>
  <c r="E81" i="12"/>
  <c r="E82" i="12"/>
  <c r="E234" i="12"/>
  <c r="E235" i="12"/>
  <c r="E27" i="20"/>
  <c r="E46" i="20"/>
  <c r="E221" i="20"/>
  <c r="E222" i="20"/>
  <c r="E223" i="20"/>
  <c r="E216" i="20"/>
  <c r="E33" i="12"/>
  <c r="E34" i="12"/>
  <c r="E179" i="12"/>
  <c r="E253" i="20"/>
  <c r="E272" i="20"/>
  <c r="E400" i="20"/>
  <c r="E180" i="12"/>
  <c r="E57" i="12"/>
  <c r="E58" i="12"/>
  <c r="E51" i="20"/>
  <c r="E70" i="20"/>
  <c r="E175" i="20"/>
  <c r="E129" i="12"/>
  <c r="E130" i="12"/>
  <c r="E123" i="20"/>
  <c r="E142" i="20"/>
  <c r="E183" i="12"/>
  <c r="E99" i="20"/>
  <c r="E118" i="20"/>
  <c r="E177" i="20"/>
  <c r="E105" i="12"/>
  <c r="E106" i="12"/>
  <c r="E182" i="12"/>
  <c r="G146" i="12"/>
  <c r="H146" i="21"/>
  <c r="G150" i="12"/>
  <c r="H150" i="21"/>
  <c r="G144" i="12"/>
  <c r="H144" i="21"/>
  <c r="G148" i="12"/>
  <c r="H148" i="21"/>
  <c r="G152" i="12"/>
  <c r="H152" i="21"/>
  <c r="G120" i="12"/>
  <c r="H119" i="21"/>
  <c r="G143" i="12"/>
  <c r="H143" i="21"/>
  <c r="G147" i="12"/>
  <c r="H147" i="21"/>
  <c r="G151" i="12"/>
  <c r="H151" i="21"/>
  <c r="G119" i="12"/>
  <c r="H118" i="21"/>
  <c r="G122" i="12"/>
  <c r="H121" i="21"/>
  <c r="G126" i="12"/>
  <c r="H125" i="21"/>
  <c r="G145" i="12"/>
  <c r="H145" i="21"/>
  <c r="G124" i="12"/>
  <c r="H123" i="21"/>
  <c r="G128" i="12"/>
  <c r="H127" i="21"/>
  <c r="G96" i="12"/>
  <c r="H94" i="21"/>
  <c r="G100" i="12"/>
  <c r="H98" i="21"/>
  <c r="G104" i="12"/>
  <c r="H102" i="21"/>
  <c r="G117" i="12"/>
  <c r="H116" i="21"/>
  <c r="G123" i="12"/>
  <c r="H122" i="21"/>
  <c r="G127" i="12"/>
  <c r="H126" i="21"/>
  <c r="G121" i="12"/>
  <c r="H120" i="21"/>
  <c r="G93" i="12"/>
  <c r="H91" i="21"/>
  <c r="G98" i="12"/>
  <c r="H96" i="21"/>
  <c r="G87" i="12"/>
  <c r="H85" i="21"/>
  <c r="G135" i="12"/>
  <c r="H135" i="21"/>
  <c r="G111" i="12"/>
  <c r="H110" i="21"/>
  <c r="G97" i="12"/>
  <c r="H95" i="21"/>
  <c r="G99" i="12"/>
  <c r="H97" i="21"/>
  <c r="G71" i="12"/>
  <c r="H68" i="21"/>
  <c r="G75" i="12"/>
  <c r="H72" i="21"/>
  <c r="G79" i="12"/>
  <c r="H76" i="21"/>
  <c r="G125" i="12"/>
  <c r="H124" i="21"/>
  <c r="G101" i="12"/>
  <c r="H99" i="21"/>
  <c r="G103" i="12"/>
  <c r="H101" i="21"/>
  <c r="G73" i="12"/>
  <c r="H70" i="21"/>
  <c r="G80" i="12"/>
  <c r="H77" i="21"/>
  <c r="G47" i="12"/>
  <c r="H43" i="21"/>
  <c r="G149" i="12"/>
  <c r="H149" i="21"/>
  <c r="G95" i="12"/>
  <c r="H93" i="21"/>
  <c r="G72" i="12"/>
  <c r="H69" i="21"/>
  <c r="G74" i="12"/>
  <c r="H71" i="21"/>
  <c r="G63" i="12"/>
  <c r="H60" i="21"/>
  <c r="G45" i="12"/>
  <c r="H41" i="21"/>
  <c r="G49" i="12"/>
  <c r="H45" i="21"/>
  <c r="G53" i="12"/>
  <c r="H49" i="21"/>
  <c r="G39" i="12"/>
  <c r="H35" i="21"/>
  <c r="G21" i="12"/>
  <c r="H16" i="21"/>
  <c r="G25" i="12"/>
  <c r="H20" i="21"/>
  <c r="G102" i="12"/>
  <c r="H100" i="21"/>
  <c r="G69" i="12"/>
  <c r="H66" i="21"/>
  <c r="G76" i="12"/>
  <c r="H73" i="21"/>
  <c r="G78" i="12"/>
  <c r="H75" i="21"/>
  <c r="G48" i="12"/>
  <c r="H44" i="21"/>
  <c r="G77" i="12"/>
  <c r="H74" i="21"/>
  <c r="G55" i="12"/>
  <c r="H51" i="21"/>
  <c r="G28" i="12"/>
  <c r="H23" i="21"/>
  <c r="G32" i="12"/>
  <c r="H27" i="21"/>
  <c r="G50" i="12"/>
  <c r="H46" i="21"/>
  <c r="G52" i="12"/>
  <c r="H48" i="21"/>
  <c r="G27" i="12"/>
  <c r="H22" i="21"/>
  <c r="G54" i="12"/>
  <c r="H50" i="21"/>
  <c r="G56" i="12"/>
  <c r="H52" i="21"/>
  <c r="G26" i="12"/>
  <c r="H21" i="21"/>
  <c r="G30" i="12"/>
  <c r="H25" i="21"/>
  <c r="G29" i="12"/>
  <c r="H24" i="21"/>
  <c r="G15" i="12"/>
  <c r="H10" i="21"/>
  <c r="G24" i="12"/>
  <c r="H19" i="21"/>
  <c r="G31" i="12"/>
  <c r="H26" i="21"/>
  <c r="G51" i="12"/>
  <c r="H47" i="21"/>
  <c r="G23" i="12"/>
  <c r="H18" i="21"/>
  <c r="G141" i="12"/>
  <c r="H141" i="21"/>
  <c r="F36" i="21"/>
  <c r="F53" i="21"/>
  <c r="F61" i="21"/>
  <c r="F78" i="21"/>
  <c r="F86" i="21"/>
  <c r="F103" i="21"/>
  <c r="F11" i="21"/>
  <c r="F111" i="21"/>
  <c r="F131" i="17"/>
  <c r="D33" i="24"/>
  <c r="D218" i="24"/>
  <c r="F295" i="20"/>
  <c r="F164" i="20"/>
  <c r="F45" i="20"/>
  <c r="F69" i="20"/>
  <c r="F271" i="20"/>
  <c r="F86" i="20"/>
  <c r="F377" i="17"/>
  <c r="F379" i="17"/>
  <c r="G376" i="17"/>
  <c r="G134" i="12"/>
  <c r="H134" i="21"/>
  <c r="E407" i="17"/>
  <c r="E409" i="17"/>
  <c r="F406" i="17"/>
  <c r="E333" i="17"/>
  <c r="E335" i="17"/>
  <c r="F332" i="17"/>
  <c r="G26" i="3"/>
  <c r="F29" i="3"/>
  <c r="F35" i="3"/>
  <c r="F38" i="3"/>
  <c r="F41" i="3"/>
  <c r="G55" i="3"/>
  <c r="F58" i="3"/>
  <c r="F390" i="20"/>
  <c r="F312" i="20"/>
  <c r="I12" i="3"/>
  <c r="I321" i="3"/>
  <c r="H321" i="3"/>
  <c r="C49" i="17"/>
  <c r="C79" i="17"/>
  <c r="B270" i="17"/>
  <c r="G347" i="17"/>
  <c r="G349" i="17"/>
  <c r="H346" i="17"/>
  <c r="H347" i="17"/>
  <c r="H348" i="17"/>
  <c r="E296" i="17"/>
  <c r="E298" i="17"/>
  <c r="F295" i="17"/>
  <c r="F161" i="20"/>
  <c r="F87" i="20"/>
  <c r="F269" i="20"/>
  <c r="F289" i="20"/>
  <c r="F76" i="20"/>
  <c r="F157" i="20"/>
  <c r="F311" i="20"/>
  <c r="F291" i="20"/>
  <c r="F339" i="20"/>
  <c r="F148" i="20"/>
  <c r="F160" i="20"/>
  <c r="F286" i="20"/>
  <c r="F254" i="20"/>
  <c r="F165" i="20"/>
  <c r="F315" i="20"/>
  <c r="F359" i="20"/>
  <c r="F318" i="20"/>
  <c r="F342" i="20"/>
  <c r="E259" i="17"/>
  <c r="E261" i="17"/>
  <c r="F258" i="17"/>
  <c r="F358" i="20"/>
  <c r="F66" i="20"/>
  <c r="F362" i="20"/>
  <c r="F137" i="20"/>
  <c r="F337" i="20"/>
  <c r="F34" i="20"/>
  <c r="F6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/>
  <c r="F221" i="17"/>
  <c r="G222" i="3"/>
  <c r="G214" i="3"/>
  <c r="C78" i="17"/>
  <c r="B263" i="17"/>
  <c r="C138" i="17"/>
  <c r="B337" i="17"/>
  <c r="B226" i="17"/>
  <c r="C168" i="17"/>
  <c r="B374" i="17"/>
  <c r="C108" i="17"/>
  <c r="B300" i="17"/>
  <c r="F304" i="17"/>
  <c r="F108" i="17"/>
  <c r="H243" i="17"/>
  <c r="H244" i="17"/>
  <c r="H50" i="17"/>
  <c r="F229" i="17"/>
  <c r="F231" i="17"/>
  <c r="G228" i="17"/>
  <c r="H317" i="17"/>
  <c r="H319" i="17"/>
  <c r="I316" i="17"/>
  <c r="G421" i="17"/>
  <c r="G423" i="17"/>
  <c r="H420" i="17"/>
  <c r="F340" i="17"/>
  <c r="F342" i="17"/>
  <c r="G339" i="17"/>
  <c r="G237" i="17"/>
  <c r="G49" i="17"/>
  <c r="F133" i="20"/>
  <c r="I398" i="17"/>
  <c r="I400" i="17"/>
  <c r="J397" i="17"/>
  <c r="H280" i="17"/>
  <c r="H282" i="17"/>
  <c r="I279" i="17"/>
  <c r="I324" i="17"/>
  <c r="I326" i="17"/>
  <c r="J323" i="17"/>
  <c r="I435" i="17"/>
  <c r="I437" i="17"/>
  <c r="J434" i="17"/>
  <c r="I250" i="17"/>
  <c r="I252" i="17"/>
  <c r="J249" i="17"/>
  <c r="E370" i="17"/>
  <c r="E372" i="17"/>
  <c r="F369" i="17"/>
  <c r="F65" i="20"/>
  <c r="C12" i="17"/>
  <c r="H215" i="20"/>
  <c r="B402" i="17"/>
  <c r="G311" i="17"/>
  <c r="G109" i="17"/>
  <c r="F85" i="20"/>
  <c r="F113" i="20"/>
  <c r="F89" i="20"/>
  <c r="F292" i="20"/>
  <c r="F415" i="17"/>
  <c r="F198" i="17"/>
  <c r="F158" i="20"/>
  <c r="H429" i="17"/>
  <c r="H200" i="17"/>
  <c r="G274" i="17"/>
  <c r="G79" i="17"/>
  <c r="F383" i="20"/>
  <c r="F386" i="20"/>
  <c r="F387" i="20"/>
  <c r="F43" i="20"/>
  <c r="F60" i="20"/>
  <c r="F313" i="20"/>
  <c r="F260" i="20"/>
  <c r="F290" i="20"/>
  <c r="F374" i="20"/>
  <c r="E345" i="20"/>
  <c r="E412" i="20"/>
  <c r="F391" i="20"/>
  <c r="F302" i="20"/>
  <c r="F92" i="20"/>
  <c r="F116" i="20"/>
  <c r="F136" i="20"/>
  <c r="F28" i="20"/>
  <c r="F63" i="20"/>
  <c r="F234" i="12"/>
  <c r="F235" i="12"/>
  <c r="F153" i="12"/>
  <c r="F154" i="12"/>
  <c r="F385" i="20"/>
  <c r="F159" i="20"/>
  <c r="F316" i="20"/>
  <c r="F81" i="12"/>
  <c r="F82" i="12"/>
  <c r="F356" i="20"/>
  <c r="F130" i="20"/>
  <c r="G14" i="12"/>
  <c r="H9" i="21"/>
  <c r="H10" i="12"/>
  <c r="H14" i="20"/>
  <c r="G62" i="12"/>
  <c r="H59" i="21"/>
  <c r="G38" i="12"/>
  <c r="H34" i="21"/>
  <c r="G110" i="12"/>
  <c r="H109" i="21"/>
  <c r="G86" i="12"/>
  <c r="H84" i="21"/>
  <c r="F360" i="20"/>
  <c r="F134" i="20"/>
  <c r="F99" i="20"/>
  <c r="F182" i="12"/>
  <c r="F325" i="20"/>
  <c r="F105" i="12"/>
  <c r="F106" i="12"/>
  <c r="F180" i="12"/>
  <c r="F277" i="20"/>
  <c r="F51" i="20"/>
  <c r="F57" i="12"/>
  <c r="F58" i="12"/>
  <c r="F163" i="20"/>
  <c r="F389" i="20"/>
  <c r="F91" i="20"/>
  <c r="F317" i="20"/>
  <c r="F267" i="20"/>
  <c r="F41" i="20"/>
  <c r="F363" i="20"/>
  <c r="F111" i="20"/>
  <c r="F335" i="20"/>
  <c r="F109" i="20"/>
  <c r="F52" i="20"/>
  <c r="F278" i="20"/>
  <c r="F183" i="12"/>
  <c r="F123" i="20"/>
  <c r="F349" i="20"/>
  <c r="F129" i="12"/>
  <c r="F130" i="12"/>
  <c r="F367" i="20"/>
  <c r="F141" i="20"/>
  <c r="F93" i="20"/>
  <c r="F319" i="20"/>
  <c r="F90" i="20"/>
  <c r="F364" i="20"/>
  <c r="F138" i="20"/>
  <c r="F40" i="20"/>
  <c r="F266" i="20"/>
  <c r="F265" i="20"/>
  <c r="F39" i="20"/>
  <c r="F334" i="20"/>
  <c r="F108" i="20"/>
  <c r="F58" i="20"/>
  <c r="F284" i="20"/>
  <c r="F181" i="12"/>
  <c r="F75" i="20"/>
  <c r="F301" i="20"/>
  <c r="F88" i="20"/>
  <c r="F314" i="20"/>
  <c r="F156" i="20"/>
  <c r="F382" i="20"/>
  <c r="F37" i="20"/>
  <c r="F263" i="20"/>
  <c r="F84" i="20"/>
  <c r="F310" i="20"/>
  <c r="F135" i="20"/>
  <c r="F361" i="20"/>
  <c r="F44" i="20"/>
  <c r="F270" i="20"/>
  <c r="F380" i="20"/>
  <c r="F154" i="20"/>
  <c r="F340" i="20"/>
  <c r="F114" i="20"/>
  <c r="F293" i="20"/>
  <c r="F67" i="20"/>
  <c r="F139" i="20"/>
  <c r="F365" i="20"/>
  <c r="F36" i="20"/>
  <c r="F262" i="20"/>
  <c r="F268" i="20"/>
  <c r="F42" i="20"/>
  <c r="F115" i="20"/>
  <c r="F341" i="20"/>
  <c r="F308" i="20"/>
  <c r="F82" i="20"/>
  <c r="F68" i="20"/>
  <c r="F294" i="20"/>
  <c r="F117" i="20"/>
  <c r="F343" i="20"/>
  <c r="F162" i="20"/>
  <c r="F388" i="20"/>
  <c r="F332" i="20"/>
  <c r="F106" i="20"/>
  <c r="B254" i="17"/>
  <c r="C11" i="17"/>
  <c r="F100" i="20"/>
  <c r="F326" i="20"/>
  <c r="F287" i="20"/>
  <c r="F61" i="20"/>
  <c r="F124" i="20"/>
  <c r="F350" i="20"/>
  <c r="F179" i="12"/>
  <c r="F253" i="20"/>
  <c r="F27" i="20"/>
  <c r="F33" i="12"/>
  <c r="F34" i="12"/>
  <c r="F38" i="20"/>
  <c r="F264" i="20"/>
  <c r="F336" i="20"/>
  <c r="F110" i="20"/>
  <c r="F373" i="20"/>
  <c r="F184" i="12"/>
  <c r="F147" i="20"/>
  <c r="F62" i="20"/>
  <c r="F288" i="20"/>
  <c r="F112" i="20"/>
  <c r="F338" i="20"/>
  <c r="F140" i="20"/>
  <c r="F366" i="20"/>
  <c r="B328" i="17"/>
  <c r="C13" i="17"/>
  <c r="F132" i="17"/>
  <c r="F71" i="17"/>
  <c r="F163" i="17"/>
  <c r="F73" i="17"/>
  <c r="F72" i="17"/>
  <c r="F101" i="17"/>
  <c r="I362" i="17"/>
  <c r="I141" i="17"/>
  <c r="H238" i="17"/>
  <c r="I235" i="17"/>
  <c r="H355" i="17"/>
  <c r="H140" i="17"/>
  <c r="I393" i="17"/>
  <c r="J390" i="17"/>
  <c r="I170" i="17"/>
  <c r="G385" i="17"/>
  <c r="G169" i="17"/>
  <c r="H392" i="17"/>
  <c r="H170" i="17"/>
  <c r="G414" i="17"/>
  <c r="G416" i="17"/>
  <c r="J286" i="17"/>
  <c r="E369" i="20"/>
  <c r="I428" i="17"/>
  <c r="I430" i="17"/>
  <c r="J9" i="20"/>
  <c r="J13" i="20"/>
  <c r="I215" i="20"/>
  <c r="I353" i="17"/>
  <c r="G303" i="17"/>
  <c r="G305" i="17"/>
  <c r="H236" i="20"/>
  <c r="G441" i="20"/>
  <c r="I288" i="17"/>
  <c r="I81" i="17"/>
  <c r="H273" i="17"/>
  <c r="H275" i="17"/>
  <c r="G265" i="17"/>
  <c r="E104" i="17"/>
  <c r="E194" i="17"/>
  <c r="J360" i="17"/>
  <c r="E74" i="17"/>
  <c r="E44" i="17"/>
  <c r="H310" i="17"/>
  <c r="H312" i="17"/>
  <c r="H383" i="17"/>
  <c r="F267" i="17"/>
  <c r="F78" i="17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E401" i="20"/>
  <c r="G136" i="21"/>
  <c r="G11" i="21"/>
  <c r="G86" i="21"/>
  <c r="F128" i="21"/>
  <c r="G36" i="21"/>
  <c r="G111" i="2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/>
  <c r="H9" i="12"/>
  <c r="E143" i="20"/>
  <c r="E187" i="20"/>
  <c r="E47" i="20"/>
  <c r="E183" i="20"/>
  <c r="E119" i="20"/>
  <c r="E186" i="20"/>
  <c r="E95" i="20"/>
  <c r="E185" i="20"/>
  <c r="E167" i="20"/>
  <c r="E188" i="20"/>
  <c r="E71" i="20"/>
  <c r="E184" i="20"/>
  <c r="G24" i="17"/>
  <c r="E447" i="20"/>
  <c r="E448" i="20"/>
  <c r="E449" i="20"/>
  <c r="E442" i="20"/>
  <c r="E321" i="20"/>
  <c r="E411" i="20"/>
  <c r="E405" i="20"/>
  <c r="F28" i="21"/>
  <c r="F153" i="21"/>
  <c r="H228" i="12"/>
  <c r="E174" i="20"/>
  <c r="E273" i="20"/>
  <c r="E409" i="20"/>
  <c r="F236" i="12"/>
  <c r="F170" i="12"/>
  <c r="F192" i="12"/>
  <c r="E170" i="12"/>
  <c r="E192" i="12"/>
  <c r="E161" i="12"/>
  <c r="E188" i="12"/>
  <c r="E236" i="12"/>
  <c r="E237" i="12"/>
  <c r="E229" i="12"/>
  <c r="E178" i="20"/>
  <c r="F171" i="12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I143" i="21"/>
  <c r="H147" i="12"/>
  <c r="I147" i="21"/>
  <c r="H151" i="12"/>
  <c r="I151" i="21"/>
  <c r="H141" i="12"/>
  <c r="I141" i="21"/>
  <c r="H145" i="12"/>
  <c r="I145" i="21"/>
  <c r="H149" i="12"/>
  <c r="I149" i="21"/>
  <c r="H135" i="12"/>
  <c r="I135" i="21"/>
  <c r="H138" i="12"/>
  <c r="I138" i="21"/>
  <c r="H117" i="12"/>
  <c r="I116" i="21"/>
  <c r="H144" i="12"/>
  <c r="I144" i="21"/>
  <c r="H148" i="12"/>
  <c r="I148" i="21"/>
  <c r="H152" i="12"/>
  <c r="I152" i="21"/>
  <c r="H139" i="12"/>
  <c r="I139" i="21"/>
  <c r="H123" i="12"/>
  <c r="I122" i="21"/>
  <c r="H127" i="12"/>
  <c r="I126" i="21"/>
  <c r="H150" i="12"/>
  <c r="I150" i="21"/>
  <c r="H121" i="12"/>
  <c r="I120" i="21"/>
  <c r="H125" i="12"/>
  <c r="I124" i="21"/>
  <c r="H111" i="12"/>
  <c r="I110" i="21"/>
  <c r="H114" i="12"/>
  <c r="I113" i="21"/>
  <c r="H93" i="12"/>
  <c r="I91" i="21"/>
  <c r="H97" i="12"/>
  <c r="I95" i="21"/>
  <c r="H101" i="12"/>
  <c r="I99" i="21"/>
  <c r="H146" i="12"/>
  <c r="I146" i="21"/>
  <c r="H140" i="12"/>
  <c r="I140" i="21"/>
  <c r="H120" i="12"/>
  <c r="I119" i="21"/>
  <c r="H124" i="12"/>
  <c r="I123" i="21"/>
  <c r="H128" i="12"/>
  <c r="I127" i="21"/>
  <c r="H137" i="12"/>
  <c r="I137" i="21"/>
  <c r="H119" i="12"/>
  <c r="I118" i="21"/>
  <c r="H126" i="12"/>
  <c r="I125" i="21"/>
  <c r="H116" i="12"/>
  <c r="I115" i="21"/>
  <c r="H96" i="12"/>
  <c r="I94" i="21"/>
  <c r="H103" i="12"/>
  <c r="I101" i="21"/>
  <c r="H113" i="12"/>
  <c r="I112" i="21"/>
  <c r="H95" i="12"/>
  <c r="I93" i="21"/>
  <c r="H102" i="12"/>
  <c r="I100" i="21"/>
  <c r="H104" i="12"/>
  <c r="I102" i="21"/>
  <c r="H89" i="12"/>
  <c r="I87" i="21"/>
  <c r="H72" i="12"/>
  <c r="I69" i="21"/>
  <c r="H76" i="12"/>
  <c r="I73" i="21"/>
  <c r="H80" i="12"/>
  <c r="I77" i="21"/>
  <c r="H99" i="12"/>
  <c r="I97" i="21"/>
  <c r="H122" i="12"/>
  <c r="I121" i="21"/>
  <c r="H100" i="12"/>
  <c r="I98" i="21"/>
  <c r="H91" i="12"/>
  <c r="I89" i="21"/>
  <c r="H69" i="12"/>
  <c r="I66" i="21"/>
  <c r="H71" i="12"/>
  <c r="I68" i="21"/>
  <c r="H78" i="12"/>
  <c r="I75" i="21"/>
  <c r="H65" i="12"/>
  <c r="I62" i="21"/>
  <c r="H48" i="12"/>
  <c r="I44" i="21"/>
  <c r="H87" i="12"/>
  <c r="I85" i="21"/>
  <c r="H77" i="12"/>
  <c r="I74" i="21"/>
  <c r="H79" i="12"/>
  <c r="I76" i="21"/>
  <c r="H67" i="12"/>
  <c r="I64" i="21"/>
  <c r="H50" i="12"/>
  <c r="I46" i="21"/>
  <c r="H54" i="12"/>
  <c r="I50" i="21"/>
  <c r="H43" i="12"/>
  <c r="I39" i="21"/>
  <c r="H92" i="12"/>
  <c r="I90" i="21"/>
  <c r="H74" i="12"/>
  <c r="I71" i="21"/>
  <c r="H63" i="12"/>
  <c r="I60" i="21"/>
  <c r="H66" i="12"/>
  <c r="I63" i="21"/>
  <c r="H45" i="12"/>
  <c r="I41" i="21"/>
  <c r="H49" i="12"/>
  <c r="I45" i="21"/>
  <c r="H51" i="12"/>
  <c r="I47" i="21"/>
  <c r="H53" i="12"/>
  <c r="I49" i="21"/>
  <c r="H39" i="12"/>
  <c r="I35" i="21"/>
  <c r="H41" i="12"/>
  <c r="I37" i="21"/>
  <c r="H23" i="12"/>
  <c r="I18" i="21"/>
  <c r="H25" i="12"/>
  <c r="I20" i="21"/>
  <c r="H29" i="12"/>
  <c r="I24" i="21"/>
  <c r="H55" i="12"/>
  <c r="I51" i="21"/>
  <c r="H28" i="12"/>
  <c r="I23" i="21"/>
  <c r="H73" i="12"/>
  <c r="I70" i="21"/>
  <c r="H47" i="12"/>
  <c r="I43" i="21"/>
  <c r="H52" i="12"/>
  <c r="I48" i="21"/>
  <c r="H44" i="12"/>
  <c r="I40" i="21"/>
  <c r="H21" i="12"/>
  <c r="I16" i="21"/>
  <c r="H24" i="12"/>
  <c r="I19" i="21"/>
  <c r="H27" i="12"/>
  <c r="I22" i="21"/>
  <c r="H31" i="12"/>
  <c r="I26" i="21"/>
  <c r="H17" i="12"/>
  <c r="I12" i="21"/>
  <c r="H30" i="12"/>
  <c r="I25" i="21"/>
  <c r="H19" i="12"/>
  <c r="I14" i="21"/>
  <c r="H75" i="12"/>
  <c r="I72" i="21"/>
  <c r="H68" i="12"/>
  <c r="I65" i="21"/>
  <c r="H32" i="12"/>
  <c r="I27" i="21"/>
  <c r="H18" i="12"/>
  <c r="I13" i="21"/>
  <c r="H115" i="12"/>
  <c r="I114" i="21"/>
  <c r="H98" i="12"/>
  <c r="I96" i="21"/>
  <c r="H90" i="12"/>
  <c r="I88" i="21"/>
  <c r="H56" i="12"/>
  <c r="I52" i="21"/>
  <c r="H42" i="12"/>
  <c r="I38" i="21"/>
  <c r="H26" i="12"/>
  <c r="I21" i="21"/>
  <c r="H20" i="12"/>
  <c r="I15" i="21"/>
  <c r="H15" i="12"/>
  <c r="I10" i="21"/>
  <c r="C50" i="17"/>
  <c r="C200" i="17"/>
  <c r="B425" i="17"/>
  <c r="J12" i="3"/>
  <c r="J321" i="3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/>
  <c r="C109" i="17"/>
  <c r="B307" i="17"/>
  <c r="E334" i="17"/>
  <c r="E137" i="17"/>
  <c r="E145" i="17"/>
  <c r="E147" i="17"/>
  <c r="E148" i="17"/>
  <c r="E408" i="17"/>
  <c r="E197" i="17"/>
  <c r="E205" i="17"/>
  <c r="E207" i="17"/>
  <c r="E208" i="17"/>
  <c r="E297" i="17"/>
  <c r="E107" i="17"/>
  <c r="E115" i="17"/>
  <c r="E117" i="17"/>
  <c r="E118" i="17"/>
  <c r="E260" i="17"/>
  <c r="E77" i="17"/>
  <c r="E85" i="17"/>
  <c r="E87" i="17"/>
  <c r="E88" i="17"/>
  <c r="G348" i="17"/>
  <c r="G139" i="17"/>
  <c r="H139" i="17"/>
  <c r="G58" i="3"/>
  <c r="H55" i="3"/>
  <c r="G29" i="3"/>
  <c r="G35" i="3"/>
  <c r="G38" i="3"/>
  <c r="G41" i="3"/>
  <c r="H26" i="3"/>
  <c r="H349" i="17"/>
  <c r="I346" i="17"/>
  <c r="I347" i="17"/>
  <c r="I349" i="17"/>
  <c r="C169" i="17"/>
  <c r="B381" i="17"/>
  <c r="C199" i="17"/>
  <c r="B418" i="17"/>
  <c r="G103" i="21"/>
  <c r="G128" i="21"/>
  <c r="G153" i="21"/>
  <c r="G28" i="21"/>
  <c r="G53" i="21"/>
  <c r="G78" i="21"/>
  <c r="I299" i="3"/>
  <c r="I291" i="3"/>
  <c r="I283" i="3"/>
  <c r="I270" i="3"/>
  <c r="I262" i="3"/>
  <c r="I254" i="3"/>
  <c r="I246" i="3"/>
  <c r="I238" i="3"/>
  <c r="I230" i="3"/>
  <c r="E223" i="17"/>
  <c r="E47" i="17"/>
  <c r="E55" i="17"/>
  <c r="E57" i="17"/>
  <c r="E58" i="17"/>
  <c r="I214" i="3"/>
  <c r="I222" i="3"/>
  <c r="F341" i="17"/>
  <c r="F138" i="17"/>
  <c r="H245" i="17"/>
  <c r="I242" i="17"/>
  <c r="I243" i="17"/>
  <c r="I245" i="17"/>
  <c r="C110" i="17"/>
  <c r="B314" i="17"/>
  <c r="I436" i="17"/>
  <c r="I201" i="17"/>
  <c r="F230" i="17"/>
  <c r="F48" i="17"/>
  <c r="F163" i="12"/>
  <c r="E371" i="17"/>
  <c r="E167" i="17"/>
  <c r="E175" i="17"/>
  <c r="E177" i="17"/>
  <c r="E178" i="17"/>
  <c r="H318" i="17"/>
  <c r="H110" i="17"/>
  <c r="G422" i="17"/>
  <c r="G199" i="17"/>
  <c r="I251" i="17"/>
  <c r="I51" i="17"/>
  <c r="H281" i="17"/>
  <c r="H80" i="17"/>
  <c r="I399" i="17"/>
  <c r="I171" i="17"/>
  <c r="I325" i="17"/>
  <c r="I111" i="17"/>
  <c r="F370" i="17"/>
  <c r="F371" i="17"/>
  <c r="F167" i="17"/>
  <c r="F162" i="12"/>
  <c r="F392" i="20"/>
  <c r="F405" i="20"/>
  <c r="F142" i="20"/>
  <c r="F178" i="20"/>
  <c r="F173" i="12"/>
  <c r="F166" i="20"/>
  <c r="F167" i="20"/>
  <c r="F344" i="20"/>
  <c r="F345" i="20"/>
  <c r="F412" i="20"/>
  <c r="F70" i="20"/>
  <c r="F175" i="20"/>
  <c r="F46" i="20"/>
  <c r="F221" i="20"/>
  <c r="F222" i="20"/>
  <c r="F223" i="20"/>
  <c r="F216" i="20"/>
  <c r="F320" i="20"/>
  <c r="F321" i="20"/>
  <c r="F411" i="20"/>
  <c r="G234" i="12"/>
  <c r="G235" i="12"/>
  <c r="F368" i="20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/>
  <c r="F118" i="20"/>
  <c r="F119" i="20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/>
  <c r="G293" i="20"/>
  <c r="G67" i="20"/>
  <c r="G82" i="20"/>
  <c r="G308" i="20"/>
  <c r="G61" i="20"/>
  <c r="G287" i="20"/>
  <c r="F94" i="20"/>
  <c r="F95" i="20"/>
  <c r="G358" i="20"/>
  <c r="G132" i="20"/>
  <c r="F296" i="20"/>
  <c r="G148" i="20"/>
  <c r="G374" i="20"/>
  <c r="G108" i="20"/>
  <c r="G334" i="20"/>
  <c r="G325" i="20"/>
  <c r="G182" i="12"/>
  <c r="G99" i="20"/>
  <c r="G105" i="12"/>
  <c r="G106" i="12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/>
  <c r="H110" i="12"/>
  <c r="I109" i="21"/>
  <c r="H38" i="12"/>
  <c r="I34" i="21"/>
  <c r="H62" i="12"/>
  <c r="I59" i="21"/>
  <c r="H134" i="12"/>
  <c r="I134" i="21"/>
  <c r="I10" i="12"/>
  <c r="I14" i="20"/>
  <c r="H86" i="12"/>
  <c r="I84" i="21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153" i="12"/>
  <c r="G154" i="12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/>
  <c r="G123" i="20"/>
  <c r="G181" i="12"/>
  <c r="G75" i="20"/>
  <c r="G81" i="12"/>
  <c r="G82" i="12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/>
  <c r="G304" i="17"/>
  <c r="G108" i="17"/>
  <c r="I429" i="17"/>
  <c r="I200" i="17"/>
  <c r="G415" i="17"/>
  <c r="G198" i="17"/>
  <c r="G340" i="17"/>
  <c r="G342" i="17"/>
  <c r="H384" i="17"/>
  <c r="H386" i="17"/>
  <c r="F407" i="17"/>
  <c r="F409" i="17"/>
  <c r="E410" i="20"/>
  <c r="I354" i="17"/>
  <c r="I356" i="17"/>
  <c r="J287" i="17"/>
  <c r="J289" i="17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/>
  <c r="F222" i="17"/>
  <c r="F224" i="17"/>
  <c r="J361" i="17"/>
  <c r="J363" i="17"/>
  <c r="I272" i="17"/>
  <c r="I236" i="17"/>
  <c r="I238" i="17"/>
  <c r="I317" i="17"/>
  <c r="I319" i="17"/>
  <c r="F296" i="17"/>
  <c r="F298" i="17"/>
  <c r="I236" i="20"/>
  <c r="H441" i="20"/>
  <c r="G377" i="17"/>
  <c r="G379" i="17"/>
  <c r="G229" i="17"/>
  <c r="G231" i="17"/>
  <c r="E413" i="20"/>
  <c r="F194" i="17"/>
  <c r="J435" i="17"/>
  <c r="J437" i="17"/>
  <c r="I309" i="17"/>
  <c r="I280" i="17"/>
  <c r="I282" i="17"/>
  <c r="J391" i="17"/>
  <c r="J393" i="17"/>
  <c r="J427" i="17"/>
  <c r="J398" i="17"/>
  <c r="J400" i="17"/>
  <c r="H413" i="17"/>
  <c r="F164" i="17"/>
  <c r="F44" i="17"/>
  <c r="F104" i="17"/>
  <c r="F259" i="17"/>
  <c r="F261" i="17"/>
  <c r="E414" i="20"/>
  <c r="H311" i="17"/>
  <c r="H109" i="17"/>
  <c r="F333" i="17"/>
  <c r="F335" i="17"/>
  <c r="G266" i="17"/>
  <c r="G268" i="17"/>
  <c r="J324" i="17"/>
  <c r="J326" i="17"/>
  <c r="H302" i="17"/>
  <c r="K9" i="20"/>
  <c r="K13" i="20"/>
  <c r="J215" i="20"/>
  <c r="J250" i="17"/>
  <c r="J252" i="17"/>
  <c r="J17" i="21"/>
  <c r="J117" i="21"/>
  <c r="J142" i="21"/>
  <c r="J92" i="21"/>
  <c r="J42" i="21"/>
  <c r="J67" i="21"/>
  <c r="I228" i="12"/>
  <c r="H24" i="17"/>
  <c r="J5" i="12"/>
  <c r="J9" i="12"/>
  <c r="I17" i="21"/>
  <c r="I142" i="21"/>
  <c r="I42" i="21"/>
  <c r="I117" i="21"/>
  <c r="I67" i="21"/>
  <c r="I92" i="21"/>
  <c r="F143" i="20"/>
  <c r="F187" i="20"/>
  <c r="F47" i="20"/>
  <c r="F183" i="20"/>
  <c r="F71" i="20"/>
  <c r="C80" i="17"/>
  <c r="B277" i="17"/>
  <c r="C170" i="17"/>
  <c r="B388" i="17"/>
  <c r="C140" i="17"/>
  <c r="B351" i="17"/>
  <c r="B240" i="17"/>
  <c r="G236" i="12"/>
  <c r="G237" i="12"/>
  <c r="G229" i="12"/>
  <c r="G170" i="12"/>
  <c r="G192" i="12"/>
  <c r="I144" i="12"/>
  <c r="J144" i="21"/>
  <c r="I148" i="12"/>
  <c r="J148" i="21"/>
  <c r="I152" i="12"/>
  <c r="J152" i="21"/>
  <c r="I140" i="12"/>
  <c r="J140" i="21"/>
  <c r="I146" i="12"/>
  <c r="J146" i="21"/>
  <c r="I150" i="12"/>
  <c r="J150" i="21"/>
  <c r="I138" i="12"/>
  <c r="J138" i="21"/>
  <c r="I141" i="12"/>
  <c r="J141" i="21"/>
  <c r="I145" i="12"/>
  <c r="J145" i="21"/>
  <c r="I149" i="12"/>
  <c r="J149" i="21"/>
  <c r="I139" i="12"/>
  <c r="J139" i="21"/>
  <c r="I135" i="12"/>
  <c r="J135" i="21"/>
  <c r="I147" i="12"/>
  <c r="J147" i="21"/>
  <c r="I137" i="12"/>
  <c r="J137" i="21"/>
  <c r="I117" i="12"/>
  <c r="J116" i="21"/>
  <c r="I120" i="12"/>
  <c r="J119" i="21"/>
  <c r="I124" i="12"/>
  <c r="J123" i="21"/>
  <c r="I128" i="12"/>
  <c r="J127" i="21"/>
  <c r="I116" i="12"/>
  <c r="J115" i="21"/>
  <c r="I119" i="12"/>
  <c r="J118" i="21"/>
  <c r="I122" i="12"/>
  <c r="J121" i="21"/>
  <c r="I126" i="12"/>
  <c r="J125" i="21"/>
  <c r="I114" i="12"/>
  <c r="J113" i="21"/>
  <c r="I98" i="12"/>
  <c r="J96" i="21"/>
  <c r="I102" i="12"/>
  <c r="J100" i="21"/>
  <c r="I151" i="12"/>
  <c r="J151" i="21"/>
  <c r="I121" i="12"/>
  <c r="J120" i="21"/>
  <c r="I125" i="12"/>
  <c r="J124" i="21"/>
  <c r="I115" i="12"/>
  <c r="J114" i="21"/>
  <c r="I99" i="12"/>
  <c r="J97" i="21"/>
  <c r="I101" i="12"/>
  <c r="J99" i="21"/>
  <c r="I89" i="12"/>
  <c r="J87" i="21"/>
  <c r="I143" i="12"/>
  <c r="J143" i="21"/>
  <c r="I123" i="12"/>
  <c r="J122" i="21"/>
  <c r="I113" i="12"/>
  <c r="J112" i="21"/>
  <c r="I100" i="12"/>
  <c r="J98" i="21"/>
  <c r="I91" i="12"/>
  <c r="J89" i="21"/>
  <c r="I87" i="12"/>
  <c r="J85" i="21"/>
  <c r="I69" i="12"/>
  <c r="J66" i="21"/>
  <c r="I73" i="12"/>
  <c r="J70" i="21"/>
  <c r="I77" i="12"/>
  <c r="J74" i="21"/>
  <c r="I67" i="12"/>
  <c r="J64" i="21"/>
  <c r="I111" i="12"/>
  <c r="J110" i="21"/>
  <c r="I95" i="12"/>
  <c r="J93" i="21"/>
  <c r="I97" i="12"/>
  <c r="J95" i="21"/>
  <c r="I104" i="12"/>
  <c r="J102" i="21"/>
  <c r="I92" i="12"/>
  <c r="J90" i="21"/>
  <c r="I74" i="12"/>
  <c r="J71" i="21"/>
  <c r="I76" i="12"/>
  <c r="J73" i="21"/>
  <c r="I63" i="12"/>
  <c r="J60" i="21"/>
  <c r="I45" i="12"/>
  <c r="J41" i="21"/>
  <c r="I49" i="12"/>
  <c r="J45" i="21"/>
  <c r="I127" i="12"/>
  <c r="J126" i="21"/>
  <c r="I96" i="12"/>
  <c r="J94" i="21"/>
  <c r="I75" i="12"/>
  <c r="J72" i="21"/>
  <c r="I65" i="12"/>
  <c r="J62" i="21"/>
  <c r="I47" i="12"/>
  <c r="J43" i="21"/>
  <c r="I51" i="12"/>
  <c r="J47" i="21"/>
  <c r="I55" i="12"/>
  <c r="J51" i="21"/>
  <c r="I41" i="12"/>
  <c r="J37" i="21"/>
  <c r="I23" i="12"/>
  <c r="J18" i="21"/>
  <c r="I93" i="12"/>
  <c r="J91" i="21"/>
  <c r="I103" i="12"/>
  <c r="J101" i="21"/>
  <c r="I72" i="12"/>
  <c r="J69" i="21"/>
  <c r="I79" i="12"/>
  <c r="J76" i="21"/>
  <c r="I66" i="12"/>
  <c r="J63" i="21"/>
  <c r="I78" i="12"/>
  <c r="J75" i="21"/>
  <c r="I68" i="12"/>
  <c r="J65" i="21"/>
  <c r="I56" i="12"/>
  <c r="J52" i="21"/>
  <c r="I26" i="12"/>
  <c r="J21" i="21"/>
  <c r="I30" i="12"/>
  <c r="J25" i="21"/>
  <c r="I53" i="12"/>
  <c r="J49" i="21"/>
  <c r="I15" i="12"/>
  <c r="J10" i="21"/>
  <c r="I90" i="12"/>
  <c r="J88" i="21"/>
  <c r="I50" i="12"/>
  <c r="J46" i="21"/>
  <c r="I43" i="12"/>
  <c r="J39" i="21"/>
  <c r="I28" i="12"/>
  <c r="J23" i="21"/>
  <c r="I32" i="12"/>
  <c r="J27" i="21"/>
  <c r="I20" i="12"/>
  <c r="J15" i="21"/>
  <c r="I27" i="12"/>
  <c r="J22" i="21"/>
  <c r="I31" i="12"/>
  <c r="J26" i="21"/>
  <c r="I17" i="12"/>
  <c r="J12" i="21"/>
  <c r="I18" i="12"/>
  <c r="J13" i="21"/>
  <c r="I42" i="12"/>
  <c r="J38" i="21"/>
  <c r="I39" i="12"/>
  <c r="J35" i="21"/>
  <c r="I25" i="12"/>
  <c r="J20" i="21"/>
  <c r="I29" i="12"/>
  <c r="J24" i="21"/>
  <c r="I71" i="12"/>
  <c r="J68" i="21"/>
  <c r="I80" i="12"/>
  <c r="J77" i="21"/>
  <c r="I48" i="12"/>
  <c r="J44" i="21"/>
  <c r="I52" i="12"/>
  <c r="J48" i="21"/>
  <c r="I54" i="12"/>
  <c r="J50" i="21"/>
  <c r="I44" i="12"/>
  <c r="J40" i="21"/>
  <c r="I21" i="12"/>
  <c r="J16" i="21"/>
  <c r="I24" i="12"/>
  <c r="J19" i="21"/>
  <c r="I19" i="12"/>
  <c r="J14" i="21"/>
  <c r="C51" i="17"/>
  <c r="C141" i="17"/>
  <c r="B358" i="17"/>
  <c r="K12" i="3"/>
  <c r="K310" i="3"/>
  <c r="J310" i="3"/>
  <c r="H86" i="21"/>
  <c r="H103" i="21"/>
  <c r="H111" i="21"/>
  <c r="H128" i="21"/>
  <c r="H330" i="20"/>
  <c r="H104" i="20"/>
  <c r="H61" i="21"/>
  <c r="H78" i="21"/>
  <c r="H36" i="21"/>
  <c r="H53" i="2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/>
  <c r="H127" i="20"/>
  <c r="H353" i="20"/>
  <c r="H352" i="20"/>
  <c r="H126" i="20"/>
  <c r="H11" i="21"/>
  <c r="H28" i="2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/>
  <c r="F178" i="17"/>
  <c r="I26" i="3"/>
  <c r="H29" i="3"/>
  <c r="H35" i="3"/>
  <c r="H38" i="3"/>
  <c r="H41" i="3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/>
  <c r="F402" i="20"/>
  <c r="F393" i="20"/>
  <c r="F414" i="20"/>
  <c r="G94" i="20"/>
  <c r="F184" i="20"/>
  <c r="F403" i="20"/>
  <c r="F188" i="20"/>
  <c r="F179" i="20"/>
  <c r="F174" i="20"/>
  <c r="F237" i="12"/>
  <c r="F229" i="12"/>
  <c r="H234" i="12"/>
  <c r="H235" i="12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/>
  <c r="H290" i="20"/>
  <c r="H64" i="20"/>
  <c r="H341" i="20"/>
  <c r="H115" i="20"/>
  <c r="H154" i="20"/>
  <c r="H380" i="20"/>
  <c r="G162" i="12"/>
  <c r="G171" i="12"/>
  <c r="F404" i="20"/>
  <c r="F369" i="20"/>
  <c r="F413" i="20"/>
  <c r="H182" i="12"/>
  <c r="H105" i="12"/>
  <c r="H106" i="12"/>
  <c r="H99" i="20"/>
  <c r="H325" i="20"/>
  <c r="H359" i="20"/>
  <c r="H133" i="20"/>
  <c r="J10" i="12"/>
  <c r="J14" i="20"/>
  <c r="I62" i="12"/>
  <c r="J59" i="21"/>
  <c r="I38" i="12"/>
  <c r="J34" i="21"/>
  <c r="I14" i="12"/>
  <c r="J9" i="21"/>
  <c r="I86" i="12"/>
  <c r="J84" i="21"/>
  <c r="I110" i="12"/>
  <c r="J109" i="21"/>
  <c r="I134" i="12"/>
  <c r="J134" i="21"/>
  <c r="H184" i="12"/>
  <c r="H373" i="20"/>
  <c r="H153" i="12"/>
  <c r="H154" i="12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F185" i="20"/>
  <c r="G70" i="20"/>
  <c r="G71" i="20"/>
  <c r="G320" i="20"/>
  <c r="G142" i="20"/>
  <c r="G143" i="20"/>
  <c r="G161" i="12"/>
  <c r="G188" i="12"/>
  <c r="F447" i="20"/>
  <c r="F448" i="20"/>
  <c r="F449" i="20"/>
  <c r="F442" i="20"/>
  <c r="F400" i="20"/>
  <c r="F273" i="20"/>
  <c r="F409" i="20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/>
  <c r="H75" i="20"/>
  <c r="H301" i="20"/>
  <c r="H40" i="20"/>
  <c r="H266" i="20"/>
  <c r="H183" i="12"/>
  <c r="H349" i="20"/>
  <c r="H129" i="12"/>
  <c r="H130" i="12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/>
  <c r="F401" i="20"/>
  <c r="G163" i="12"/>
  <c r="G172" i="12"/>
  <c r="G165" i="12"/>
  <c r="G174" i="12"/>
  <c r="G46" i="20"/>
  <c r="G47" i="20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/>
  <c r="H27" i="20"/>
  <c r="H265" i="20"/>
  <c r="H39" i="20"/>
  <c r="H269" i="20"/>
  <c r="H43" i="20"/>
  <c r="H389" i="20"/>
  <c r="H163" i="20"/>
  <c r="H356" i="20"/>
  <c r="H130" i="20"/>
  <c r="G118" i="20"/>
  <c r="G119" i="20"/>
  <c r="G296" i="20"/>
  <c r="J362" i="17"/>
  <c r="J141" i="17"/>
  <c r="J228" i="12"/>
  <c r="K5" i="12"/>
  <c r="K9" i="12"/>
  <c r="I24" i="17"/>
  <c r="F297" i="17"/>
  <c r="F107" i="17"/>
  <c r="F115" i="17"/>
  <c r="F117" i="17"/>
  <c r="F118" i="17"/>
  <c r="J325" i="17"/>
  <c r="J111" i="17"/>
  <c r="I281" i="17"/>
  <c r="I80" i="17"/>
  <c r="F260" i="17"/>
  <c r="F77" i="17"/>
  <c r="F85" i="17"/>
  <c r="F87" i="17"/>
  <c r="F88" i="17"/>
  <c r="F223" i="17"/>
  <c r="F47" i="17"/>
  <c r="F55" i="17"/>
  <c r="F57" i="17"/>
  <c r="F58" i="17"/>
  <c r="J288" i="17"/>
  <c r="J81" i="17"/>
  <c r="F334" i="17"/>
  <c r="F137" i="17"/>
  <c r="F145" i="17"/>
  <c r="F147" i="17"/>
  <c r="F148" i="17"/>
  <c r="J399" i="17"/>
  <c r="J171" i="17"/>
  <c r="G378" i="17"/>
  <c r="G168" i="17"/>
  <c r="I318" i="17"/>
  <c r="I110" i="17"/>
  <c r="G341" i="17"/>
  <c r="G138" i="17"/>
  <c r="K249" i="17"/>
  <c r="H303" i="17"/>
  <c r="H305" i="17"/>
  <c r="H414" i="17"/>
  <c r="H416" i="17"/>
  <c r="J428" i="17"/>
  <c r="J430" i="17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/>
  <c r="G258" i="17"/>
  <c r="K397" i="17"/>
  <c r="J346" i="17"/>
  <c r="H228" i="17"/>
  <c r="I420" i="17"/>
  <c r="H265" i="17"/>
  <c r="K390" i="17"/>
  <c r="G230" i="17"/>
  <c r="G48" i="17"/>
  <c r="G194" i="17"/>
  <c r="J392" i="17"/>
  <c r="J170" i="17"/>
  <c r="I348" i="17"/>
  <c r="I139" i="17"/>
  <c r="J279" i="17"/>
  <c r="I310" i="17"/>
  <c r="I312" i="17"/>
  <c r="H376" i="17"/>
  <c r="J236" i="20"/>
  <c r="I441" i="20"/>
  <c r="J316" i="17"/>
  <c r="H422" i="17"/>
  <c r="H199" i="17"/>
  <c r="G44" i="17"/>
  <c r="G104" i="17"/>
  <c r="K286" i="17"/>
  <c r="I355" i="17"/>
  <c r="I140" i="17"/>
  <c r="F408" i="17"/>
  <c r="F197" i="17"/>
  <c r="F205" i="17"/>
  <c r="F207" i="17"/>
  <c r="F208" i="17"/>
  <c r="H339" i="17"/>
  <c r="J251" i="17"/>
  <c r="J51" i="17"/>
  <c r="K215" i="20"/>
  <c r="L9" i="20"/>
  <c r="L13" i="20"/>
  <c r="K323" i="17"/>
  <c r="G332" i="17"/>
  <c r="J436" i="17"/>
  <c r="J201" i="17"/>
  <c r="I244" i="17"/>
  <c r="I50" i="17"/>
  <c r="G295" i="17"/>
  <c r="I237" i="17"/>
  <c r="I49" i="17"/>
  <c r="I273" i="17"/>
  <c r="I275" i="17"/>
  <c r="K360" i="17"/>
  <c r="G74" i="17"/>
  <c r="H385" i="17"/>
  <c r="H169" i="17"/>
  <c r="L17" i="21"/>
  <c r="L67" i="21"/>
  <c r="L142" i="21"/>
  <c r="L92" i="21"/>
  <c r="L117" i="21"/>
  <c r="L42" i="21"/>
  <c r="K17" i="21"/>
  <c r="K92" i="21"/>
  <c r="K42" i="21"/>
  <c r="K117" i="21"/>
  <c r="K142" i="21"/>
  <c r="K67" i="21"/>
  <c r="G95" i="20"/>
  <c r="G185" i="20"/>
  <c r="C81" i="17"/>
  <c r="B284" i="17"/>
  <c r="C171" i="17"/>
  <c r="B395" i="17"/>
  <c r="C201" i="17"/>
  <c r="B432" i="17"/>
  <c r="C111" i="17"/>
  <c r="B321" i="17"/>
  <c r="B247" i="17"/>
  <c r="H236" i="12"/>
  <c r="H237" i="12"/>
  <c r="H229" i="12"/>
  <c r="H170" i="12"/>
  <c r="H192" i="12"/>
  <c r="K321" i="3"/>
  <c r="J141" i="12"/>
  <c r="K141" i="21"/>
  <c r="J145" i="12"/>
  <c r="K145" i="21"/>
  <c r="J149" i="12"/>
  <c r="K149" i="21"/>
  <c r="J139" i="12"/>
  <c r="K139" i="21"/>
  <c r="J135" i="12"/>
  <c r="K135" i="21"/>
  <c r="J143" i="12"/>
  <c r="K143" i="21"/>
  <c r="J147" i="12"/>
  <c r="K147" i="21"/>
  <c r="J151" i="12"/>
  <c r="K151" i="21"/>
  <c r="J137" i="12"/>
  <c r="K137" i="21"/>
  <c r="J119" i="12"/>
  <c r="K118" i="21"/>
  <c r="J146" i="12"/>
  <c r="K146" i="21"/>
  <c r="J150" i="12"/>
  <c r="K150" i="21"/>
  <c r="J138" i="12"/>
  <c r="K138" i="21"/>
  <c r="J152" i="12"/>
  <c r="K152" i="21"/>
  <c r="J121" i="12"/>
  <c r="K120" i="21"/>
  <c r="J125" i="12"/>
  <c r="K124" i="21"/>
  <c r="J115" i="12"/>
  <c r="K114" i="21"/>
  <c r="J144" i="12"/>
  <c r="K144" i="21"/>
  <c r="J123" i="12"/>
  <c r="K122" i="21"/>
  <c r="J127" i="12"/>
  <c r="K126" i="21"/>
  <c r="J113" i="12"/>
  <c r="K112" i="21"/>
  <c r="J95" i="12"/>
  <c r="K93" i="21"/>
  <c r="J99" i="12"/>
  <c r="K97" i="21"/>
  <c r="J103" i="12"/>
  <c r="K101" i="21"/>
  <c r="J89" i="12"/>
  <c r="K87" i="21"/>
  <c r="J122" i="12"/>
  <c r="K121" i="21"/>
  <c r="J126" i="12"/>
  <c r="K125" i="21"/>
  <c r="J114" i="12"/>
  <c r="K113" i="21"/>
  <c r="J148" i="12"/>
  <c r="K148" i="21"/>
  <c r="J120" i="12"/>
  <c r="K119" i="21"/>
  <c r="J111" i="12"/>
  <c r="K110" i="21"/>
  <c r="J97" i="12"/>
  <c r="K95" i="21"/>
  <c r="J104" i="12"/>
  <c r="K102" i="21"/>
  <c r="J92" i="12"/>
  <c r="K90" i="21"/>
  <c r="J117" i="12"/>
  <c r="K116" i="21"/>
  <c r="J128" i="12"/>
  <c r="K127" i="21"/>
  <c r="J93" i="12"/>
  <c r="K91" i="21"/>
  <c r="J96" i="12"/>
  <c r="K94" i="21"/>
  <c r="J98" i="12"/>
  <c r="K96" i="21"/>
  <c r="J90" i="12"/>
  <c r="K88" i="21"/>
  <c r="J74" i="12"/>
  <c r="K71" i="21"/>
  <c r="J78" i="12"/>
  <c r="K75" i="21"/>
  <c r="J66" i="12"/>
  <c r="K63" i="21"/>
  <c r="J124" i="12"/>
  <c r="K123" i="21"/>
  <c r="J116" i="12"/>
  <c r="K115" i="21"/>
  <c r="J100" i="12"/>
  <c r="K98" i="21"/>
  <c r="J102" i="12"/>
  <c r="K100" i="21"/>
  <c r="J91" i="12"/>
  <c r="K89" i="21"/>
  <c r="J87" i="12"/>
  <c r="K85" i="21"/>
  <c r="J140" i="12"/>
  <c r="K140" i="21"/>
  <c r="J101" i="12"/>
  <c r="K99" i="21"/>
  <c r="J72" i="12"/>
  <c r="K69" i="21"/>
  <c r="J79" i="12"/>
  <c r="K76" i="21"/>
  <c r="J67" i="12"/>
  <c r="K64" i="21"/>
  <c r="J71" i="12"/>
  <c r="K68" i="21"/>
  <c r="J73" i="12"/>
  <c r="K70" i="21"/>
  <c r="J80" i="12"/>
  <c r="K77" i="21"/>
  <c r="J68" i="12"/>
  <c r="K65" i="21"/>
  <c r="J48" i="12"/>
  <c r="K44" i="21"/>
  <c r="J52" i="12"/>
  <c r="K48" i="21"/>
  <c r="J56" i="12"/>
  <c r="K52" i="21"/>
  <c r="J44" i="12"/>
  <c r="K40" i="21"/>
  <c r="J24" i="12"/>
  <c r="K19" i="21"/>
  <c r="J75" i="12"/>
  <c r="K72" i="21"/>
  <c r="J77" i="12"/>
  <c r="K74" i="21"/>
  <c r="J65" i="12"/>
  <c r="K62" i="21"/>
  <c r="J47" i="12"/>
  <c r="K43" i="21"/>
  <c r="J49" i="12"/>
  <c r="K45" i="21"/>
  <c r="J54" i="12"/>
  <c r="K50" i="21"/>
  <c r="J21" i="12"/>
  <c r="K16" i="21"/>
  <c r="J27" i="12"/>
  <c r="K22" i="21"/>
  <c r="J31" i="12"/>
  <c r="K26" i="21"/>
  <c r="J76" i="12"/>
  <c r="K73" i="21"/>
  <c r="J23" i="12"/>
  <c r="K18" i="21"/>
  <c r="J53" i="12"/>
  <c r="K49" i="21"/>
  <c r="J55" i="12"/>
  <c r="K51" i="21"/>
  <c r="J42" i="12"/>
  <c r="K38" i="21"/>
  <c r="J39" i="12"/>
  <c r="K35" i="21"/>
  <c r="J25" i="12"/>
  <c r="K20" i="21"/>
  <c r="J29" i="12"/>
  <c r="K24" i="21"/>
  <c r="J19" i="12"/>
  <c r="K14" i="21"/>
  <c r="J15" i="12"/>
  <c r="K10" i="21"/>
  <c r="J28" i="12"/>
  <c r="K23" i="21"/>
  <c r="J32" i="12"/>
  <c r="K27" i="21"/>
  <c r="J20" i="12"/>
  <c r="K15" i="21"/>
  <c r="J17" i="12"/>
  <c r="K12" i="21"/>
  <c r="J69" i="12"/>
  <c r="K66" i="21"/>
  <c r="J63" i="12"/>
  <c r="K60" i="21"/>
  <c r="J51" i="12"/>
  <c r="K47" i="21"/>
  <c r="J41" i="12"/>
  <c r="K37" i="21"/>
  <c r="J30" i="12"/>
  <c r="K25" i="21"/>
  <c r="J45" i="12"/>
  <c r="K41" i="21"/>
  <c r="J50" i="12"/>
  <c r="K46" i="21"/>
  <c r="J43" i="12"/>
  <c r="K39" i="21"/>
  <c r="J26" i="12"/>
  <c r="K21" i="21"/>
  <c r="J18" i="12"/>
  <c r="K13" i="21"/>
  <c r="L12" i="3"/>
  <c r="L321" i="3"/>
  <c r="I36" i="21"/>
  <c r="I53" i="21"/>
  <c r="I86" i="21"/>
  <c r="I103" i="2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/>
  <c r="I111" i="21"/>
  <c r="I128" i="21"/>
  <c r="I136" i="21"/>
  <c r="I153" i="21"/>
  <c r="I127" i="20"/>
  <c r="I353" i="20"/>
  <c r="I126" i="20"/>
  <c r="I352" i="20"/>
  <c r="I11" i="21"/>
  <c r="I28" i="2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/>
  <c r="I38" i="3"/>
  <c r="I41" i="3"/>
  <c r="I234" i="12"/>
  <c r="I235" i="12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/>
  <c r="H369" i="17"/>
  <c r="G176" i="20"/>
  <c r="H272" i="20"/>
  <c r="H447" i="20"/>
  <c r="H368" i="20"/>
  <c r="H404" i="20"/>
  <c r="G393" i="20"/>
  <c r="G414" i="20"/>
  <c r="G405" i="20"/>
  <c r="H320" i="20"/>
  <c r="G178" i="20"/>
  <c r="G187" i="20"/>
  <c r="G404" i="20"/>
  <c r="G369" i="20"/>
  <c r="G413" i="20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/>
  <c r="G223" i="20"/>
  <c r="G216" i="20"/>
  <c r="H94" i="20"/>
  <c r="H95" i="20"/>
  <c r="G402" i="20"/>
  <c r="G321" i="20"/>
  <c r="G411" i="20"/>
  <c r="G345" i="20"/>
  <c r="G412" i="20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/>
  <c r="I75" i="20"/>
  <c r="I383" i="20"/>
  <c r="I157" i="20"/>
  <c r="I363" i="20"/>
  <c r="I137" i="20"/>
  <c r="I364" i="20"/>
  <c r="I138" i="20"/>
  <c r="K10" i="12"/>
  <c r="K14" i="20"/>
  <c r="J62" i="12"/>
  <c r="K59" i="21"/>
  <c r="J110" i="12"/>
  <c r="K109" i="21"/>
  <c r="J38" i="12"/>
  <c r="K34" i="21"/>
  <c r="J14" i="12"/>
  <c r="K9" i="21"/>
  <c r="J134" i="12"/>
  <c r="K134" i="21"/>
  <c r="J86" i="12"/>
  <c r="K84" i="21"/>
  <c r="H118" i="20"/>
  <c r="H119" i="20"/>
  <c r="H296" i="20"/>
  <c r="H46" i="20"/>
  <c r="H47" i="20"/>
  <c r="H142" i="20"/>
  <c r="H143" i="20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/>
  <c r="I123" i="20"/>
  <c r="I182" i="12"/>
  <c r="I105" i="12"/>
  <c r="I106" i="12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/>
  <c r="G297" i="20"/>
  <c r="G410" i="20"/>
  <c r="G401" i="20"/>
  <c r="H161" i="12"/>
  <c r="H188" i="12"/>
  <c r="H174" i="12"/>
  <c r="H165" i="12"/>
  <c r="G400" i="20"/>
  <c r="G447" i="20"/>
  <c r="G448" i="20"/>
  <c r="G449" i="20"/>
  <c r="G442" i="20"/>
  <c r="G273" i="20"/>
  <c r="G409" i="20"/>
  <c r="H166" i="20"/>
  <c r="H167" i="20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L5" i="12"/>
  <c r="L9" i="12"/>
  <c r="J24" i="17"/>
  <c r="K228" i="12"/>
  <c r="J429" i="17"/>
  <c r="J200" i="17"/>
  <c r="I274" i="17"/>
  <c r="I79" i="17"/>
  <c r="G296" i="17"/>
  <c r="G298" i="17"/>
  <c r="K287" i="17"/>
  <c r="K289" i="17"/>
  <c r="J317" i="17"/>
  <c r="J319" i="17"/>
  <c r="H377" i="17"/>
  <c r="H266" i="17"/>
  <c r="G259" i="17"/>
  <c r="G261" i="17"/>
  <c r="H164" i="17"/>
  <c r="H104" i="17"/>
  <c r="H44" i="17"/>
  <c r="H134" i="17"/>
  <c r="I413" i="17"/>
  <c r="K250" i="17"/>
  <c r="K252" i="17"/>
  <c r="J236" i="17"/>
  <c r="J238" i="17"/>
  <c r="I302" i="17"/>
  <c r="J272" i="17"/>
  <c r="M9" i="20"/>
  <c r="M13" i="20"/>
  <c r="L215" i="20"/>
  <c r="K236" i="20"/>
  <c r="J441" i="20"/>
  <c r="K391" i="17"/>
  <c r="K393" i="17"/>
  <c r="I384" i="17"/>
  <c r="G222" i="17"/>
  <c r="K435" i="17"/>
  <c r="K437" i="17"/>
  <c r="G407" i="17"/>
  <c r="G409" i="17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/>
  <c r="K361" i="17"/>
  <c r="K363" i="17"/>
  <c r="K324" i="17"/>
  <c r="K326" i="17"/>
  <c r="J309" i="17"/>
  <c r="J280" i="17"/>
  <c r="J282" i="17"/>
  <c r="G333" i="17"/>
  <c r="H340" i="17"/>
  <c r="I311" i="17"/>
  <c r="I109" i="17"/>
  <c r="I421" i="17"/>
  <c r="I423" i="17"/>
  <c r="H229" i="17"/>
  <c r="H231" i="17"/>
  <c r="J347" i="17"/>
  <c r="J349" i="17"/>
  <c r="K398" i="17"/>
  <c r="K400" i="17"/>
  <c r="J354" i="17"/>
  <c r="J356" i="17"/>
  <c r="K427" i="17"/>
  <c r="H415" i="17"/>
  <c r="H198" i="17"/>
  <c r="M17" i="21"/>
  <c r="M142" i="21"/>
  <c r="M42" i="21"/>
  <c r="M117" i="21"/>
  <c r="M67" i="21"/>
  <c r="M92" i="21"/>
  <c r="J33" i="12"/>
  <c r="J34" i="12"/>
  <c r="M12" i="3"/>
  <c r="N12" i="3"/>
  <c r="I236" i="12"/>
  <c r="I237" i="12"/>
  <c r="I229" i="12"/>
  <c r="K146" i="12"/>
  <c r="L146" i="21"/>
  <c r="K150" i="12"/>
  <c r="L150" i="21"/>
  <c r="K138" i="12"/>
  <c r="L138" i="21"/>
  <c r="K144" i="12"/>
  <c r="L144" i="21"/>
  <c r="K148" i="12"/>
  <c r="L148" i="21"/>
  <c r="K152" i="12"/>
  <c r="L152" i="21"/>
  <c r="K140" i="12"/>
  <c r="L140" i="21"/>
  <c r="K143" i="12"/>
  <c r="L143" i="21"/>
  <c r="K147" i="12"/>
  <c r="L147" i="21"/>
  <c r="K151" i="12"/>
  <c r="L151" i="21"/>
  <c r="K137" i="12"/>
  <c r="L137" i="21"/>
  <c r="K122" i="12"/>
  <c r="L121" i="21"/>
  <c r="K126" i="12"/>
  <c r="L125" i="21"/>
  <c r="K114" i="12"/>
  <c r="L113" i="21"/>
  <c r="K141" i="12"/>
  <c r="L141" i="21"/>
  <c r="K149" i="12"/>
  <c r="L149" i="21"/>
  <c r="K135" i="12"/>
  <c r="L135" i="21"/>
  <c r="K117" i="12"/>
  <c r="L116" i="21"/>
  <c r="K120" i="12"/>
  <c r="L119" i="21"/>
  <c r="K124" i="12"/>
  <c r="L123" i="21"/>
  <c r="K128" i="12"/>
  <c r="L127" i="21"/>
  <c r="K116" i="12"/>
  <c r="L115" i="21"/>
  <c r="K96" i="12"/>
  <c r="L94" i="21"/>
  <c r="K100" i="12"/>
  <c r="L98" i="21"/>
  <c r="K104" i="12"/>
  <c r="L102" i="21"/>
  <c r="K145" i="12"/>
  <c r="L145" i="21"/>
  <c r="K119" i="12"/>
  <c r="L118" i="21"/>
  <c r="K123" i="12"/>
  <c r="L122" i="21"/>
  <c r="K127" i="12"/>
  <c r="L126" i="21"/>
  <c r="K113" i="12"/>
  <c r="L112" i="21"/>
  <c r="K139" i="12"/>
  <c r="L139" i="21"/>
  <c r="K125" i="12"/>
  <c r="L124" i="21"/>
  <c r="K95" i="12"/>
  <c r="L93" i="21"/>
  <c r="K102" i="12"/>
  <c r="L100" i="21"/>
  <c r="K91" i="12"/>
  <c r="L89" i="21"/>
  <c r="K87" i="12"/>
  <c r="L85" i="21"/>
  <c r="K101" i="12"/>
  <c r="L99" i="21"/>
  <c r="K103" i="12"/>
  <c r="L101" i="21"/>
  <c r="K71" i="12"/>
  <c r="L68" i="21"/>
  <c r="K75" i="12"/>
  <c r="L72" i="21"/>
  <c r="K79" i="12"/>
  <c r="L76" i="21"/>
  <c r="K65" i="12"/>
  <c r="L62" i="21"/>
  <c r="K115" i="12"/>
  <c r="L114" i="21"/>
  <c r="K93" i="12"/>
  <c r="L91" i="21"/>
  <c r="K98" i="12"/>
  <c r="L96" i="21"/>
  <c r="K90" i="12"/>
  <c r="L88" i="21"/>
  <c r="K77" i="12"/>
  <c r="L74" i="21"/>
  <c r="K66" i="12"/>
  <c r="L63" i="21"/>
  <c r="K47" i="12"/>
  <c r="L43" i="21"/>
  <c r="K111" i="12"/>
  <c r="L110" i="21"/>
  <c r="K97" i="12"/>
  <c r="L95" i="21"/>
  <c r="K89" i="12"/>
  <c r="L87" i="21"/>
  <c r="K92" i="12"/>
  <c r="L90" i="21"/>
  <c r="K69" i="12"/>
  <c r="L66" i="21"/>
  <c r="K76" i="12"/>
  <c r="L73" i="21"/>
  <c r="K78" i="12"/>
  <c r="L75" i="21"/>
  <c r="K63" i="12"/>
  <c r="L60" i="21"/>
  <c r="K45" i="12"/>
  <c r="L41" i="21"/>
  <c r="K49" i="12"/>
  <c r="L45" i="21"/>
  <c r="K53" i="12"/>
  <c r="L49" i="21"/>
  <c r="K43" i="12"/>
  <c r="L39" i="21"/>
  <c r="K39" i="12"/>
  <c r="L35" i="21"/>
  <c r="K21" i="12"/>
  <c r="L16" i="21"/>
  <c r="K121" i="12"/>
  <c r="L120" i="21"/>
  <c r="K73" i="12"/>
  <c r="L70" i="21"/>
  <c r="K80" i="12"/>
  <c r="L77" i="21"/>
  <c r="K68" i="12"/>
  <c r="L65" i="21"/>
  <c r="K48" i="12"/>
  <c r="L44" i="21"/>
  <c r="K99" i="12"/>
  <c r="L97" i="21"/>
  <c r="K50" i="12"/>
  <c r="L46" i="21"/>
  <c r="K52" i="12"/>
  <c r="L48" i="21"/>
  <c r="K44" i="12"/>
  <c r="L40" i="21"/>
  <c r="K24" i="12"/>
  <c r="L19" i="21"/>
  <c r="K28" i="12"/>
  <c r="L23" i="21"/>
  <c r="K32" i="12"/>
  <c r="L27" i="21"/>
  <c r="K56" i="12"/>
  <c r="L52" i="21"/>
  <c r="K31" i="12"/>
  <c r="L26" i="21"/>
  <c r="K74" i="12"/>
  <c r="L71" i="21"/>
  <c r="K51" i="12"/>
  <c r="L47" i="21"/>
  <c r="K41" i="12"/>
  <c r="L37" i="21"/>
  <c r="K23" i="12"/>
  <c r="L18" i="21"/>
  <c r="K26" i="12"/>
  <c r="L21" i="21"/>
  <c r="K30" i="12"/>
  <c r="L25" i="21"/>
  <c r="K18" i="12"/>
  <c r="L13" i="21"/>
  <c r="K15" i="12"/>
  <c r="L10" i="21"/>
  <c r="K20" i="12"/>
  <c r="L15" i="21"/>
  <c r="K67" i="12"/>
  <c r="L64" i="21"/>
  <c r="K54" i="12"/>
  <c r="L50" i="21"/>
  <c r="K17" i="12"/>
  <c r="L12" i="21"/>
  <c r="K72" i="12"/>
  <c r="L69" i="21"/>
  <c r="K55" i="12"/>
  <c r="L51" i="21"/>
  <c r="K42" i="12"/>
  <c r="L38" i="21"/>
  <c r="K25" i="12"/>
  <c r="L20" i="21"/>
  <c r="K29" i="12"/>
  <c r="L24" i="21"/>
  <c r="K19" i="12"/>
  <c r="L14" i="21"/>
  <c r="K27" i="12"/>
  <c r="L22" i="21"/>
  <c r="J36" i="21"/>
  <c r="J53" i="21"/>
  <c r="J136" i="21"/>
  <c r="J153" i="21"/>
  <c r="J61" i="21"/>
  <c r="J78" i="21"/>
  <c r="J86" i="21"/>
  <c r="J103" i="2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/>
  <c r="J353" i="20"/>
  <c r="J127" i="20"/>
  <c r="J352" i="20"/>
  <c r="J126" i="20"/>
  <c r="J11" i="21"/>
  <c r="J28" i="2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/>
  <c r="J38" i="3"/>
  <c r="J41" i="3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/>
  <c r="G371" i="17"/>
  <c r="G167" i="17"/>
  <c r="G175" i="17"/>
  <c r="G177" i="17"/>
  <c r="G178" i="17"/>
  <c r="I272" i="20"/>
  <c r="I447" i="20"/>
  <c r="H369" i="20"/>
  <c r="H413" i="20"/>
  <c r="I368" i="20"/>
  <c r="I369" i="20"/>
  <c r="I413" i="20"/>
  <c r="H400" i="20"/>
  <c r="H273" i="20"/>
  <c r="H409" i="20"/>
  <c r="J234" i="12"/>
  <c r="J235" i="12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/>
  <c r="K134" i="12"/>
  <c r="L134" i="21"/>
  <c r="K62" i="12"/>
  <c r="L59" i="21"/>
  <c r="K38" i="12"/>
  <c r="L34" i="21"/>
  <c r="L10" i="12"/>
  <c r="L14" i="20"/>
  <c r="K14" i="12"/>
  <c r="L9" i="21"/>
  <c r="K110" i="12"/>
  <c r="L109" i="21"/>
  <c r="I94" i="20"/>
  <c r="I95" i="20"/>
  <c r="I166" i="20"/>
  <c r="I167" i="20"/>
  <c r="H405" i="20"/>
  <c r="H393" i="20"/>
  <c r="H414" i="20"/>
  <c r="I70" i="20"/>
  <c r="I71" i="20"/>
  <c r="H402" i="20"/>
  <c r="H321" i="20"/>
  <c r="H411" i="20"/>
  <c r="H401" i="20"/>
  <c r="H297" i="20"/>
  <c r="H410" i="20"/>
  <c r="J366" i="20"/>
  <c r="J140" i="20"/>
  <c r="J163" i="20"/>
  <c r="J389" i="20"/>
  <c r="J52" i="20"/>
  <c r="J278" i="20"/>
  <c r="J312" i="20"/>
  <c r="J86" i="20"/>
  <c r="J184" i="12"/>
  <c r="J147" i="20"/>
  <c r="J153" i="12"/>
  <c r="J154" i="12"/>
  <c r="J373" i="20"/>
  <c r="J37" i="20"/>
  <c r="J263" i="20"/>
  <c r="J65" i="20"/>
  <c r="J291" i="20"/>
  <c r="J183" i="12"/>
  <c r="J123" i="20"/>
  <c r="J129" i="12"/>
  <c r="J130" i="12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/>
  <c r="I170" i="12"/>
  <c r="I192" i="12"/>
  <c r="I118" i="20"/>
  <c r="I119" i="20"/>
  <c r="I142" i="20"/>
  <c r="I143" i="20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/>
  <c r="H175" i="20"/>
  <c r="H184" i="20"/>
  <c r="I344" i="20"/>
  <c r="I165" i="12"/>
  <c r="I174" i="12"/>
  <c r="H174" i="20"/>
  <c r="H221" i="20"/>
  <c r="H222" i="20"/>
  <c r="H223" i="20"/>
  <c r="H216" i="20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/>
  <c r="I296" i="20"/>
  <c r="H448" i="20"/>
  <c r="H449" i="20"/>
  <c r="H442" i="20"/>
  <c r="G297" i="17"/>
  <c r="G107" i="17"/>
  <c r="G115" i="17"/>
  <c r="G117" i="17"/>
  <c r="G118" i="17"/>
  <c r="H230" i="17"/>
  <c r="H48" i="17"/>
  <c r="K392" i="17"/>
  <c r="K170" i="17"/>
  <c r="K251" i="17"/>
  <c r="K51" i="17"/>
  <c r="L228" i="12"/>
  <c r="M5" i="12"/>
  <c r="M9" i="12"/>
  <c r="K24" i="17"/>
  <c r="K399" i="17"/>
  <c r="K171" i="17"/>
  <c r="J281" i="17"/>
  <c r="J80" i="17"/>
  <c r="K288" i="17"/>
  <c r="K81" i="17"/>
  <c r="J318" i="17"/>
  <c r="J110" i="17"/>
  <c r="K436" i="17"/>
  <c r="K201" i="17"/>
  <c r="J355" i="17"/>
  <c r="J140" i="17"/>
  <c r="I422" i="17"/>
  <c r="I199" i="17"/>
  <c r="J348" i="17"/>
  <c r="J139" i="17"/>
  <c r="G408" i="17"/>
  <c r="G197" i="17"/>
  <c r="G205" i="17"/>
  <c r="G207" i="17"/>
  <c r="G208" i="17"/>
  <c r="J237" i="17"/>
  <c r="J49" i="17"/>
  <c r="H379" i="17"/>
  <c r="H378" i="17"/>
  <c r="H168" i="17"/>
  <c r="J310" i="17"/>
  <c r="J312" i="17"/>
  <c r="L434" i="17"/>
  <c r="I303" i="17"/>
  <c r="I305" i="17"/>
  <c r="H268" i="17"/>
  <c r="H267" i="17"/>
  <c r="H78" i="17"/>
  <c r="K346" i="17"/>
  <c r="H342" i="17"/>
  <c r="H341" i="17"/>
  <c r="H138" i="17"/>
  <c r="K325" i="17"/>
  <c r="K111" i="17"/>
  <c r="J245" i="17"/>
  <c r="J244" i="17"/>
  <c r="J50" i="17"/>
  <c r="I386" i="17"/>
  <c r="I385" i="17"/>
  <c r="I169" i="17"/>
  <c r="L236" i="20"/>
  <c r="K441" i="20"/>
  <c r="I164" i="17"/>
  <c r="G335" i="17"/>
  <c r="G334" i="17"/>
  <c r="G137" i="17"/>
  <c r="G145" i="17"/>
  <c r="G147" i="17"/>
  <c r="G148" i="17"/>
  <c r="L323" i="17"/>
  <c r="G224" i="17"/>
  <c r="G223" i="17"/>
  <c r="G47" i="17"/>
  <c r="G55" i="17"/>
  <c r="G57" i="17"/>
  <c r="G58" i="17"/>
  <c r="L360" i="17"/>
  <c r="I134" i="17"/>
  <c r="I194" i="17"/>
  <c r="H406" i="17"/>
  <c r="N9" i="20"/>
  <c r="N13" i="20"/>
  <c r="M215" i="20"/>
  <c r="I414" i="17"/>
  <c r="I416" i="17"/>
  <c r="H258" i="17"/>
  <c r="L286" i="17"/>
  <c r="K428" i="17"/>
  <c r="K430" i="17"/>
  <c r="K353" i="17"/>
  <c r="L397" i="17"/>
  <c r="I228" i="17"/>
  <c r="J420" i="17"/>
  <c r="K279" i="17"/>
  <c r="K362" i="17"/>
  <c r="K141" i="17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/>
  <c r="K235" i="17"/>
  <c r="L249" i="17"/>
  <c r="G260" i="17"/>
  <c r="G77" i="17"/>
  <c r="G85" i="17"/>
  <c r="G87" i="17"/>
  <c r="G88" i="17"/>
  <c r="K316" i="17"/>
  <c r="H295" i="17"/>
  <c r="N17" i="21"/>
  <c r="N117" i="21"/>
  <c r="N92" i="21"/>
  <c r="N67" i="21"/>
  <c r="N142" i="21"/>
  <c r="N42" i="21"/>
  <c r="M321" i="3"/>
  <c r="J236" i="12"/>
  <c r="L143" i="12"/>
  <c r="M143" i="21"/>
  <c r="L147" i="12"/>
  <c r="M147" i="21"/>
  <c r="L151" i="12"/>
  <c r="M151" i="21"/>
  <c r="L137" i="12"/>
  <c r="M137" i="21"/>
  <c r="L141" i="12"/>
  <c r="M141" i="21"/>
  <c r="L145" i="12"/>
  <c r="M145" i="21"/>
  <c r="L149" i="12"/>
  <c r="M149" i="21"/>
  <c r="L139" i="12"/>
  <c r="M139" i="21"/>
  <c r="L135" i="12"/>
  <c r="M135" i="21"/>
  <c r="L117" i="12"/>
  <c r="M116" i="21"/>
  <c r="L144" i="12"/>
  <c r="M144" i="21"/>
  <c r="L148" i="12"/>
  <c r="M148" i="21"/>
  <c r="L152" i="12"/>
  <c r="M152" i="21"/>
  <c r="L140" i="12"/>
  <c r="M140" i="21"/>
  <c r="L146" i="12"/>
  <c r="M146" i="21"/>
  <c r="L119" i="12"/>
  <c r="M118" i="21"/>
  <c r="L123" i="12"/>
  <c r="M122" i="21"/>
  <c r="L127" i="12"/>
  <c r="M126" i="21"/>
  <c r="L113" i="12"/>
  <c r="M112" i="21"/>
  <c r="L121" i="12"/>
  <c r="M120" i="21"/>
  <c r="L125" i="12"/>
  <c r="M124" i="21"/>
  <c r="L115" i="12"/>
  <c r="M114" i="21"/>
  <c r="L111" i="12"/>
  <c r="M110" i="21"/>
  <c r="L93" i="12"/>
  <c r="M91" i="21"/>
  <c r="L97" i="12"/>
  <c r="M95" i="21"/>
  <c r="L101" i="12"/>
  <c r="M99" i="21"/>
  <c r="L150" i="12"/>
  <c r="M150" i="21"/>
  <c r="L120" i="12"/>
  <c r="M119" i="21"/>
  <c r="L124" i="12"/>
  <c r="M123" i="21"/>
  <c r="L128" i="12"/>
  <c r="M127" i="21"/>
  <c r="L116" i="12"/>
  <c r="M115" i="21"/>
  <c r="L98" i="12"/>
  <c r="M96" i="21"/>
  <c r="L100" i="12"/>
  <c r="M98" i="21"/>
  <c r="L90" i="12"/>
  <c r="M88" i="21"/>
  <c r="L122" i="12"/>
  <c r="M121" i="21"/>
  <c r="L99" i="12"/>
  <c r="M97" i="21"/>
  <c r="L89" i="12"/>
  <c r="M87" i="21"/>
  <c r="L92" i="12"/>
  <c r="M90" i="21"/>
  <c r="L72" i="12"/>
  <c r="M69" i="21"/>
  <c r="L76" i="12"/>
  <c r="M73" i="21"/>
  <c r="L80" i="12"/>
  <c r="M77" i="21"/>
  <c r="L138" i="12"/>
  <c r="M138" i="21"/>
  <c r="L114" i="12"/>
  <c r="M113" i="21"/>
  <c r="L96" i="12"/>
  <c r="M94" i="21"/>
  <c r="L103" i="12"/>
  <c r="M101" i="21"/>
  <c r="L102" i="12"/>
  <c r="M100" i="21"/>
  <c r="L73" i="12"/>
  <c r="M70" i="21"/>
  <c r="L75" i="12"/>
  <c r="M72" i="21"/>
  <c r="L65" i="12"/>
  <c r="M62" i="21"/>
  <c r="L68" i="12"/>
  <c r="M65" i="21"/>
  <c r="L48" i="12"/>
  <c r="M44" i="21"/>
  <c r="L91" i="12"/>
  <c r="M89" i="21"/>
  <c r="L74" i="12"/>
  <c r="M71" i="21"/>
  <c r="L67" i="12"/>
  <c r="M64" i="21"/>
  <c r="L50" i="12"/>
  <c r="M46" i="21"/>
  <c r="L54" i="12"/>
  <c r="M50" i="21"/>
  <c r="L42" i="12"/>
  <c r="M38" i="21"/>
  <c r="L95" i="12"/>
  <c r="M93" i="21"/>
  <c r="L104" i="12"/>
  <c r="M102" i="21"/>
  <c r="L87" i="12"/>
  <c r="M85" i="21"/>
  <c r="L69" i="12"/>
  <c r="M66" i="21"/>
  <c r="L71" i="12"/>
  <c r="M68" i="21"/>
  <c r="L78" i="12"/>
  <c r="M75" i="21"/>
  <c r="L63" i="12"/>
  <c r="M60" i="21"/>
  <c r="L45" i="12"/>
  <c r="M41" i="21"/>
  <c r="L49" i="12"/>
  <c r="M45" i="21"/>
  <c r="L126" i="12"/>
  <c r="M125" i="21"/>
  <c r="L79" i="12"/>
  <c r="M76" i="21"/>
  <c r="L55" i="12"/>
  <c r="M51" i="21"/>
  <c r="L43" i="12"/>
  <c r="M39" i="21"/>
  <c r="L25" i="12"/>
  <c r="M20" i="21"/>
  <c r="L29" i="12"/>
  <c r="M24" i="21"/>
  <c r="L15" i="12"/>
  <c r="M10" i="21"/>
  <c r="L66" i="12"/>
  <c r="M63" i="21"/>
  <c r="L56" i="12"/>
  <c r="M52" i="21"/>
  <c r="L27" i="12"/>
  <c r="M22" i="21"/>
  <c r="L31" i="12"/>
  <c r="M26" i="21"/>
  <c r="L17" i="12"/>
  <c r="M12" i="21"/>
  <c r="L30" i="12"/>
  <c r="M25" i="21"/>
  <c r="L19" i="12"/>
  <c r="M14" i="21"/>
  <c r="L52" i="12"/>
  <c r="M48" i="21"/>
  <c r="L28" i="12"/>
  <c r="M23" i="21"/>
  <c r="L20" i="12"/>
  <c r="M15" i="21"/>
  <c r="L47" i="12"/>
  <c r="M43" i="21"/>
  <c r="L51" i="12"/>
  <c r="M47" i="21"/>
  <c r="L53" i="12"/>
  <c r="M49" i="21"/>
  <c r="L41" i="12"/>
  <c r="M37" i="21"/>
  <c r="L39" i="12"/>
  <c r="M35" i="21"/>
  <c r="L23" i="12"/>
  <c r="M18" i="21"/>
  <c r="L26" i="12"/>
  <c r="M21" i="21"/>
  <c r="L18" i="12"/>
  <c r="M13" i="21"/>
  <c r="L77" i="12"/>
  <c r="M74" i="21"/>
  <c r="L44" i="12"/>
  <c r="M40" i="21"/>
  <c r="L21" i="12"/>
  <c r="M16" i="21"/>
  <c r="L24" i="12"/>
  <c r="M19" i="21"/>
  <c r="L32" i="12"/>
  <c r="M27" i="21"/>
  <c r="K111" i="21"/>
  <c r="K128" i="21"/>
  <c r="K86" i="21"/>
  <c r="K103" i="21"/>
  <c r="K36" i="21"/>
  <c r="K53" i="21"/>
  <c r="K61" i="21"/>
  <c r="K78" i="21"/>
  <c r="K378" i="20"/>
  <c r="K152" i="20"/>
  <c r="K258" i="20"/>
  <c r="K32" i="20"/>
  <c r="K328" i="20"/>
  <c r="K102" i="20"/>
  <c r="K329" i="20"/>
  <c r="K103" i="20"/>
  <c r="K80" i="20"/>
  <c r="K306" i="20"/>
  <c r="K136" i="21"/>
  <c r="K153" i="21"/>
  <c r="K150" i="20"/>
  <c r="K376" i="20"/>
  <c r="K282" i="20"/>
  <c r="K56" i="20"/>
  <c r="K330" i="20"/>
  <c r="K104" i="20"/>
  <c r="K128" i="20"/>
  <c r="K354" i="20"/>
  <c r="K11" i="21"/>
  <c r="K28" i="2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/>
  <c r="K38" i="3"/>
  <c r="K41" i="3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/>
  <c r="H175" i="17"/>
  <c r="H177" i="17"/>
  <c r="H178" i="17"/>
  <c r="I273" i="20"/>
  <c r="I409" i="20"/>
  <c r="I400" i="20"/>
  <c r="J344" i="20"/>
  <c r="J345" i="20"/>
  <c r="J412" i="20"/>
  <c r="I404" i="20"/>
  <c r="K234" i="12"/>
  <c r="K235" i="12"/>
  <c r="J171" i="12"/>
  <c r="J162" i="12"/>
  <c r="I174" i="20"/>
  <c r="I221" i="20"/>
  <c r="I222" i="20"/>
  <c r="I223" i="20"/>
  <c r="I216" i="20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/>
  <c r="L86" i="12"/>
  <c r="M84" i="21"/>
  <c r="L134" i="12"/>
  <c r="M134" i="21"/>
  <c r="L110" i="12"/>
  <c r="M109" i="21"/>
  <c r="L14" i="12"/>
  <c r="M9" i="21"/>
  <c r="M10" i="12"/>
  <c r="M14" i="20"/>
  <c r="L62" i="12"/>
  <c r="M59" i="21"/>
  <c r="K180" i="12"/>
  <c r="K277" i="20"/>
  <c r="K51" i="20"/>
  <c r="K57" i="12"/>
  <c r="K58" i="12"/>
  <c r="K181" i="12"/>
  <c r="K81" i="12"/>
  <c r="K82" i="12"/>
  <c r="K301" i="20"/>
  <c r="K75" i="20"/>
  <c r="K87" i="20"/>
  <c r="K313" i="20"/>
  <c r="K110" i="20"/>
  <c r="K336" i="20"/>
  <c r="K162" i="20"/>
  <c r="K388" i="20"/>
  <c r="K184" i="12"/>
  <c r="K147" i="20"/>
  <c r="K153" i="12"/>
  <c r="K154" i="12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/>
  <c r="I345" i="20"/>
  <c r="I412" i="20"/>
  <c r="I403" i="20"/>
  <c r="J142" i="20"/>
  <c r="J143" i="20"/>
  <c r="K179" i="12"/>
  <c r="K253" i="20"/>
  <c r="K33" i="12"/>
  <c r="K34" i="12"/>
  <c r="K27" i="20"/>
  <c r="I297" i="20"/>
  <c r="I410" i="20"/>
  <c r="I401" i="20"/>
  <c r="J296" i="20"/>
  <c r="J94" i="20"/>
  <c r="J95" i="20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/>
  <c r="I405" i="20"/>
  <c r="J320" i="20"/>
  <c r="J392" i="20"/>
  <c r="K153" i="20"/>
  <c r="K379" i="20"/>
  <c r="K183" i="12"/>
  <c r="K349" i="20"/>
  <c r="K123" i="20"/>
  <c r="K129" i="12"/>
  <c r="K130" i="12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/>
  <c r="J170" i="12"/>
  <c r="J192" i="12"/>
  <c r="J70" i="20"/>
  <c r="J71" i="20"/>
  <c r="I321" i="20"/>
  <c r="I411" i="20"/>
  <c r="I402" i="20"/>
  <c r="J118" i="20"/>
  <c r="J119" i="20"/>
  <c r="I186" i="20"/>
  <c r="I177" i="20"/>
  <c r="J368" i="20"/>
  <c r="J166" i="20"/>
  <c r="J167" i="20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/>
  <c r="I442" i="20"/>
  <c r="M228" i="12"/>
  <c r="L24" i="17"/>
  <c r="N5" i="12"/>
  <c r="N9" i="12"/>
  <c r="J311" i="17"/>
  <c r="J109" i="17"/>
  <c r="J274" i="17"/>
  <c r="J79" i="17"/>
  <c r="K317" i="17"/>
  <c r="K319" i="17"/>
  <c r="K236" i="17"/>
  <c r="K238" i="17"/>
  <c r="J134" i="17"/>
  <c r="L427" i="17"/>
  <c r="J413" i="17"/>
  <c r="H407" i="17"/>
  <c r="H409" i="17"/>
  <c r="K242" i="17"/>
  <c r="I339" i="17"/>
  <c r="K347" i="17"/>
  <c r="K349" i="17"/>
  <c r="J302" i="17"/>
  <c r="H296" i="17"/>
  <c r="H298" i="17"/>
  <c r="J74" i="17"/>
  <c r="J421" i="17"/>
  <c r="J423" i="17"/>
  <c r="L398" i="17"/>
  <c r="L400" i="17"/>
  <c r="N215" i="20"/>
  <c r="O9" i="20"/>
  <c r="O13" i="20"/>
  <c r="L435" i="17"/>
  <c r="L437" i="17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/>
  <c r="H221" i="17"/>
  <c r="H332" i="17"/>
  <c r="J383" i="17"/>
  <c r="I369" i="17"/>
  <c r="K309" i="17"/>
  <c r="J44" i="17"/>
  <c r="J104" i="17"/>
  <c r="L324" i="17"/>
  <c r="L326" i="17"/>
  <c r="M236" i="20"/>
  <c r="L441" i="20"/>
  <c r="I376" i="17"/>
  <c r="L250" i="17"/>
  <c r="L252" i="17"/>
  <c r="L391" i="17"/>
  <c r="L393" i="17"/>
  <c r="J194" i="17"/>
  <c r="L361" i="17"/>
  <c r="L363" i="17"/>
  <c r="K280" i="17"/>
  <c r="K282" i="17"/>
  <c r="I229" i="17"/>
  <c r="I231" i="17"/>
  <c r="K354" i="17"/>
  <c r="K356" i="17"/>
  <c r="L287" i="17"/>
  <c r="L289" i="17"/>
  <c r="H259" i="17"/>
  <c r="H261" i="17"/>
  <c r="I415" i="17"/>
  <c r="I198" i="17"/>
  <c r="I265" i="17"/>
  <c r="I304" i="17"/>
  <c r="I108" i="17"/>
  <c r="O17" i="21"/>
  <c r="O92" i="21"/>
  <c r="O117" i="21"/>
  <c r="O142" i="21"/>
  <c r="O42" i="21"/>
  <c r="O67" i="21"/>
  <c r="K236" i="12"/>
  <c r="K237" i="12"/>
  <c r="K229" i="12"/>
  <c r="K170" i="12"/>
  <c r="K192" i="12"/>
  <c r="M144" i="12"/>
  <c r="N144" i="21"/>
  <c r="M148" i="12"/>
  <c r="N148" i="21"/>
  <c r="M152" i="12"/>
  <c r="N152" i="21"/>
  <c r="M140" i="12"/>
  <c r="N140" i="21"/>
  <c r="M146" i="12"/>
  <c r="N146" i="21"/>
  <c r="M150" i="12"/>
  <c r="N150" i="21"/>
  <c r="M138" i="12"/>
  <c r="N138" i="21"/>
  <c r="M141" i="12"/>
  <c r="N141" i="21"/>
  <c r="M145" i="12"/>
  <c r="N145" i="21"/>
  <c r="M149" i="12"/>
  <c r="N149" i="21"/>
  <c r="M139" i="12"/>
  <c r="N139" i="21"/>
  <c r="M135" i="12"/>
  <c r="N135" i="21"/>
  <c r="M151" i="12"/>
  <c r="N151" i="21"/>
  <c r="M120" i="12"/>
  <c r="N119" i="21"/>
  <c r="M124" i="12"/>
  <c r="N123" i="21"/>
  <c r="M128" i="12"/>
  <c r="N127" i="21"/>
  <c r="M116" i="12"/>
  <c r="N115" i="21"/>
  <c r="M143" i="12"/>
  <c r="N143" i="21"/>
  <c r="M122" i="12"/>
  <c r="N121" i="21"/>
  <c r="M126" i="12"/>
  <c r="N125" i="21"/>
  <c r="M114" i="12"/>
  <c r="N113" i="21"/>
  <c r="M98" i="12"/>
  <c r="N96" i="21"/>
  <c r="M102" i="12"/>
  <c r="N100" i="21"/>
  <c r="M117" i="12"/>
  <c r="N116" i="21"/>
  <c r="M121" i="12"/>
  <c r="N120" i="21"/>
  <c r="M125" i="12"/>
  <c r="N124" i="21"/>
  <c r="M115" i="12"/>
  <c r="N114" i="21"/>
  <c r="M93" i="12"/>
  <c r="N91" i="21"/>
  <c r="M96" i="12"/>
  <c r="N94" i="21"/>
  <c r="M103" i="12"/>
  <c r="N101" i="21"/>
  <c r="M137" i="12"/>
  <c r="N137" i="21"/>
  <c r="M127" i="12"/>
  <c r="N126" i="21"/>
  <c r="M111" i="12"/>
  <c r="N110" i="21"/>
  <c r="M95" i="12"/>
  <c r="N93" i="21"/>
  <c r="M97" i="12"/>
  <c r="N95" i="21"/>
  <c r="M104" i="12"/>
  <c r="N102" i="21"/>
  <c r="M91" i="12"/>
  <c r="N89" i="21"/>
  <c r="M87" i="12"/>
  <c r="N85" i="21"/>
  <c r="M69" i="12"/>
  <c r="N66" i="21"/>
  <c r="M73" i="12"/>
  <c r="N70" i="21"/>
  <c r="M77" i="12"/>
  <c r="N74" i="21"/>
  <c r="M67" i="12"/>
  <c r="N64" i="21"/>
  <c r="M147" i="12"/>
  <c r="N147" i="21"/>
  <c r="M123" i="12"/>
  <c r="N122" i="21"/>
  <c r="M113" i="12"/>
  <c r="N112" i="21"/>
  <c r="M99" i="12"/>
  <c r="N97" i="21"/>
  <c r="M101" i="12"/>
  <c r="N99" i="21"/>
  <c r="M89" i="12"/>
  <c r="N87" i="21"/>
  <c r="M92" i="12"/>
  <c r="N90" i="21"/>
  <c r="M71" i="12"/>
  <c r="N68" i="21"/>
  <c r="M78" i="12"/>
  <c r="N75" i="21"/>
  <c r="M80" i="12"/>
  <c r="N77" i="21"/>
  <c r="M63" i="12"/>
  <c r="N60" i="21"/>
  <c r="M45" i="12"/>
  <c r="N41" i="21"/>
  <c r="M49" i="12"/>
  <c r="N45" i="21"/>
  <c r="M90" i="12"/>
  <c r="N88" i="21"/>
  <c r="M72" i="12"/>
  <c r="N69" i="21"/>
  <c r="M79" i="12"/>
  <c r="N76" i="21"/>
  <c r="M66" i="12"/>
  <c r="N63" i="21"/>
  <c r="M47" i="12"/>
  <c r="N43" i="21"/>
  <c r="M51" i="12"/>
  <c r="N47" i="21"/>
  <c r="M55" i="12"/>
  <c r="N51" i="21"/>
  <c r="M41" i="12"/>
  <c r="N37" i="21"/>
  <c r="M23" i="12"/>
  <c r="N18" i="21"/>
  <c r="M74" i="12"/>
  <c r="N71" i="21"/>
  <c r="M76" i="12"/>
  <c r="N73" i="21"/>
  <c r="M48" i="12"/>
  <c r="N44" i="21"/>
  <c r="M53" i="12"/>
  <c r="N49" i="21"/>
  <c r="M42" i="12"/>
  <c r="N38" i="21"/>
  <c r="M39" i="12"/>
  <c r="N35" i="21"/>
  <c r="M26" i="12"/>
  <c r="N21" i="21"/>
  <c r="M30" i="12"/>
  <c r="N25" i="21"/>
  <c r="M68" i="12"/>
  <c r="N65" i="21"/>
  <c r="M119" i="12"/>
  <c r="N118" i="21"/>
  <c r="M75" i="12"/>
  <c r="N72" i="21"/>
  <c r="M52" i="12"/>
  <c r="N48" i="21"/>
  <c r="M54" i="12"/>
  <c r="N50" i="21"/>
  <c r="M44" i="12"/>
  <c r="N40" i="21"/>
  <c r="M21" i="12"/>
  <c r="N16" i="21"/>
  <c r="M24" i="12"/>
  <c r="N19" i="21"/>
  <c r="M28" i="12"/>
  <c r="N23" i="21"/>
  <c r="M32" i="12"/>
  <c r="N27" i="21"/>
  <c r="M20" i="12"/>
  <c r="N15" i="21"/>
  <c r="M27" i="12"/>
  <c r="N22" i="21"/>
  <c r="M18" i="12"/>
  <c r="N13" i="21"/>
  <c r="M50" i="12"/>
  <c r="N46" i="21"/>
  <c r="M43" i="12"/>
  <c r="N39" i="21"/>
  <c r="M29" i="12"/>
  <c r="N24" i="21"/>
  <c r="M19" i="12"/>
  <c r="N14" i="21"/>
  <c r="M65" i="12"/>
  <c r="N62" i="21"/>
  <c r="M56" i="12"/>
  <c r="N52" i="21"/>
  <c r="M31" i="12"/>
  <c r="N26" i="21"/>
  <c r="M17" i="12"/>
  <c r="N12" i="21"/>
  <c r="M100" i="12"/>
  <c r="N98" i="21"/>
  <c r="M25" i="12"/>
  <c r="N20" i="21"/>
  <c r="M15" i="12"/>
  <c r="N10" i="21"/>
  <c r="L36" i="21"/>
  <c r="L53" i="21"/>
  <c r="L136" i="21"/>
  <c r="L153" i="21"/>
  <c r="L61" i="21"/>
  <c r="L78" i="21"/>
  <c r="L86" i="21"/>
  <c r="L103" i="2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/>
  <c r="L353" i="20"/>
  <c r="L127" i="20"/>
  <c r="L126" i="20"/>
  <c r="L352" i="20"/>
  <c r="L11" i="21"/>
  <c r="L28" i="2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/>
  <c r="L38" i="3"/>
  <c r="L41" i="3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/>
  <c r="L234" i="12"/>
  <c r="L235" i="12"/>
  <c r="J273" i="20"/>
  <c r="J409" i="20"/>
  <c r="J447" i="20"/>
  <c r="J448" i="20"/>
  <c r="J449" i="20"/>
  <c r="J442" i="20"/>
  <c r="J400" i="20"/>
  <c r="J369" i="20"/>
  <c r="J413" i="20"/>
  <c r="J404" i="20"/>
  <c r="K344" i="20"/>
  <c r="K165" i="12"/>
  <c r="K174" i="12"/>
  <c r="K272" i="20"/>
  <c r="J187" i="20"/>
  <c r="J178" i="20"/>
  <c r="K166" i="20"/>
  <c r="K167" i="20"/>
  <c r="K94" i="20"/>
  <c r="K95" i="20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/>
  <c r="K320" i="20"/>
  <c r="K70" i="20"/>
  <c r="K71" i="20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/>
  <c r="L342" i="20"/>
  <c r="L116" i="20"/>
  <c r="L390" i="20"/>
  <c r="L164" i="20"/>
  <c r="J175" i="20"/>
  <c r="J184" i="20"/>
  <c r="K118" i="20"/>
  <c r="K119" i="20"/>
  <c r="K368" i="20"/>
  <c r="J405" i="20"/>
  <c r="J393" i="20"/>
  <c r="J414" i="20"/>
  <c r="J185" i="20"/>
  <c r="J176" i="20"/>
  <c r="K46" i="20"/>
  <c r="K47" i="20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/>
  <c r="N10" i="12"/>
  <c r="N14" i="20"/>
  <c r="M62" i="12"/>
  <c r="N59" i="21"/>
  <c r="M38" i="12"/>
  <c r="N34" i="21"/>
  <c r="M134" i="12"/>
  <c r="N134" i="21"/>
  <c r="M14" i="12"/>
  <c r="N9" i="21"/>
  <c r="M86" i="12"/>
  <c r="N84" i="2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/>
  <c r="J402" i="20"/>
  <c r="J401" i="20"/>
  <c r="J297" i="20"/>
  <c r="J410" i="20"/>
  <c r="K161" i="12"/>
  <c r="K188" i="12"/>
  <c r="J221" i="20"/>
  <c r="J222" i="20"/>
  <c r="J223" i="20"/>
  <c r="J216" i="20"/>
  <c r="J174" i="20"/>
  <c r="J183" i="20"/>
  <c r="K175" i="12"/>
  <c r="K166" i="12"/>
  <c r="L338" i="20"/>
  <c r="L112" i="20"/>
  <c r="L45" i="20"/>
  <c r="L271" i="20"/>
  <c r="L181" i="12"/>
  <c r="L75" i="20"/>
  <c r="L81" i="12"/>
  <c r="L82" i="12"/>
  <c r="L301" i="20"/>
  <c r="L115" i="20"/>
  <c r="L341" i="20"/>
  <c r="L380" i="20"/>
  <c r="L154" i="20"/>
  <c r="L179" i="12"/>
  <c r="L27" i="20"/>
  <c r="L253" i="20"/>
  <c r="L33" i="12"/>
  <c r="L34" i="12"/>
  <c r="L267" i="20"/>
  <c r="L41" i="20"/>
  <c r="L183" i="12"/>
  <c r="L129" i="12"/>
  <c r="L130" i="12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/>
  <c r="L373" i="20"/>
  <c r="L343" i="20"/>
  <c r="L117" i="20"/>
  <c r="L124" i="20"/>
  <c r="L350" i="20"/>
  <c r="L182" i="12"/>
  <c r="L99" i="20"/>
  <c r="L105" i="12"/>
  <c r="L106" i="12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/>
  <c r="M24" i="17"/>
  <c r="N228" i="12"/>
  <c r="O5" i="12"/>
  <c r="O9" i="12"/>
  <c r="H260" i="17"/>
  <c r="H77" i="17"/>
  <c r="H85" i="17"/>
  <c r="H87" i="17"/>
  <c r="H88" i="17"/>
  <c r="H297" i="17"/>
  <c r="H107" i="17"/>
  <c r="H115" i="17"/>
  <c r="H117" i="17"/>
  <c r="H118" i="17"/>
  <c r="L399" i="17"/>
  <c r="L171" i="17"/>
  <c r="L288" i="17"/>
  <c r="L81" i="17"/>
  <c r="L362" i="17"/>
  <c r="L141" i="17"/>
  <c r="L436" i="17"/>
  <c r="L201" i="17"/>
  <c r="H408" i="17"/>
  <c r="H197" i="17"/>
  <c r="H205" i="17"/>
  <c r="H207" i="17"/>
  <c r="H208" i="17"/>
  <c r="K318" i="17"/>
  <c r="K110" i="17"/>
  <c r="J422" i="17"/>
  <c r="J199" i="17"/>
  <c r="K237" i="17"/>
  <c r="K49" i="17"/>
  <c r="L279" i="17"/>
  <c r="M390" i="17"/>
  <c r="I370" i="17"/>
  <c r="I372" i="17"/>
  <c r="L346" i="17"/>
  <c r="J414" i="17"/>
  <c r="J416" i="17"/>
  <c r="J384" i="17"/>
  <c r="J386" i="17"/>
  <c r="K74" i="17"/>
  <c r="M434" i="17"/>
  <c r="K243" i="17"/>
  <c r="K245" i="17"/>
  <c r="I258" i="17"/>
  <c r="I230" i="17"/>
  <c r="I48" i="17"/>
  <c r="K281" i="17"/>
  <c r="K80" i="17"/>
  <c r="L392" i="17"/>
  <c r="L170" i="17"/>
  <c r="I377" i="17"/>
  <c r="I379" i="17"/>
  <c r="K310" i="17"/>
  <c r="K312" i="17"/>
  <c r="H333" i="17"/>
  <c r="H335" i="17"/>
  <c r="K134" i="17"/>
  <c r="K194" i="17"/>
  <c r="K44" i="17"/>
  <c r="K164" i="17"/>
  <c r="K104" i="17"/>
  <c r="O215" i="20"/>
  <c r="P9" i="20"/>
  <c r="J303" i="17"/>
  <c r="J305" i="17"/>
  <c r="L428" i="17"/>
  <c r="L430" i="17"/>
  <c r="I266" i="17"/>
  <c r="I268" i="17"/>
  <c r="J228" i="17"/>
  <c r="M323" i="17"/>
  <c r="K273" i="17"/>
  <c r="K275" i="17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/>
  <c r="I406" i="17"/>
  <c r="M286" i="17"/>
  <c r="L353" i="17"/>
  <c r="M360" i="17"/>
  <c r="L251" i="17"/>
  <c r="L51" i="17"/>
  <c r="N236" i="20"/>
  <c r="M441" i="20"/>
  <c r="L325" i="17"/>
  <c r="L111" i="17"/>
  <c r="H222" i="17"/>
  <c r="H224" i="17"/>
  <c r="K420" i="17"/>
  <c r="I340" i="17"/>
  <c r="I342" i="17"/>
  <c r="L235" i="17"/>
  <c r="L316" i="17"/>
  <c r="P17" i="21"/>
  <c r="P67" i="21"/>
  <c r="P142" i="21"/>
  <c r="P42" i="21"/>
  <c r="P92" i="21"/>
  <c r="P117" i="21"/>
  <c r="Q9" i="20"/>
  <c r="P13" i="20"/>
  <c r="L236" i="12"/>
  <c r="L237" i="12"/>
  <c r="L229" i="12"/>
  <c r="L170" i="12"/>
  <c r="L192" i="12"/>
  <c r="N141" i="12"/>
  <c r="O141" i="21"/>
  <c r="N145" i="12"/>
  <c r="O145" i="21"/>
  <c r="N149" i="12"/>
  <c r="O149" i="21"/>
  <c r="N139" i="12"/>
  <c r="O139" i="21"/>
  <c r="N135" i="12"/>
  <c r="O135" i="21"/>
  <c r="N143" i="12"/>
  <c r="O143" i="21"/>
  <c r="N147" i="12"/>
  <c r="O147" i="21"/>
  <c r="N151" i="12"/>
  <c r="O151" i="21"/>
  <c r="N137" i="12"/>
  <c r="O137" i="21"/>
  <c r="N119" i="12"/>
  <c r="O118" i="21"/>
  <c r="N146" i="12"/>
  <c r="O146" i="21"/>
  <c r="N150" i="12"/>
  <c r="O150" i="21"/>
  <c r="N138" i="12"/>
  <c r="O138" i="21"/>
  <c r="N117" i="12"/>
  <c r="O116" i="21"/>
  <c r="N121" i="12"/>
  <c r="O120" i="21"/>
  <c r="N125" i="12"/>
  <c r="O124" i="21"/>
  <c r="N115" i="12"/>
  <c r="O114" i="21"/>
  <c r="N148" i="12"/>
  <c r="O148" i="21"/>
  <c r="N140" i="12"/>
  <c r="O140" i="21"/>
  <c r="N123" i="12"/>
  <c r="O122" i="21"/>
  <c r="N127" i="12"/>
  <c r="O126" i="21"/>
  <c r="N113" i="12"/>
  <c r="O112" i="21"/>
  <c r="N95" i="12"/>
  <c r="O93" i="21"/>
  <c r="N99" i="12"/>
  <c r="O97" i="21"/>
  <c r="N103" i="12"/>
  <c r="O101" i="21"/>
  <c r="N89" i="12"/>
  <c r="O87" i="21"/>
  <c r="N144" i="12"/>
  <c r="O144" i="21"/>
  <c r="N122" i="12"/>
  <c r="O121" i="21"/>
  <c r="N126" i="12"/>
  <c r="O125" i="21"/>
  <c r="N114" i="12"/>
  <c r="O113" i="21"/>
  <c r="N124" i="12"/>
  <c r="O123" i="21"/>
  <c r="N116" i="12"/>
  <c r="O115" i="21"/>
  <c r="N101" i="12"/>
  <c r="O99" i="21"/>
  <c r="N92" i="12"/>
  <c r="O90" i="21"/>
  <c r="N100" i="12"/>
  <c r="O98" i="21"/>
  <c r="N102" i="12"/>
  <c r="O100" i="21"/>
  <c r="N90" i="12"/>
  <c r="O88" i="21"/>
  <c r="N74" i="12"/>
  <c r="O71" i="21"/>
  <c r="N78" i="12"/>
  <c r="O75" i="21"/>
  <c r="N66" i="12"/>
  <c r="O63" i="21"/>
  <c r="N128" i="12"/>
  <c r="O127" i="21"/>
  <c r="N111" i="12"/>
  <c r="O110" i="21"/>
  <c r="N97" i="12"/>
  <c r="O95" i="21"/>
  <c r="N104" i="12"/>
  <c r="O102" i="21"/>
  <c r="N91" i="12"/>
  <c r="O89" i="21"/>
  <c r="N87" i="12"/>
  <c r="O85" i="21"/>
  <c r="N93" i="12"/>
  <c r="O91" i="21"/>
  <c r="N69" i="12"/>
  <c r="O66" i="21"/>
  <c r="N76" i="12"/>
  <c r="O73" i="21"/>
  <c r="N120" i="12"/>
  <c r="O119" i="21"/>
  <c r="N98" i="12"/>
  <c r="O96" i="21"/>
  <c r="N75" i="12"/>
  <c r="O72" i="21"/>
  <c r="N77" i="12"/>
  <c r="O74" i="21"/>
  <c r="N65" i="12"/>
  <c r="O62" i="21"/>
  <c r="N68" i="12"/>
  <c r="O65" i="21"/>
  <c r="N48" i="12"/>
  <c r="O44" i="21"/>
  <c r="N52" i="12"/>
  <c r="O48" i="21"/>
  <c r="N56" i="12"/>
  <c r="O52" i="21"/>
  <c r="N44" i="12"/>
  <c r="O40" i="21"/>
  <c r="N24" i="12"/>
  <c r="O19" i="21"/>
  <c r="N152" i="12"/>
  <c r="O152" i="21"/>
  <c r="N96" i="12"/>
  <c r="O94" i="21"/>
  <c r="N72" i="12"/>
  <c r="O69" i="21"/>
  <c r="N79" i="12"/>
  <c r="O76" i="21"/>
  <c r="N67" i="12"/>
  <c r="O64" i="21"/>
  <c r="N47" i="12"/>
  <c r="O43" i="21"/>
  <c r="N71" i="12"/>
  <c r="O68" i="21"/>
  <c r="N80" i="12"/>
  <c r="O77" i="21"/>
  <c r="N45" i="12"/>
  <c r="O41" i="21"/>
  <c r="N51" i="12"/>
  <c r="O47" i="21"/>
  <c r="N41" i="12"/>
  <c r="O37" i="21"/>
  <c r="N23" i="12"/>
  <c r="O18" i="21"/>
  <c r="N27" i="12"/>
  <c r="O22" i="21"/>
  <c r="N31" i="12"/>
  <c r="O26" i="21"/>
  <c r="N17" i="12"/>
  <c r="O12" i="21"/>
  <c r="N42" i="12"/>
  <c r="O38" i="21"/>
  <c r="N26" i="12"/>
  <c r="O21" i="21"/>
  <c r="N30" i="12"/>
  <c r="O25" i="21"/>
  <c r="N63" i="12"/>
  <c r="O60" i="21"/>
  <c r="N50" i="12"/>
  <c r="O46" i="21"/>
  <c r="N43" i="12"/>
  <c r="O39" i="21"/>
  <c r="N25" i="12"/>
  <c r="O20" i="21"/>
  <c r="N29" i="12"/>
  <c r="O24" i="21"/>
  <c r="N19" i="12"/>
  <c r="O14" i="21"/>
  <c r="N15" i="12"/>
  <c r="O10" i="21"/>
  <c r="N32" i="12"/>
  <c r="O27" i="21"/>
  <c r="N53" i="12"/>
  <c r="O49" i="21"/>
  <c r="N55" i="12"/>
  <c r="O51" i="21"/>
  <c r="N18" i="12"/>
  <c r="O13" i="21"/>
  <c r="N73" i="12"/>
  <c r="O70" i="21"/>
  <c r="N54" i="12"/>
  <c r="O50" i="21"/>
  <c r="N21" i="12"/>
  <c r="O16" i="21"/>
  <c r="N28" i="12"/>
  <c r="O23" i="21"/>
  <c r="N20" i="12"/>
  <c r="O15" i="21"/>
  <c r="N49" i="12"/>
  <c r="O45" i="21"/>
  <c r="N39" i="12"/>
  <c r="O35" i="21"/>
  <c r="M136" i="21"/>
  <c r="M153" i="21"/>
  <c r="M36" i="21"/>
  <c r="M53" i="21"/>
  <c r="M61" i="21"/>
  <c r="M78" i="21"/>
  <c r="M86" i="21"/>
  <c r="M103" i="2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/>
  <c r="M353" i="20"/>
  <c r="M127" i="20"/>
  <c r="M352" i="20"/>
  <c r="M126" i="20"/>
  <c r="M11" i="21"/>
  <c r="M28" i="2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/>
  <c r="M38" i="3"/>
  <c r="M41" i="3"/>
  <c r="M234" i="12"/>
  <c r="M235" i="12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/>
  <c r="L142" i="20"/>
  <c r="L320" i="20"/>
  <c r="L321" i="20"/>
  <c r="L411" i="20"/>
  <c r="L46" i="20"/>
  <c r="L47" i="20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/>
  <c r="M266" i="20"/>
  <c r="M40" i="20"/>
  <c r="M389" i="20"/>
  <c r="M163" i="20"/>
  <c r="M331" i="20"/>
  <c r="M105" i="20"/>
  <c r="M180" i="12"/>
  <c r="M277" i="20"/>
  <c r="M51" i="20"/>
  <c r="M57" i="12"/>
  <c r="M58" i="12"/>
  <c r="M290" i="20"/>
  <c r="M64" i="20"/>
  <c r="M140" i="20"/>
  <c r="M366" i="20"/>
  <c r="M113" i="20"/>
  <c r="M339" i="20"/>
  <c r="M156" i="20"/>
  <c r="M382" i="20"/>
  <c r="O10" i="12"/>
  <c r="O14" i="20"/>
  <c r="N110" i="12"/>
  <c r="O109" i="21"/>
  <c r="N62" i="12"/>
  <c r="O59" i="21"/>
  <c r="N38" i="12"/>
  <c r="O34" i="21"/>
  <c r="N14" i="12"/>
  <c r="O9" i="21"/>
  <c r="N134" i="12"/>
  <c r="O134" i="21"/>
  <c r="N86" i="12"/>
  <c r="O84" i="2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/>
  <c r="L94" i="20"/>
  <c r="L95" i="20"/>
  <c r="M263" i="20"/>
  <c r="M37" i="20"/>
  <c r="M182" i="12"/>
  <c r="M99" i="20"/>
  <c r="M105" i="12"/>
  <c r="M106" i="12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/>
  <c r="K405" i="20"/>
  <c r="L162" i="12"/>
  <c r="L171" i="12"/>
  <c r="K187" i="20"/>
  <c r="K178" i="20"/>
  <c r="K345" i="20"/>
  <c r="K412" i="20"/>
  <c r="K403" i="20"/>
  <c r="L166" i="20"/>
  <c r="L167" i="20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/>
  <c r="M123" i="20"/>
  <c r="M349" i="20"/>
  <c r="M60" i="20"/>
  <c r="M286" i="20"/>
  <c r="M136" i="20"/>
  <c r="M362" i="20"/>
  <c r="M112" i="20"/>
  <c r="M338" i="20"/>
  <c r="M388" i="20"/>
  <c r="M162" i="20"/>
  <c r="K297" i="20"/>
  <c r="K410" i="20"/>
  <c r="K401" i="20"/>
  <c r="K183" i="20"/>
  <c r="K221" i="20"/>
  <c r="K222" i="20"/>
  <c r="K223" i="20"/>
  <c r="K216" i="20"/>
  <c r="K174" i="20"/>
  <c r="L70" i="20"/>
  <c r="L71" i="20"/>
  <c r="K185" i="20"/>
  <c r="K176" i="20"/>
  <c r="K447" i="20"/>
  <c r="K448" i="20"/>
  <c r="K449" i="20"/>
  <c r="K442" i="20"/>
  <c r="K400" i="20"/>
  <c r="K273" i="20"/>
  <c r="K409" i="20"/>
  <c r="O228" i="12"/>
  <c r="P5" i="12"/>
  <c r="P9" i="12"/>
  <c r="N24" i="17"/>
  <c r="I341" i="17"/>
  <c r="I138" i="17"/>
  <c r="L429" i="17"/>
  <c r="L200" i="17"/>
  <c r="K311" i="17"/>
  <c r="K109" i="17"/>
  <c r="I371" i="17"/>
  <c r="I167" i="17"/>
  <c r="J304" i="17"/>
  <c r="J108" i="17"/>
  <c r="I267" i="17"/>
  <c r="I78" i="17"/>
  <c r="H334" i="17"/>
  <c r="H137" i="17"/>
  <c r="H145" i="17"/>
  <c r="H147" i="17"/>
  <c r="H148" i="17"/>
  <c r="K244" i="17"/>
  <c r="K50" i="17"/>
  <c r="K274" i="17"/>
  <c r="K79" i="17"/>
  <c r="L236" i="17"/>
  <c r="L238" i="17"/>
  <c r="M361" i="17"/>
  <c r="M363" i="17"/>
  <c r="I296" i="17"/>
  <c r="I298" i="17"/>
  <c r="L134" i="17"/>
  <c r="J376" i="17"/>
  <c r="L347" i="17"/>
  <c r="L349" i="17"/>
  <c r="I221" i="17"/>
  <c r="O236" i="20"/>
  <c r="N441" i="20"/>
  <c r="I407" i="17"/>
  <c r="I409" i="17"/>
  <c r="M250" i="17"/>
  <c r="M252" i="17"/>
  <c r="J229" i="17"/>
  <c r="J231" i="17"/>
  <c r="I332" i="17"/>
  <c r="I259" i="17"/>
  <c r="I261" i="17"/>
  <c r="L317" i="17"/>
  <c r="L319" i="17"/>
  <c r="J339" i="17"/>
  <c r="K421" i="17"/>
  <c r="K423" i="17"/>
  <c r="M287" i="17"/>
  <c r="M289" i="17"/>
  <c r="L194" i="17"/>
  <c r="L44" i="17"/>
  <c r="M324" i="17"/>
  <c r="M326" i="17"/>
  <c r="M427" i="17"/>
  <c r="K302" i="17"/>
  <c r="L242" i="17"/>
  <c r="J415" i="17"/>
  <c r="J198" i="17"/>
  <c r="L354" i="17"/>
  <c r="L356" i="17"/>
  <c r="K383" i="17"/>
  <c r="M398" i="17"/>
  <c r="M400" i="17"/>
  <c r="L74" i="17"/>
  <c r="J265" i="17"/>
  <c r="L280" i="17"/>
  <c r="L282" i="17"/>
  <c r="H223" i="17"/>
  <c r="H47" i="17"/>
  <c r="H55" i="17"/>
  <c r="H57" i="17"/>
  <c r="H58" i="17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/>
  <c r="M435" i="17"/>
  <c r="M437" i="17"/>
  <c r="J385" i="17"/>
  <c r="J169" i="17"/>
  <c r="K413" i="17"/>
  <c r="J369" i="17"/>
  <c r="M391" i="17"/>
  <c r="M393" i="17"/>
  <c r="Q17" i="21"/>
  <c r="Q142" i="21"/>
  <c r="Q42" i="21"/>
  <c r="Q117" i="21"/>
  <c r="Q92" i="21"/>
  <c r="Q67" i="21"/>
  <c r="R9" i="20"/>
  <c r="Q13" i="20"/>
  <c r="L143" i="20"/>
  <c r="L187" i="20"/>
  <c r="M236" i="12"/>
  <c r="M237" i="12"/>
  <c r="M229" i="12"/>
  <c r="M170" i="12"/>
  <c r="M192" i="12"/>
  <c r="O146" i="12"/>
  <c r="P146" i="21"/>
  <c r="O150" i="12"/>
  <c r="P150" i="21"/>
  <c r="O138" i="12"/>
  <c r="P138" i="21"/>
  <c r="O144" i="12"/>
  <c r="P144" i="21"/>
  <c r="O148" i="12"/>
  <c r="P148" i="21"/>
  <c r="O152" i="12"/>
  <c r="P152" i="21"/>
  <c r="O140" i="12"/>
  <c r="P140" i="21"/>
  <c r="O143" i="12"/>
  <c r="P143" i="21"/>
  <c r="O147" i="12"/>
  <c r="P147" i="21"/>
  <c r="O151" i="12"/>
  <c r="P151" i="21"/>
  <c r="O137" i="12"/>
  <c r="P137" i="21"/>
  <c r="O145" i="12"/>
  <c r="P145" i="21"/>
  <c r="O122" i="12"/>
  <c r="P121" i="21"/>
  <c r="O126" i="12"/>
  <c r="P125" i="21"/>
  <c r="O114" i="12"/>
  <c r="P113" i="21"/>
  <c r="O139" i="12"/>
  <c r="P139" i="21"/>
  <c r="O119" i="12"/>
  <c r="P118" i="21"/>
  <c r="O120" i="12"/>
  <c r="P119" i="21"/>
  <c r="O124" i="12"/>
  <c r="P123" i="21"/>
  <c r="O128" i="12"/>
  <c r="P127" i="21"/>
  <c r="O116" i="12"/>
  <c r="P115" i="21"/>
  <c r="O96" i="12"/>
  <c r="P94" i="21"/>
  <c r="O100" i="12"/>
  <c r="P98" i="21"/>
  <c r="O104" i="12"/>
  <c r="P102" i="21"/>
  <c r="O141" i="12"/>
  <c r="P141" i="21"/>
  <c r="O149" i="12"/>
  <c r="P149" i="21"/>
  <c r="O135" i="12"/>
  <c r="P135" i="21"/>
  <c r="O123" i="12"/>
  <c r="P122" i="21"/>
  <c r="O127" i="12"/>
  <c r="P126" i="21"/>
  <c r="O113" i="12"/>
  <c r="P112" i="21"/>
  <c r="O115" i="12"/>
  <c r="P114" i="21"/>
  <c r="O111" i="12"/>
  <c r="P110" i="21"/>
  <c r="O97" i="12"/>
  <c r="P95" i="21"/>
  <c r="O99" i="12"/>
  <c r="P97" i="21"/>
  <c r="O89" i="12"/>
  <c r="P87" i="21"/>
  <c r="O91" i="12"/>
  <c r="P89" i="21"/>
  <c r="O87" i="12"/>
  <c r="P85" i="21"/>
  <c r="O121" i="12"/>
  <c r="P120" i="21"/>
  <c r="O93" i="12"/>
  <c r="P91" i="21"/>
  <c r="O98" i="12"/>
  <c r="P96" i="21"/>
  <c r="O71" i="12"/>
  <c r="P68" i="21"/>
  <c r="O75" i="12"/>
  <c r="P72" i="21"/>
  <c r="O79" i="12"/>
  <c r="P76" i="21"/>
  <c r="O65" i="12"/>
  <c r="P62" i="21"/>
  <c r="O117" i="12"/>
  <c r="P116" i="21"/>
  <c r="O95" i="12"/>
  <c r="P93" i="21"/>
  <c r="O102" i="12"/>
  <c r="P100" i="21"/>
  <c r="O90" i="12"/>
  <c r="P88" i="21"/>
  <c r="O125" i="12"/>
  <c r="P124" i="21"/>
  <c r="O103" i="12"/>
  <c r="P101" i="21"/>
  <c r="O72" i="12"/>
  <c r="P69" i="21"/>
  <c r="O74" i="12"/>
  <c r="P71" i="21"/>
  <c r="O67" i="12"/>
  <c r="P64" i="21"/>
  <c r="O47" i="12"/>
  <c r="P43" i="21"/>
  <c r="O73" i="12"/>
  <c r="P70" i="21"/>
  <c r="O80" i="12"/>
  <c r="P77" i="21"/>
  <c r="O63" i="12"/>
  <c r="P60" i="21"/>
  <c r="O45" i="12"/>
  <c r="P41" i="21"/>
  <c r="O49" i="12"/>
  <c r="P45" i="21"/>
  <c r="O53" i="12"/>
  <c r="P49" i="21"/>
  <c r="O43" i="12"/>
  <c r="P39" i="21"/>
  <c r="O39" i="12"/>
  <c r="P35" i="21"/>
  <c r="O21" i="12"/>
  <c r="P16" i="21"/>
  <c r="O92" i="12"/>
  <c r="P90" i="21"/>
  <c r="O77" i="12"/>
  <c r="P74" i="21"/>
  <c r="O66" i="12"/>
  <c r="P63" i="21"/>
  <c r="O68" i="12"/>
  <c r="P65" i="21"/>
  <c r="O48" i="12"/>
  <c r="P44" i="21"/>
  <c r="O54" i="12"/>
  <c r="P50" i="21"/>
  <c r="O56" i="12"/>
  <c r="P52" i="21"/>
  <c r="O28" i="12"/>
  <c r="P23" i="21"/>
  <c r="O32" i="12"/>
  <c r="P27" i="21"/>
  <c r="O41" i="12"/>
  <c r="P37" i="21"/>
  <c r="O101" i="12"/>
  <c r="P99" i="21"/>
  <c r="O69" i="12"/>
  <c r="P66" i="21"/>
  <c r="O76" i="12"/>
  <c r="P73" i="21"/>
  <c r="O55" i="12"/>
  <c r="P51" i="21"/>
  <c r="O42" i="12"/>
  <c r="P38" i="21"/>
  <c r="O26" i="12"/>
  <c r="P21" i="21"/>
  <c r="O30" i="12"/>
  <c r="P25" i="21"/>
  <c r="O18" i="12"/>
  <c r="P13" i="21"/>
  <c r="O29" i="12"/>
  <c r="P24" i="21"/>
  <c r="O19" i="12"/>
  <c r="P14" i="21"/>
  <c r="O15" i="12"/>
  <c r="P10" i="21"/>
  <c r="O78" i="12"/>
  <c r="P75" i="21"/>
  <c r="O27" i="12"/>
  <c r="P22" i="21"/>
  <c r="O50" i="12"/>
  <c r="P46" i="21"/>
  <c r="O52" i="12"/>
  <c r="P48" i="21"/>
  <c r="O44" i="12"/>
  <c r="P40" i="21"/>
  <c r="O24" i="12"/>
  <c r="P19" i="21"/>
  <c r="O25" i="12"/>
  <c r="P20" i="21"/>
  <c r="O20" i="12"/>
  <c r="P15" i="21"/>
  <c r="O51" i="12"/>
  <c r="P47" i="21"/>
  <c r="O23" i="12"/>
  <c r="P18" i="21"/>
  <c r="O31" i="12"/>
  <c r="P26" i="21"/>
  <c r="O17" i="12"/>
  <c r="P12" i="21"/>
  <c r="I175" i="17"/>
  <c r="I177" i="17"/>
  <c r="I178" i="17"/>
  <c r="N86" i="21"/>
  <c r="N103" i="21"/>
  <c r="N136" i="21"/>
  <c r="N153" i="21"/>
  <c r="N36" i="21"/>
  <c r="N53" i="21"/>
  <c r="N111" i="21"/>
  <c r="N128" i="2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/>
  <c r="N353" i="20"/>
  <c r="N127" i="20"/>
  <c r="N126" i="20"/>
  <c r="N352" i="20"/>
  <c r="N11" i="21"/>
  <c r="N28" i="2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/>
  <c r="N38" i="3"/>
  <c r="N41" i="3"/>
  <c r="N58" i="3"/>
  <c r="O55" i="3"/>
  <c r="N234" i="12"/>
  <c r="N235" i="12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/>
  <c r="L186" i="20"/>
  <c r="L177" i="20"/>
  <c r="L175" i="20"/>
  <c r="L184" i="20"/>
  <c r="M368" i="20"/>
  <c r="M46" i="20"/>
  <c r="M47" i="20"/>
  <c r="L400" i="20"/>
  <c r="L273" i="20"/>
  <c r="L409" i="20"/>
  <c r="L447" i="20"/>
  <c r="L448" i="20"/>
  <c r="L449" i="20"/>
  <c r="L442" i="20"/>
  <c r="M163" i="12"/>
  <c r="M172" i="12"/>
  <c r="M344" i="20"/>
  <c r="L405" i="20"/>
  <c r="L393" i="20"/>
  <c r="L414" i="20"/>
  <c r="N269" i="20"/>
  <c r="N43" i="20"/>
  <c r="N338" i="20"/>
  <c r="N112" i="20"/>
  <c r="N360" i="20"/>
  <c r="N134" i="20"/>
  <c r="N44" i="20"/>
  <c r="N270" i="20"/>
  <c r="N179" i="12"/>
  <c r="N33" i="12"/>
  <c r="N34" i="12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/>
  <c r="O38" i="12"/>
  <c r="P34" i="21"/>
  <c r="O62" i="12"/>
  <c r="P59" i="21"/>
  <c r="O110" i="12"/>
  <c r="P109" i="21"/>
  <c r="P10" i="12"/>
  <c r="P14" i="20"/>
  <c r="O86" i="12"/>
  <c r="P84" i="21"/>
  <c r="O134" i="12"/>
  <c r="P134" i="21"/>
  <c r="N356" i="20"/>
  <c r="N130" i="20"/>
  <c r="M166" i="20"/>
  <c r="M167" i="20"/>
  <c r="M142" i="20"/>
  <c r="M143" i="20"/>
  <c r="L188" i="20"/>
  <c r="L179" i="20"/>
  <c r="M94" i="20"/>
  <c r="M95" i="20"/>
  <c r="M164" i="12"/>
  <c r="M173" i="12"/>
  <c r="L345" i="20"/>
  <c r="L412" i="20"/>
  <c r="L403" i="20"/>
  <c r="L297" i="20"/>
  <c r="L410" i="20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/>
  <c r="L404" i="20"/>
  <c r="N359" i="20"/>
  <c r="N133" i="20"/>
  <c r="M174" i="12"/>
  <c r="M165" i="12"/>
  <c r="M272" i="20"/>
  <c r="M320" i="20"/>
  <c r="M118" i="20"/>
  <c r="M119" i="20"/>
  <c r="L176" i="20"/>
  <c r="L185" i="20"/>
  <c r="N184" i="12"/>
  <c r="N373" i="20"/>
  <c r="N153" i="12"/>
  <c r="N154" i="12"/>
  <c r="N147" i="20"/>
  <c r="N76" i="20"/>
  <c r="N302" i="20"/>
  <c r="N115" i="20"/>
  <c r="N341" i="20"/>
  <c r="N314" i="20"/>
  <c r="N88" i="20"/>
  <c r="N180" i="12"/>
  <c r="N51" i="20"/>
  <c r="N57" i="12"/>
  <c r="N58" i="12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/>
  <c r="N81" i="20"/>
  <c r="N307" i="20"/>
  <c r="N182" i="12"/>
  <c r="N325" i="20"/>
  <c r="N99" i="20"/>
  <c r="N105" i="12"/>
  <c r="N106" i="12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/>
  <c r="L223" i="20"/>
  <c r="L216" i="20"/>
  <c r="L183" i="20"/>
  <c r="L174" i="20"/>
  <c r="I260" i="17"/>
  <c r="I77" i="17"/>
  <c r="I85" i="17"/>
  <c r="I87" i="17"/>
  <c r="I88" i="17"/>
  <c r="I408" i="17"/>
  <c r="I197" i="17"/>
  <c r="I205" i="17"/>
  <c r="I207" i="17"/>
  <c r="I208" i="17"/>
  <c r="I297" i="17"/>
  <c r="I107" i="17"/>
  <c r="I115" i="17"/>
  <c r="I117" i="17"/>
  <c r="I118" i="17"/>
  <c r="O24" i="17"/>
  <c r="Q5" i="12"/>
  <c r="Q9" i="12"/>
  <c r="L355" i="17"/>
  <c r="L140" i="17"/>
  <c r="M392" i="17"/>
  <c r="M170" i="17"/>
  <c r="L318" i="17"/>
  <c r="L110" i="17"/>
  <c r="M436" i="17"/>
  <c r="M201" i="17"/>
  <c r="M362" i="17"/>
  <c r="M141" i="17"/>
  <c r="L310" i="17"/>
  <c r="L312" i="17"/>
  <c r="M74" i="17"/>
  <c r="M428" i="17"/>
  <c r="M430" i="17"/>
  <c r="N286" i="17"/>
  <c r="J340" i="17"/>
  <c r="J342" i="17"/>
  <c r="M164" i="17"/>
  <c r="J266" i="17"/>
  <c r="J268" i="17"/>
  <c r="J377" i="17"/>
  <c r="J379" i="17"/>
  <c r="M235" i="17"/>
  <c r="J370" i="17"/>
  <c r="J372" i="17"/>
  <c r="N434" i="17"/>
  <c r="L273" i="17"/>
  <c r="L275" i="17"/>
  <c r="M134" i="17"/>
  <c r="K303" i="17"/>
  <c r="K305" i="17"/>
  <c r="M325" i="17"/>
  <c r="M111" i="17"/>
  <c r="M288" i="17"/>
  <c r="M81" i="17"/>
  <c r="M316" i="17"/>
  <c r="I333" i="17"/>
  <c r="I335" i="17"/>
  <c r="J230" i="17"/>
  <c r="J48" i="17"/>
  <c r="M251" i="17"/>
  <c r="M51" i="17"/>
  <c r="J406" i="17"/>
  <c r="I222" i="17"/>
  <c r="I224" i="17"/>
  <c r="L348" i="17"/>
  <c r="L139" i="17"/>
  <c r="J295" i="17"/>
  <c r="N360" i="17"/>
  <c r="M44" i="17"/>
  <c r="M279" i="17"/>
  <c r="M104" i="17"/>
  <c r="L281" i="17"/>
  <c r="L80" i="17"/>
  <c r="N397" i="17"/>
  <c r="L420" i="17"/>
  <c r="N249" i="17"/>
  <c r="P236" i="20"/>
  <c r="Q236" i="20"/>
  <c r="R236" i="20"/>
  <c r="S236" i="20"/>
  <c r="T236" i="20"/>
  <c r="U236" i="20"/>
  <c r="V236" i="20"/>
  <c r="W236" i="20"/>
  <c r="X236" i="20"/>
  <c r="Y236" i="20"/>
  <c r="O441" i="20"/>
  <c r="M346" i="17"/>
  <c r="N390" i="17"/>
  <c r="K414" i="17"/>
  <c r="K416" i="17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/>
  <c r="K384" i="17"/>
  <c r="K386" i="17"/>
  <c r="M353" i="17"/>
  <c r="L243" i="17"/>
  <c r="L245" i="17"/>
  <c r="N323" i="17"/>
  <c r="K422" i="17"/>
  <c r="K199" i="17"/>
  <c r="J258" i="17"/>
  <c r="K228" i="17"/>
  <c r="L237" i="17"/>
  <c r="L49" i="17"/>
  <c r="R17" i="21"/>
  <c r="R117" i="21"/>
  <c r="R92" i="21"/>
  <c r="R142" i="21"/>
  <c r="R67" i="21"/>
  <c r="R42" i="21"/>
  <c r="S9" i="20"/>
  <c r="R13" i="20"/>
  <c r="N236" i="12"/>
  <c r="N237" i="12"/>
  <c r="N229" i="12"/>
  <c r="P143" i="12"/>
  <c r="Q143" i="21"/>
  <c r="P147" i="12"/>
  <c r="Q147" i="21"/>
  <c r="P151" i="12"/>
  <c r="Q151" i="21"/>
  <c r="P137" i="12"/>
  <c r="Q137" i="21"/>
  <c r="P141" i="12"/>
  <c r="Q141" i="21"/>
  <c r="P145" i="12"/>
  <c r="Q145" i="21"/>
  <c r="P149" i="12"/>
  <c r="Q149" i="21"/>
  <c r="P139" i="12"/>
  <c r="Q139" i="21"/>
  <c r="P135" i="12"/>
  <c r="Q135" i="21"/>
  <c r="P117" i="12"/>
  <c r="Q116" i="21"/>
  <c r="P144" i="12"/>
  <c r="Q144" i="21"/>
  <c r="P148" i="12"/>
  <c r="Q148" i="21"/>
  <c r="P152" i="12"/>
  <c r="Q152" i="21"/>
  <c r="P140" i="12"/>
  <c r="Q140" i="21"/>
  <c r="P150" i="12"/>
  <c r="Q150" i="21"/>
  <c r="P123" i="12"/>
  <c r="Q122" i="21"/>
  <c r="P127" i="12"/>
  <c r="Q126" i="21"/>
  <c r="P113" i="12"/>
  <c r="Q112" i="21"/>
  <c r="P138" i="12"/>
  <c r="Q138" i="21"/>
  <c r="P121" i="12"/>
  <c r="Q120" i="21"/>
  <c r="P125" i="12"/>
  <c r="Q124" i="21"/>
  <c r="P115" i="12"/>
  <c r="Q114" i="21"/>
  <c r="P111" i="12"/>
  <c r="Q110" i="21"/>
  <c r="P93" i="12"/>
  <c r="Q91" i="21"/>
  <c r="P97" i="12"/>
  <c r="Q95" i="21"/>
  <c r="P101" i="12"/>
  <c r="Q99" i="21"/>
  <c r="P119" i="12"/>
  <c r="Q118" i="21"/>
  <c r="P120" i="12"/>
  <c r="Q119" i="21"/>
  <c r="P124" i="12"/>
  <c r="Q123" i="21"/>
  <c r="P128" i="12"/>
  <c r="Q127" i="21"/>
  <c r="P116" i="12"/>
  <c r="Q115" i="21"/>
  <c r="P114" i="12"/>
  <c r="Q113" i="21"/>
  <c r="P95" i="12"/>
  <c r="Q93" i="21"/>
  <c r="P102" i="12"/>
  <c r="Q100" i="21"/>
  <c r="P104" i="12"/>
  <c r="Q102" i="21"/>
  <c r="P90" i="12"/>
  <c r="Q88" i="21"/>
  <c r="P146" i="12"/>
  <c r="Q146" i="21"/>
  <c r="P126" i="12"/>
  <c r="Q125" i="21"/>
  <c r="P96" i="12"/>
  <c r="Q94" i="21"/>
  <c r="P103" i="12"/>
  <c r="Q101" i="21"/>
  <c r="P92" i="12"/>
  <c r="Q90" i="21"/>
  <c r="P72" i="12"/>
  <c r="Q69" i="21"/>
  <c r="P76" i="12"/>
  <c r="Q73" i="21"/>
  <c r="P80" i="12"/>
  <c r="Q77" i="21"/>
  <c r="P122" i="12"/>
  <c r="Q121" i="21"/>
  <c r="P98" i="12"/>
  <c r="Q96" i="21"/>
  <c r="P100" i="12"/>
  <c r="Q98" i="21"/>
  <c r="P87" i="12"/>
  <c r="Q85" i="21"/>
  <c r="P77" i="12"/>
  <c r="Q74" i="21"/>
  <c r="P79" i="12"/>
  <c r="Q76" i="21"/>
  <c r="P66" i="12"/>
  <c r="Q63" i="21"/>
  <c r="P68" i="12"/>
  <c r="Q65" i="21"/>
  <c r="P48" i="12"/>
  <c r="Q44" i="21"/>
  <c r="P99" i="12"/>
  <c r="Q97" i="21"/>
  <c r="P69" i="12"/>
  <c r="Q66" i="21"/>
  <c r="P71" i="12"/>
  <c r="Q68" i="21"/>
  <c r="P78" i="12"/>
  <c r="Q75" i="21"/>
  <c r="P50" i="12"/>
  <c r="Q46" i="21"/>
  <c r="P54" i="12"/>
  <c r="Q50" i="21"/>
  <c r="P42" i="12"/>
  <c r="Q38" i="21"/>
  <c r="P89" i="12"/>
  <c r="Q87" i="21"/>
  <c r="P91" i="12"/>
  <c r="Q89" i="21"/>
  <c r="P73" i="12"/>
  <c r="Q70" i="21"/>
  <c r="P75" i="12"/>
  <c r="Q72" i="21"/>
  <c r="P65" i="12"/>
  <c r="Q62" i="21"/>
  <c r="P63" i="12"/>
  <c r="Q60" i="21"/>
  <c r="P45" i="12"/>
  <c r="Q41" i="21"/>
  <c r="P49" i="12"/>
  <c r="Q45" i="21"/>
  <c r="P47" i="12"/>
  <c r="Q43" i="21"/>
  <c r="P52" i="12"/>
  <c r="Q48" i="21"/>
  <c r="P44" i="12"/>
  <c r="Q40" i="21"/>
  <c r="P21" i="12"/>
  <c r="Q16" i="21"/>
  <c r="P24" i="12"/>
  <c r="Q19" i="21"/>
  <c r="P25" i="12"/>
  <c r="Q20" i="21"/>
  <c r="P29" i="12"/>
  <c r="Q24" i="21"/>
  <c r="P20" i="12"/>
  <c r="Q15" i="21"/>
  <c r="P67" i="12"/>
  <c r="Q64" i="21"/>
  <c r="P51" i="12"/>
  <c r="Q47" i="21"/>
  <c r="P53" i="12"/>
  <c r="Q49" i="21"/>
  <c r="P41" i="12"/>
  <c r="Q37" i="21"/>
  <c r="P39" i="12"/>
  <c r="Q35" i="21"/>
  <c r="P23" i="12"/>
  <c r="Q18" i="21"/>
  <c r="P27" i="12"/>
  <c r="Q22" i="21"/>
  <c r="P31" i="12"/>
  <c r="Q26" i="21"/>
  <c r="P17" i="12"/>
  <c r="Q12" i="21"/>
  <c r="P26" i="12"/>
  <c r="Q21" i="21"/>
  <c r="P30" i="12"/>
  <c r="Q25" i="21"/>
  <c r="P18" i="12"/>
  <c r="Q13" i="21"/>
  <c r="P15" i="12"/>
  <c r="Q10" i="21"/>
  <c r="P56" i="12"/>
  <c r="Q52" i="21"/>
  <c r="P28" i="12"/>
  <c r="Q23" i="21"/>
  <c r="P32" i="12"/>
  <c r="Q27" i="21"/>
  <c r="P74" i="12"/>
  <c r="Q71" i="21"/>
  <c r="P55" i="12"/>
  <c r="Q51" i="21"/>
  <c r="P43" i="12"/>
  <c r="Q39" i="21"/>
  <c r="P19" i="12"/>
  <c r="Q14" i="21"/>
  <c r="O86" i="21"/>
  <c r="O103" i="21"/>
  <c r="O36" i="21"/>
  <c r="O53" i="21"/>
  <c r="O61" i="21"/>
  <c r="O78" i="21"/>
  <c r="O136" i="21"/>
  <c r="O153" i="2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/>
  <c r="O150" i="20"/>
  <c r="O376" i="20"/>
  <c r="O306" i="20"/>
  <c r="O80" i="20"/>
  <c r="O354" i="20"/>
  <c r="O128" i="20"/>
  <c r="O11" i="21"/>
  <c r="O28" i="2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/>
  <c r="O38" i="3"/>
  <c r="O41" i="3"/>
  <c r="P26" i="3"/>
  <c r="O234" i="12"/>
  <c r="O235" i="12"/>
  <c r="R321" i="3"/>
  <c r="S12" i="3"/>
  <c r="S321" i="3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/>
  <c r="M402" i="20"/>
  <c r="M393" i="20"/>
  <c r="M414" i="20"/>
  <c r="M405" i="20"/>
  <c r="O182" i="12"/>
  <c r="O105" i="12"/>
  <c r="O106" i="12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/>
  <c r="N161" i="12"/>
  <c r="N188" i="12"/>
  <c r="M183" i="20"/>
  <c r="M174" i="20"/>
  <c r="M221" i="20"/>
  <c r="M222" i="20"/>
  <c r="M223" i="20"/>
  <c r="M216" i="20"/>
  <c r="N70" i="20"/>
  <c r="N71" i="20"/>
  <c r="N166" i="20"/>
  <c r="N167" i="20"/>
  <c r="M273" i="20"/>
  <c r="M409" i="20"/>
  <c r="M400" i="20"/>
  <c r="M447" i="20"/>
  <c r="M448" i="20"/>
  <c r="M449" i="20"/>
  <c r="M442" i="20"/>
  <c r="M401" i="20"/>
  <c r="M297" i="20"/>
  <c r="M410" i="20"/>
  <c r="M187" i="20"/>
  <c r="M178" i="20"/>
  <c r="O33" i="20"/>
  <c r="O259" i="20"/>
  <c r="O265" i="20"/>
  <c r="O39" i="20"/>
  <c r="O140" i="20"/>
  <c r="O366" i="20"/>
  <c r="P38" i="12"/>
  <c r="Q34" i="21"/>
  <c r="P62" i="12"/>
  <c r="Q59" i="21"/>
  <c r="P134" i="12"/>
  <c r="Q134" i="21"/>
  <c r="P86" i="12"/>
  <c r="Q84" i="21"/>
  <c r="Q10" i="12"/>
  <c r="Q14" i="20"/>
  <c r="P110" i="12"/>
  <c r="Q109" i="21"/>
  <c r="P14" i="12"/>
  <c r="Q9" i="2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/>
  <c r="M404" i="20"/>
  <c r="N142" i="20"/>
  <c r="N143" i="20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/>
  <c r="O314" i="20"/>
  <c r="O88" i="20"/>
  <c r="O141" i="20"/>
  <c r="O367" i="20"/>
  <c r="O380" i="20"/>
  <c r="O154" i="20"/>
  <c r="N320" i="20"/>
  <c r="N272" i="20"/>
  <c r="M345" i="20"/>
  <c r="M412" i="20"/>
  <c r="M403" i="20"/>
  <c r="N344" i="20"/>
  <c r="N368" i="20"/>
  <c r="N118" i="20"/>
  <c r="N119" i="20"/>
  <c r="N296" i="20"/>
  <c r="N392" i="20"/>
  <c r="M186" i="20"/>
  <c r="M177" i="20"/>
  <c r="O184" i="12"/>
  <c r="O373" i="20"/>
  <c r="O147" i="20"/>
  <c r="O153" i="12"/>
  <c r="O154" i="12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/>
  <c r="N46" i="20"/>
  <c r="N47" i="20"/>
  <c r="K304" i="17"/>
  <c r="K108" i="17"/>
  <c r="K385" i="17"/>
  <c r="K169" i="17"/>
  <c r="P24" i="17"/>
  <c r="R5" i="12"/>
  <c r="R9" i="12"/>
  <c r="N74" i="17"/>
  <c r="L311" i="17"/>
  <c r="L109" i="17"/>
  <c r="L274" i="17"/>
  <c r="L79" i="17"/>
  <c r="K415" i="17"/>
  <c r="K198" i="17"/>
  <c r="J378" i="17"/>
  <c r="J168" i="17"/>
  <c r="J341" i="17"/>
  <c r="J138" i="17"/>
  <c r="J371" i="17"/>
  <c r="J167" i="17"/>
  <c r="M242" i="17"/>
  <c r="M347" i="17"/>
  <c r="M349" i="17"/>
  <c r="M280" i="17"/>
  <c r="M282" i="17"/>
  <c r="N361" i="17"/>
  <c r="N363" i="17"/>
  <c r="J221" i="17"/>
  <c r="M317" i="17"/>
  <c r="M319" i="17"/>
  <c r="N287" i="17"/>
  <c r="N289" i="17"/>
  <c r="N427" i="17"/>
  <c r="L244" i="17"/>
  <c r="L50" i="17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/>
  <c r="J332" i="17"/>
  <c r="M272" i="17"/>
  <c r="M236" i="17"/>
  <c r="M238" i="17"/>
  <c r="N324" i="17"/>
  <c r="N326" i="17"/>
  <c r="M354" i="17"/>
  <c r="M356" i="17"/>
  <c r="N44" i="17"/>
  <c r="L413" i="17"/>
  <c r="N250" i="17"/>
  <c r="N252" i="17"/>
  <c r="L421" i="17"/>
  <c r="L423" i="17"/>
  <c r="J296" i="17"/>
  <c r="J298" i="17"/>
  <c r="I223" i="17"/>
  <c r="I47" i="17"/>
  <c r="I55" i="17"/>
  <c r="I57" i="17"/>
  <c r="I58" i="17"/>
  <c r="L302" i="17"/>
  <c r="K369" i="17"/>
  <c r="J267" i="17"/>
  <c r="J78" i="17"/>
  <c r="K339" i="17"/>
  <c r="J259" i="17"/>
  <c r="J261" i="17"/>
  <c r="N164" i="17"/>
  <c r="J407" i="17"/>
  <c r="J409" i="17"/>
  <c r="K229" i="17"/>
  <c r="K231" i="17"/>
  <c r="N134" i="17"/>
  <c r="N104" i="17"/>
  <c r="N398" i="17"/>
  <c r="N400" i="17"/>
  <c r="I334" i="17"/>
  <c r="I137" i="17"/>
  <c r="I145" i="17"/>
  <c r="I147" i="17"/>
  <c r="I148" i="17"/>
  <c r="N435" i="17"/>
  <c r="N437" i="17"/>
  <c r="K376" i="17"/>
  <c r="K265" i="17"/>
  <c r="M429" i="17"/>
  <c r="M200" i="17"/>
  <c r="M309" i="17"/>
  <c r="S17" i="21"/>
  <c r="S92" i="21"/>
  <c r="S67" i="21"/>
  <c r="S117" i="21"/>
  <c r="S42" i="21"/>
  <c r="S142" i="21"/>
  <c r="P136" i="21"/>
  <c r="P153" i="21"/>
  <c r="T9" i="20"/>
  <c r="S13" i="20"/>
  <c r="O236" i="12"/>
  <c r="O237" i="12"/>
  <c r="O229" i="12"/>
  <c r="Q144" i="12"/>
  <c r="R144" i="21"/>
  <c r="Q148" i="12"/>
  <c r="R148" i="21"/>
  <c r="Q152" i="12"/>
  <c r="R152" i="21"/>
  <c r="Q140" i="12"/>
  <c r="R140" i="21"/>
  <c r="Q146" i="12"/>
  <c r="R146" i="21"/>
  <c r="Q150" i="12"/>
  <c r="R150" i="21"/>
  <c r="Q138" i="12"/>
  <c r="R138" i="21"/>
  <c r="Q141" i="12"/>
  <c r="R141" i="21"/>
  <c r="Q145" i="12"/>
  <c r="R145" i="21"/>
  <c r="Q149" i="12"/>
  <c r="R149" i="21"/>
  <c r="Q139" i="12"/>
  <c r="R139" i="21"/>
  <c r="Q135" i="12"/>
  <c r="R135" i="21"/>
  <c r="Q119" i="12"/>
  <c r="R118" i="21"/>
  <c r="Q120" i="12"/>
  <c r="R119" i="21"/>
  <c r="Q124" i="12"/>
  <c r="R123" i="21"/>
  <c r="Q128" i="12"/>
  <c r="R127" i="21"/>
  <c r="Q116" i="12"/>
  <c r="R115" i="21"/>
  <c r="Q147" i="12"/>
  <c r="R147" i="21"/>
  <c r="Q137" i="12"/>
  <c r="R137" i="21"/>
  <c r="Q117" i="12"/>
  <c r="R116" i="21"/>
  <c r="Q122" i="12"/>
  <c r="R121" i="21"/>
  <c r="Q126" i="12"/>
  <c r="R125" i="21"/>
  <c r="Q114" i="12"/>
  <c r="R113" i="21"/>
  <c r="Q98" i="12"/>
  <c r="R96" i="21"/>
  <c r="Q102" i="12"/>
  <c r="R100" i="21"/>
  <c r="Q143" i="12"/>
  <c r="R143" i="21"/>
  <c r="Q121" i="12"/>
  <c r="R120" i="21"/>
  <c r="Q125" i="12"/>
  <c r="R124" i="21"/>
  <c r="Q115" i="12"/>
  <c r="R114" i="21"/>
  <c r="Q151" i="12"/>
  <c r="R151" i="21"/>
  <c r="Q123" i="12"/>
  <c r="R122" i="21"/>
  <c r="Q113" i="12"/>
  <c r="R112" i="21"/>
  <c r="Q100" i="12"/>
  <c r="R98" i="21"/>
  <c r="Q99" i="12"/>
  <c r="R97" i="21"/>
  <c r="Q101" i="12"/>
  <c r="R99" i="21"/>
  <c r="Q89" i="12"/>
  <c r="R87" i="21"/>
  <c r="Q91" i="12"/>
  <c r="R89" i="21"/>
  <c r="Q87" i="12"/>
  <c r="R85" i="21"/>
  <c r="Q69" i="12"/>
  <c r="R66" i="21"/>
  <c r="Q73" i="12"/>
  <c r="R70" i="21"/>
  <c r="Q77" i="12"/>
  <c r="R74" i="21"/>
  <c r="Q67" i="12"/>
  <c r="R64" i="21"/>
  <c r="Q127" i="12"/>
  <c r="R126" i="21"/>
  <c r="Q93" i="12"/>
  <c r="R91" i="21"/>
  <c r="Q96" i="12"/>
  <c r="R94" i="21"/>
  <c r="Q103" i="12"/>
  <c r="R101" i="21"/>
  <c r="Q92" i="12"/>
  <c r="R90" i="21"/>
  <c r="Q95" i="12"/>
  <c r="R93" i="21"/>
  <c r="Q104" i="12"/>
  <c r="R102" i="21"/>
  <c r="Q75" i="12"/>
  <c r="R72" i="21"/>
  <c r="Q65" i="12"/>
  <c r="R62" i="21"/>
  <c r="Q63" i="12"/>
  <c r="R60" i="21"/>
  <c r="Q45" i="12"/>
  <c r="R41" i="21"/>
  <c r="Q49" i="12"/>
  <c r="R45" i="21"/>
  <c r="Q74" i="12"/>
  <c r="R71" i="21"/>
  <c r="Q76" i="12"/>
  <c r="R73" i="21"/>
  <c r="Q47" i="12"/>
  <c r="R43" i="21"/>
  <c r="Q51" i="12"/>
  <c r="R47" i="21"/>
  <c r="Q55" i="12"/>
  <c r="R51" i="21"/>
  <c r="Q41" i="12"/>
  <c r="R37" i="21"/>
  <c r="Q23" i="12"/>
  <c r="R18" i="21"/>
  <c r="Q111" i="12"/>
  <c r="R110" i="21"/>
  <c r="Q97" i="12"/>
  <c r="R95" i="21"/>
  <c r="Q90" i="12"/>
  <c r="R88" i="21"/>
  <c r="Q71" i="12"/>
  <c r="R68" i="21"/>
  <c r="Q78" i="12"/>
  <c r="R75" i="21"/>
  <c r="Q80" i="12"/>
  <c r="R77" i="21"/>
  <c r="Q72" i="12"/>
  <c r="R69" i="21"/>
  <c r="Q50" i="12"/>
  <c r="R46" i="21"/>
  <c r="Q43" i="12"/>
  <c r="R39" i="21"/>
  <c r="Q26" i="12"/>
  <c r="R21" i="21"/>
  <c r="Q30" i="12"/>
  <c r="R25" i="21"/>
  <c r="Q18" i="12"/>
  <c r="R13" i="21"/>
  <c r="Q21" i="12"/>
  <c r="R16" i="21"/>
  <c r="Q24" i="12"/>
  <c r="R19" i="21"/>
  <c r="Q25" i="12"/>
  <c r="R20" i="21"/>
  <c r="Q19" i="12"/>
  <c r="R14" i="21"/>
  <c r="Q68" i="12"/>
  <c r="R65" i="21"/>
  <c r="Q56" i="12"/>
  <c r="R52" i="21"/>
  <c r="Q28" i="12"/>
  <c r="R23" i="21"/>
  <c r="Q32" i="12"/>
  <c r="R27" i="21"/>
  <c r="Q20" i="12"/>
  <c r="R15" i="21"/>
  <c r="Q31" i="12"/>
  <c r="R26" i="21"/>
  <c r="Q17" i="12"/>
  <c r="R12" i="21"/>
  <c r="Q79" i="12"/>
  <c r="R76" i="21"/>
  <c r="Q48" i="12"/>
  <c r="R44" i="21"/>
  <c r="Q44" i="12"/>
  <c r="R40" i="21"/>
  <c r="Q15" i="12"/>
  <c r="R10" i="21"/>
  <c r="Q66" i="12"/>
  <c r="R63" i="21"/>
  <c r="Q53" i="12"/>
  <c r="R49" i="21"/>
  <c r="Q42" i="12"/>
  <c r="R38" i="21"/>
  <c r="Q39" i="12"/>
  <c r="R35" i="21"/>
  <c r="Q27" i="12"/>
  <c r="R22" i="21"/>
  <c r="Q52" i="12"/>
  <c r="R48" i="21"/>
  <c r="Q54" i="12"/>
  <c r="R50" i="21"/>
  <c r="Q29" i="12"/>
  <c r="R24" i="21"/>
  <c r="P86" i="21"/>
  <c r="P103" i="21"/>
  <c r="P61" i="21"/>
  <c r="P78" i="21"/>
  <c r="P36" i="21"/>
  <c r="P53" i="21"/>
  <c r="J175" i="17"/>
  <c r="J177" i="17"/>
  <c r="J178" i="17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/>
  <c r="P127" i="20"/>
  <c r="P353" i="20"/>
  <c r="P352" i="20"/>
  <c r="P126" i="20"/>
  <c r="P257" i="20"/>
  <c r="P31" i="20"/>
  <c r="P11" i="21"/>
  <c r="P28" i="21"/>
  <c r="P30" i="20"/>
  <c r="P256" i="20"/>
  <c r="Q26" i="3"/>
  <c r="P29" i="3"/>
  <c r="P35" i="3"/>
  <c r="P38" i="3"/>
  <c r="P41" i="3"/>
  <c r="P58" i="3"/>
  <c r="Q55" i="3"/>
  <c r="T12" i="3"/>
  <c r="S270" i="3"/>
  <c r="P234" i="12"/>
  <c r="P235" i="12"/>
  <c r="S299" i="3"/>
  <c r="S283" i="3"/>
  <c r="S262" i="3"/>
  <c r="S254" i="3"/>
  <c r="S230" i="3"/>
  <c r="S222" i="3"/>
  <c r="O296" i="20"/>
  <c r="N393" i="20"/>
  <c r="N414" i="20"/>
  <c r="N405" i="20"/>
  <c r="N403" i="20"/>
  <c r="N345" i="20"/>
  <c r="N412" i="20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/>
  <c r="N401" i="20"/>
  <c r="O170" i="12"/>
  <c r="O192" i="12"/>
  <c r="O161" i="12"/>
  <c r="O188" i="12"/>
  <c r="O94" i="20"/>
  <c r="O95" i="20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/>
  <c r="N174" i="20"/>
  <c r="N221" i="20"/>
  <c r="N222" i="20"/>
  <c r="N223" i="20"/>
  <c r="N216" i="20"/>
  <c r="N183" i="20"/>
  <c r="N321" i="20"/>
  <c r="N411" i="20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/>
  <c r="O166" i="20"/>
  <c r="O167" i="20"/>
  <c r="N369" i="20"/>
  <c r="N413" i="20"/>
  <c r="N404" i="20"/>
  <c r="N273" i="20"/>
  <c r="N409" i="20"/>
  <c r="N400" i="20"/>
  <c r="N447" i="20"/>
  <c r="N448" i="20"/>
  <c r="N449" i="20"/>
  <c r="N442" i="20"/>
  <c r="O46" i="20"/>
  <c r="O47" i="20"/>
  <c r="O163" i="12"/>
  <c r="O172" i="12"/>
  <c r="O142" i="20"/>
  <c r="O143" i="20"/>
  <c r="N178" i="20"/>
  <c r="N187" i="20"/>
  <c r="P179" i="12"/>
  <c r="P33" i="12"/>
  <c r="P34" i="12"/>
  <c r="P253" i="20"/>
  <c r="P27" i="20"/>
  <c r="P39" i="20"/>
  <c r="P265" i="20"/>
  <c r="P183" i="12"/>
  <c r="P123" i="20"/>
  <c r="P129" i="12"/>
  <c r="P130" i="12"/>
  <c r="P349" i="20"/>
  <c r="P141" i="20"/>
  <c r="P367" i="20"/>
  <c r="P390" i="20"/>
  <c r="P164" i="20"/>
  <c r="P82" i="20"/>
  <c r="P308" i="20"/>
  <c r="Q62" i="12"/>
  <c r="R59" i="21"/>
  <c r="Q14" i="12"/>
  <c r="R9" i="21"/>
  <c r="Q86" i="12"/>
  <c r="R84" i="21"/>
  <c r="Q134" i="12"/>
  <c r="R134" i="21"/>
  <c r="Q38" i="12"/>
  <c r="R34" i="21"/>
  <c r="R10" i="12"/>
  <c r="R14" i="20"/>
  <c r="Q110" i="12"/>
  <c r="R109" i="2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/>
  <c r="Q24" i="17"/>
  <c r="S5" i="12"/>
  <c r="S9" i="12"/>
  <c r="N399" i="17"/>
  <c r="N171" i="17"/>
  <c r="J260" i="17"/>
  <c r="J77" i="17"/>
  <c r="J85" i="17"/>
  <c r="J87" i="17"/>
  <c r="J88" i="17"/>
  <c r="M237" i="17"/>
  <c r="M49" i="17"/>
  <c r="N288" i="17"/>
  <c r="N81" i="17"/>
  <c r="K230" i="17"/>
  <c r="K48" i="17"/>
  <c r="L422" i="17"/>
  <c r="L199" i="17"/>
  <c r="M281" i="17"/>
  <c r="M80" i="17"/>
  <c r="N392" i="17"/>
  <c r="N170" i="17"/>
  <c r="M348" i="17"/>
  <c r="M139" i="17"/>
  <c r="O434" i="17"/>
  <c r="K370" i="17"/>
  <c r="K372" i="17"/>
  <c r="K295" i="17"/>
  <c r="J333" i="17"/>
  <c r="J335" i="17"/>
  <c r="L384" i="17"/>
  <c r="L386" i="17"/>
  <c r="N316" i="17"/>
  <c r="O360" i="17"/>
  <c r="L228" i="17"/>
  <c r="L414" i="17"/>
  <c r="L416" i="17"/>
  <c r="M355" i="17"/>
  <c r="M140" i="17"/>
  <c r="N279" i="17"/>
  <c r="K377" i="17"/>
  <c r="K379" i="17"/>
  <c r="N436" i="17"/>
  <c r="N201" i="17"/>
  <c r="J408" i="17"/>
  <c r="J197" i="17"/>
  <c r="J205" i="17"/>
  <c r="J207" i="17"/>
  <c r="J208" i="17"/>
  <c r="K258" i="17"/>
  <c r="K340" i="17"/>
  <c r="K342" i="17"/>
  <c r="L303" i="17"/>
  <c r="L305" i="17"/>
  <c r="J297" i="17"/>
  <c r="J107" i="17"/>
  <c r="J115" i="17"/>
  <c r="J117" i="17"/>
  <c r="J118" i="17"/>
  <c r="N251" i="17"/>
  <c r="N51" i="17"/>
  <c r="M273" i="17"/>
  <c r="M275" i="17"/>
  <c r="O74" i="17"/>
  <c r="O286" i="17"/>
  <c r="M318" i="17"/>
  <c r="M110" i="17"/>
  <c r="J222" i="17"/>
  <c r="J224" i="17"/>
  <c r="N362" i="17"/>
  <c r="N141" i="17"/>
  <c r="N346" i="17"/>
  <c r="K266" i="17"/>
  <c r="K268" i="17"/>
  <c r="K406" i="17"/>
  <c r="N353" i="17"/>
  <c r="O164" i="17"/>
  <c r="O194" i="17"/>
  <c r="N428" i="17"/>
  <c r="N430" i="17"/>
  <c r="M310" i="17"/>
  <c r="M312" i="17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/>
  <c r="T17" i="21"/>
  <c r="T67" i="21"/>
  <c r="T142" i="21"/>
  <c r="T92" i="21"/>
  <c r="T117" i="21"/>
  <c r="T42" i="21"/>
  <c r="U9" i="20"/>
  <c r="T13" i="20"/>
  <c r="R141" i="12"/>
  <c r="S141" i="21"/>
  <c r="R145" i="12"/>
  <c r="S145" i="21"/>
  <c r="R149" i="12"/>
  <c r="S149" i="21"/>
  <c r="R139" i="12"/>
  <c r="S139" i="21"/>
  <c r="R135" i="12"/>
  <c r="S135" i="21"/>
  <c r="R143" i="12"/>
  <c r="S143" i="21"/>
  <c r="R147" i="12"/>
  <c r="S147" i="21"/>
  <c r="R151" i="12"/>
  <c r="S151" i="21"/>
  <c r="R137" i="12"/>
  <c r="S137" i="21"/>
  <c r="R119" i="12"/>
  <c r="S118" i="21"/>
  <c r="R146" i="12"/>
  <c r="S146" i="21"/>
  <c r="R150" i="12"/>
  <c r="S150" i="21"/>
  <c r="R138" i="12"/>
  <c r="S138" i="21"/>
  <c r="R144" i="12"/>
  <c r="S144" i="21"/>
  <c r="R121" i="12"/>
  <c r="S120" i="21"/>
  <c r="R125" i="12"/>
  <c r="S124" i="21"/>
  <c r="R115" i="12"/>
  <c r="S114" i="21"/>
  <c r="R152" i="12"/>
  <c r="S152" i="21"/>
  <c r="R123" i="12"/>
  <c r="S122" i="21"/>
  <c r="R127" i="12"/>
  <c r="S126" i="21"/>
  <c r="R113" i="12"/>
  <c r="S112" i="21"/>
  <c r="R95" i="12"/>
  <c r="S93" i="21"/>
  <c r="R99" i="12"/>
  <c r="S97" i="21"/>
  <c r="R103" i="12"/>
  <c r="S101" i="21"/>
  <c r="R89" i="12"/>
  <c r="S87" i="21"/>
  <c r="R148" i="12"/>
  <c r="S148" i="21"/>
  <c r="R140" i="12"/>
  <c r="S140" i="21"/>
  <c r="R117" i="12"/>
  <c r="S116" i="21"/>
  <c r="R122" i="12"/>
  <c r="S121" i="21"/>
  <c r="R126" i="12"/>
  <c r="S125" i="21"/>
  <c r="R114" i="12"/>
  <c r="S113" i="21"/>
  <c r="R128" i="12"/>
  <c r="S127" i="21"/>
  <c r="R93" i="12"/>
  <c r="S91" i="21"/>
  <c r="R96" i="12"/>
  <c r="S94" i="21"/>
  <c r="R98" i="12"/>
  <c r="S96" i="21"/>
  <c r="R92" i="12"/>
  <c r="S90" i="21"/>
  <c r="R120" i="12"/>
  <c r="S119" i="21"/>
  <c r="R111" i="12"/>
  <c r="S110" i="21"/>
  <c r="R97" i="12"/>
  <c r="S95" i="21"/>
  <c r="R104" i="12"/>
  <c r="S102" i="21"/>
  <c r="R90" i="12"/>
  <c r="S88" i="21"/>
  <c r="R74" i="12"/>
  <c r="S71" i="21"/>
  <c r="R78" i="12"/>
  <c r="S75" i="21"/>
  <c r="R66" i="12"/>
  <c r="S63" i="21"/>
  <c r="R101" i="12"/>
  <c r="S99" i="21"/>
  <c r="R91" i="12"/>
  <c r="S89" i="21"/>
  <c r="R87" i="12"/>
  <c r="S85" i="21"/>
  <c r="R116" i="12"/>
  <c r="S115" i="21"/>
  <c r="R71" i="12"/>
  <c r="S68" i="21"/>
  <c r="R73" i="12"/>
  <c r="S70" i="21"/>
  <c r="R80" i="12"/>
  <c r="S77" i="21"/>
  <c r="R100" i="12"/>
  <c r="S98" i="21"/>
  <c r="R72" i="12"/>
  <c r="S69" i="21"/>
  <c r="R79" i="12"/>
  <c r="S76" i="21"/>
  <c r="R67" i="12"/>
  <c r="S64" i="21"/>
  <c r="R68" i="12"/>
  <c r="S65" i="21"/>
  <c r="R48" i="12"/>
  <c r="S44" i="21"/>
  <c r="R52" i="12"/>
  <c r="S48" i="21"/>
  <c r="R56" i="12"/>
  <c r="S52" i="21"/>
  <c r="R44" i="12"/>
  <c r="S40" i="21"/>
  <c r="R24" i="12"/>
  <c r="S19" i="21"/>
  <c r="R124" i="12"/>
  <c r="S123" i="21"/>
  <c r="R69" i="12"/>
  <c r="S66" i="21"/>
  <c r="R76" i="12"/>
  <c r="S73" i="21"/>
  <c r="R47" i="12"/>
  <c r="S43" i="21"/>
  <c r="R65" i="12"/>
  <c r="S62" i="21"/>
  <c r="R53" i="12"/>
  <c r="S49" i="21"/>
  <c r="R55" i="12"/>
  <c r="S51" i="21"/>
  <c r="R42" i="12"/>
  <c r="S38" i="21"/>
  <c r="R39" i="12"/>
  <c r="S35" i="21"/>
  <c r="R27" i="12"/>
  <c r="S22" i="21"/>
  <c r="R31" i="12"/>
  <c r="S26" i="21"/>
  <c r="R17" i="12"/>
  <c r="S12" i="21"/>
  <c r="R43" i="12"/>
  <c r="S39" i="21"/>
  <c r="R18" i="12"/>
  <c r="S13" i="21"/>
  <c r="R77" i="12"/>
  <c r="S74" i="21"/>
  <c r="R49" i="12"/>
  <c r="S45" i="21"/>
  <c r="R54" i="12"/>
  <c r="S50" i="21"/>
  <c r="R21" i="12"/>
  <c r="S16" i="21"/>
  <c r="R25" i="12"/>
  <c r="S20" i="21"/>
  <c r="R29" i="12"/>
  <c r="S24" i="21"/>
  <c r="R19" i="12"/>
  <c r="S14" i="21"/>
  <c r="R15" i="12"/>
  <c r="S10" i="21"/>
  <c r="R28" i="12"/>
  <c r="S23" i="21"/>
  <c r="R20" i="12"/>
  <c r="S15" i="21"/>
  <c r="R50" i="12"/>
  <c r="S46" i="21"/>
  <c r="R26" i="12"/>
  <c r="S21" i="21"/>
  <c r="R102" i="12"/>
  <c r="S100" i="21"/>
  <c r="R75" i="12"/>
  <c r="S72" i="21"/>
  <c r="R63" i="12"/>
  <c r="S60" i="21"/>
  <c r="R51" i="12"/>
  <c r="S47" i="21"/>
  <c r="R41" i="12"/>
  <c r="S37" i="21"/>
  <c r="R23" i="12"/>
  <c r="S18" i="21"/>
  <c r="R32" i="12"/>
  <c r="S27" i="21"/>
  <c r="R45" i="12"/>
  <c r="S41" i="21"/>
  <c r="R30" i="12"/>
  <c r="S25" i="21"/>
  <c r="Q61" i="21"/>
  <c r="Q78" i="21"/>
  <c r="Q36" i="21"/>
  <c r="Q53" i="21"/>
  <c r="Q86" i="21"/>
  <c r="Q103" i="21"/>
  <c r="Q136" i="21"/>
  <c r="Q153" i="2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/>
  <c r="Q111" i="21"/>
  <c r="Q128" i="21"/>
  <c r="Q31" i="20"/>
  <c r="Q257" i="20"/>
  <c r="Q256" i="20"/>
  <c r="Q30" i="20"/>
  <c r="Q304" i="20"/>
  <c r="Q78" i="20"/>
  <c r="Q305" i="20"/>
  <c r="Q79" i="20"/>
  <c r="P236" i="12"/>
  <c r="P237" i="12"/>
  <c r="P229" i="12"/>
  <c r="Q58" i="3"/>
  <c r="R55" i="3"/>
  <c r="R26" i="3"/>
  <c r="Q29" i="3"/>
  <c r="Q35" i="3"/>
  <c r="Q38" i="3"/>
  <c r="Q41" i="3"/>
  <c r="U12" i="3"/>
  <c r="U321" i="3"/>
  <c r="S214" i="3"/>
  <c r="S246" i="3"/>
  <c r="S291" i="3"/>
  <c r="T321" i="3"/>
  <c r="T270" i="3"/>
  <c r="S238" i="3"/>
  <c r="Q234" i="12"/>
  <c r="Q235" i="12"/>
  <c r="T283" i="3"/>
  <c r="T246" i="3"/>
  <c r="T222" i="3"/>
  <c r="O401" i="20"/>
  <c r="O297" i="20"/>
  <c r="O410" i="20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/>
  <c r="P170" i="12"/>
  <c r="P192" i="12"/>
  <c r="P171" i="12"/>
  <c r="P162" i="12"/>
  <c r="O321" i="20"/>
  <c r="O411" i="20"/>
  <c r="O402" i="20"/>
  <c r="P166" i="20"/>
  <c r="P167" i="20"/>
  <c r="P118" i="20"/>
  <c r="P119" i="20"/>
  <c r="P94" i="20"/>
  <c r="P95" i="20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/>
  <c r="O223" i="20"/>
  <c r="O216" i="20"/>
  <c r="O174" i="20"/>
  <c r="O405" i="20"/>
  <c r="O393" i="20"/>
  <c r="O414" i="20"/>
  <c r="P70" i="20"/>
  <c r="P71" i="20"/>
  <c r="O447" i="20"/>
  <c r="O448" i="20"/>
  <c r="O449" i="20"/>
  <c r="O442" i="20"/>
  <c r="O400" i="20"/>
  <c r="O273" i="20"/>
  <c r="O409" i="20"/>
  <c r="O177" i="20"/>
  <c r="O186" i="20"/>
  <c r="P164" i="12"/>
  <c r="P173" i="12"/>
  <c r="Q157" i="20"/>
  <c r="Q383" i="20"/>
  <c r="R134" i="12"/>
  <c r="S134" i="21"/>
  <c r="R14" i="12"/>
  <c r="S9" i="21"/>
  <c r="S10" i="12"/>
  <c r="S14" i="20"/>
  <c r="R110" i="12"/>
  <c r="S109" i="21"/>
  <c r="R38" i="12"/>
  <c r="S34" i="21"/>
  <c r="R62" i="12"/>
  <c r="S59" i="21"/>
  <c r="R86" i="12"/>
  <c r="S84" i="21"/>
  <c r="Q179" i="12"/>
  <c r="Q253" i="20"/>
  <c r="Q33" i="12"/>
  <c r="Q34" i="12"/>
  <c r="Q27" i="20"/>
  <c r="Q84" i="20"/>
  <c r="Q310" i="20"/>
  <c r="Q350" i="20"/>
  <c r="Q124" i="20"/>
  <c r="Q302" i="20"/>
  <c r="Q76" i="20"/>
  <c r="Q308" i="20"/>
  <c r="Q82" i="20"/>
  <c r="Q183" i="12"/>
  <c r="Q129" i="12"/>
  <c r="Q130" i="12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/>
  <c r="P46" i="20"/>
  <c r="P47" i="20"/>
  <c r="O187" i="20"/>
  <c r="O178" i="20"/>
  <c r="P296" i="20"/>
  <c r="P392" i="20"/>
  <c r="P344" i="20"/>
  <c r="O404" i="20"/>
  <c r="O369" i="20"/>
  <c r="O413" i="20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/>
  <c r="N429" i="17"/>
  <c r="N200" i="17"/>
  <c r="R24" i="17"/>
  <c r="T5" i="12"/>
  <c r="T9" i="12"/>
  <c r="M311" i="17"/>
  <c r="M109" i="17"/>
  <c r="L385" i="17"/>
  <c r="L169" i="17"/>
  <c r="M244" i="17"/>
  <c r="M50" i="17"/>
  <c r="M274" i="17"/>
  <c r="M79" i="17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/>
  <c r="L265" i="17"/>
  <c r="K221" i="17"/>
  <c r="O287" i="17"/>
  <c r="O289" i="17"/>
  <c r="M413" i="17"/>
  <c r="K332" i="17"/>
  <c r="P194" i="17"/>
  <c r="P104" i="17"/>
  <c r="O250" i="17"/>
  <c r="O252" i="17"/>
  <c r="O398" i="17"/>
  <c r="O400" i="17"/>
  <c r="J223" i="17"/>
  <c r="J47" i="17"/>
  <c r="J55" i="17"/>
  <c r="J57" i="17"/>
  <c r="J58" i="17"/>
  <c r="N272" i="17"/>
  <c r="K341" i="17"/>
  <c r="K138" i="17"/>
  <c r="L229" i="17"/>
  <c r="L231" i="17"/>
  <c r="O361" i="17"/>
  <c r="O363" i="17"/>
  <c r="M383" i="17"/>
  <c r="L369" i="17"/>
  <c r="O435" i="17"/>
  <c r="O437" i="17"/>
  <c r="M421" i="17"/>
  <c r="M423" i="17"/>
  <c r="L339" i="17"/>
  <c r="N280" i="17"/>
  <c r="N282" i="17"/>
  <c r="N317" i="17"/>
  <c r="N319" i="17"/>
  <c r="K296" i="17"/>
  <c r="K298" i="17"/>
  <c r="P134" i="17"/>
  <c r="N236" i="17"/>
  <c r="N238" i="17"/>
  <c r="M302" i="17"/>
  <c r="L376" i="17"/>
  <c r="N242" i="17"/>
  <c r="P164" i="17"/>
  <c r="P44" i="17"/>
  <c r="O391" i="17"/>
  <c r="O393" i="17"/>
  <c r="O324" i="17"/>
  <c r="O326" i="17"/>
  <c r="N309" i="17"/>
  <c r="O427" i="17"/>
  <c r="N354" i="17"/>
  <c r="N356" i="17"/>
  <c r="K407" i="17"/>
  <c r="K409" i="17"/>
  <c r="K267" i="17"/>
  <c r="K78" i="17"/>
  <c r="L304" i="17"/>
  <c r="L108" i="17"/>
  <c r="K259" i="17"/>
  <c r="K261" i="17"/>
  <c r="K378" i="17"/>
  <c r="K168" i="17"/>
  <c r="L415" i="17"/>
  <c r="L198" i="17"/>
  <c r="J334" i="17"/>
  <c r="J137" i="17"/>
  <c r="J145" i="17"/>
  <c r="J147" i="17"/>
  <c r="J148" i="17"/>
  <c r="K371" i="17"/>
  <c r="K167" i="17"/>
  <c r="U17" i="21"/>
  <c r="U142" i="21"/>
  <c r="U42" i="21"/>
  <c r="U117" i="21"/>
  <c r="U67" i="21"/>
  <c r="U92" i="21"/>
  <c r="V9" i="20"/>
  <c r="U13" i="20"/>
  <c r="Q236" i="12"/>
  <c r="Q170" i="12"/>
  <c r="Q192" i="12"/>
  <c r="S146" i="12"/>
  <c r="T146" i="21"/>
  <c r="S150" i="12"/>
  <c r="T150" i="21"/>
  <c r="S138" i="12"/>
  <c r="T138" i="21"/>
  <c r="S144" i="12"/>
  <c r="T144" i="21"/>
  <c r="S148" i="12"/>
  <c r="T148" i="21"/>
  <c r="S152" i="12"/>
  <c r="T152" i="21"/>
  <c r="S140" i="12"/>
  <c r="T140" i="21"/>
  <c r="S143" i="12"/>
  <c r="T143" i="21"/>
  <c r="S147" i="12"/>
  <c r="T147" i="21"/>
  <c r="S151" i="12"/>
  <c r="T151" i="21"/>
  <c r="S137" i="12"/>
  <c r="T137" i="21"/>
  <c r="S141" i="12"/>
  <c r="T141" i="21"/>
  <c r="S149" i="12"/>
  <c r="T149" i="21"/>
  <c r="S135" i="12"/>
  <c r="T135" i="21"/>
  <c r="S117" i="12"/>
  <c r="T116" i="21"/>
  <c r="S122" i="12"/>
  <c r="T121" i="21"/>
  <c r="S126" i="12"/>
  <c r="T125" i="21"/>
  <c r="S114" i="12"/>
  <c r="T113" i="21"/>
  <c r="S120" i="12"/>
  <c r="T119" i="21"/>
  <c r="S124" i="12"/>
  <c r="T123" i="21"/>
  <c r="S128" i="12"/>
  <c r="T127" i="21"/>
  <c r="S116" i="12"/>
  <c r="T115" i="21"/>
  <c r="S96" i="12"/>
  <c r="T94" i="21"/>
  <c r="S100" i="12"/>
  <c r="T98" i="21"/>
  <c r="S104" i="12"/>
  <c r="T102" i="21"/>
  <c r="S139" i="12"/>
  <c r="T139" i="21"/>
  <c r="S123" i="12"/>
  <c r="T122" i="21"/>
  <c r="S127" i="12"/>
  <c r="T126" i="21"/>
  <c r="S113" i="12"/>
  <c r="T112" i="21"/>
  <c r="S101" i="12"/>
  <c r="T99" i="21"/>
  <c r="S103" i="12"/>
  <c r="T101" i="21"/>
  <c r="S91" i="12"/>
  <c r="T89" i="21"/>
  <c r="S87" i="12"/>
  <c r="T85" i="21"/>
  <c r="S119" i="12"/>
  <c r="T118" i="21"/>
  <c r="S125" i="12"/>
  <c r="T124" i="21"/>
  <c r="S95" i="12"/>
  <c r="T93" i="21"/>
  <c r="S102" i="12"/>
  <c r="T100" i="21"/>
  <c r="S71" i="12"/>
  <c r="T68" i="21"/>
  <c r="S75" i="12"/>
  <c r="T72" i="21"/>
  <c r="S79" i="12"/>
  <c r="T76" i="21"/>
  <c r="S65" i="12"/>
  <c r="T62" i="21"/>
  <c r="S121" i="12"/>
  <c r="T120" i="21"/>
  <c r="S111" i="12"/>
  <c r="T110" i="21"/>
  <c r="S97" i="12"/>
  <c r="T95" i="21"/>
  <c r="S99" i="12"/>
  <c r="T97" i="21"/>
  <c r="S89" i="12"/>
  <c r="T87" i="21"/>
  <c r="S90" i="12"/>
  <c r="T88" i="21"/>
  <c r="S92" i="12"/>
  <c r="T90" i="21"/>
  <c r="S69" i="12"/>
  <c r="T66" i="21"/>
  <c r="S76" i="12"/>
  <c r="T73" i="21"/>
  <c r="S78" i="12"/>
  <c r="T75" i="21"/>
  <c r="S47" i="12"/>
  <c r="T43" i="21"/>
  <c r="S77" i="12"/>
  <c r="T74" i="21"/>
  <c r="S66" i="12"/>
  <c r="T63" i="21"/>
  <c r="S63" i="12"/>
  <c r="T60" i="21"/>
  <c r="S45" i="12"/>
  <c r="T41" i="21"/>
  <c r="S49" i="12"/>
  <c r="T45" i="21"/>
  <c r="S53" i="12"/>
  <c r="T49" i="21"/>
  <c r="S43" i="12"/>
  <c r="T39" i="21"/>
  <c r="S39" i="12"/>
  <c r="T35" i="21"/>
  <c r="S21" i="12"/>
  <c r="T16" i="21"/>
  <c r="S115" i="12"/>
  <c r="T114" i="21"/>
  <c r="S98" i="12"/>
  <c r="T96" i="21"/>
  <c r="S72" i="12"/>
  <c r="T69" i="21"/>
  <c r="S74" i="12"/>
  <c r="T71" i="21"/>
  <c r="S67" i="12"/>
  <c r="T64" i="21"/>
  <c r="S68" i="12"/>
  <c r="T65" i="21"/>
  <c r="S48" i="12"/>
  <c r="T44" i="21"/>
  <c r="S73" i="12"/>
  <c r="T70" i="21"/>
  <c r="S51" i="12"/>
  <c r="T47" i="21"/>
  <c r="S41" i="12"/>
  <c r="T37" i="21"/>
  <c r="S23" i="12"/>
  <c r="T18" i="21"/>
  <c r="S28" i="12"/>
  <c r="T23" i="21"/>
  <c r="S32" i="12"/>
  <c r="T27" i="21"/>
  <c r="S20" i="12"/>
  <c r="T15" i="21"/>
  <c r="S145" i="12"/>
  <c r="T145" i="21"/>
  <c r="S80" i="12"/>
  <c r="T77" i="21"/>
  <c r="S17" i="12"/>
  <c r="T12" i="21"/>
  <c r="S50" i="12"/>
  <c r="T46" i="21"/>
  <c r="S52" i="12"/>
  <c r="T48" i="21"/>
  <c r="S44" i="12"/>
  <c r="T40" i="21"/>
  <c r="S24" i="12"/>
  <c r="T19" i="21"/>
  <c r="S26" i="12"/>
  <c r="T21" i="21"/>
  <c r="S30" i="12"/>
  <c r="T25" i="21"/>
  <c r="S18" i="12"/>
  <c r="T13" i="21"/>
  <c r="S29" i="12"/>
  <c r="T24" i="21"/>
  <c r="S15" i="12"/>
  <c r="T10" i="21"/>
  <c r="S93" i="12"/>
  <c r="T91" i="21"/>
  <c r="S42" i="12"/>
  <c r="T38" i="21"/>
  <c r="S27" i="12"/>
  <c r="T22" i="21"/>
  <c r="S31" i="12"/>
  <c r="T26" i="21"/>
  <c r="S54" i="12"/>
  <c r="T50" i="21"/>
  <c r="S56" i="12"/>
  <c r="T52" i="21"/>
  <c r="S25" i="12"/>
  <c r="T20" i="21"/>
  <c r="S19" i="12"/>
  <c r="T14" i="21"/>
  <c r="S55" i="12"/>
  <c r="T51" i="21"/>
  <c r="R36" i="21"/>
  <c r="R53" i="21"/>
  <c r="R61" i="21"/>
  <c r="R78" i="21"/>
  <c r="R86" i="21"/>
  <c r="R103" i="21"/>
  <c r="R111" i="21"/>
  <c r="R128" i="21"/>
  <c r="R136" i="21"/>
  <c r="R153" i="2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/>
  <c r="R31" i="20"/>
  <c r="R257" i="20"/>
  <c r="R30" i="20"/>
  <c r="R256" i="20"/>
  <c r="R78" i="20"/>
  <c r="R304" i="20"/>
  <c r="R305" i="20"/>
  <c r="R79" i="20"/>
  <c r="K175" i="17"/>
  <c r="K177" i="17"/>
  <c r="K178" i="17"/>
  <c r="V12" i="3"/>
  <c r="V321" i="3"/>
  <c r="S26" i="3"/>
  <c r="R29" i="3"/>
  <c r="R35" i="3"/>
  <c r="R38" i="3"/>
  <c r="R41" i="3"/>
  <c r="S55" i="3"/>
  <c r="R58" i="3"/>
  <c r="T214" i="3"/>
  <c r="T254" i="3"/>
  <c r="T291" i="3"/>
  <c r="Q237" i="12"/>
  <c r="Q229" i="12"/>
  <c r="T230" i="3"/>
  <c r="T262" i="3"/>
  <c r="T299" i="3"/>
  <c r="T238" i="3"/>
  <c r="R234" i="12"/>
  <c r="R235" i="12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/>
  <c r="P183" i="20"/>
  <c r="P174" i="20"/>
  <c r="P221" i="20"/>
  <c r="P222" i="20"/>
  <c r="P223" i="20"/>
  <c r="P216" i="20"/>
  <c r="Q344" i="20"/>
  <c r="Q165" i="12"/>
  <c r="Q174" i="12"/>
  <c r="Q46" i="20"/>
  <c r="Q47" i="20"/>
  <c r="R314" i="20"/>
  <c r="R88" i="20"/>
  <c r="R308" i="20"/>
  <c r="R82" i="20"/>
  <c r="R182" i="12"/>
  <c r="R325" i="20"/>
  <c r="R99" i="20"/>
  <c r="R105" i="12"/>
  <c r="R106" i="12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/>
  <c r="S86" i="12"/>
  <c r="T84" i="21"/>
  <c r="S38" i="12"/>
  <c r="T34" i="21"/>
  <c r="S110" i="12"/>
  <c r="T109" i="21"/>
  <c r="T10" i="12"/>
  <c r="T14" i="20"/>
  <c r="S62" i="12"/>
  <c r="T59" i="21"/>
  <c r="S134" i="12"/>
  <c r="T134" i="2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/>
  <c r="R123" i="20"/>
  <c r="R349" i="20"/>
  <c r="R283" i="20"/>
  <c r="R57" i="20"/>
  <c r="R184" i="12"/>
  <c r="R153" i="12"/>
  <c r="R154" i="12"/>
  <c r="R373" i="20"/>
  <c r="R147" i="20"/>
  <c r="R114" i="20"/>
  <c r="R340" i="20"/>
  <c r="Q94" i="20"/>
  <c r="Q95" i="20"/>
  <c r="Q166" i="20"/>
  <c r="Q167" i="20"/>
  <c r="P401" i="20"/>
  <c r="P297" i="20"/>
  <c r="P410" i="20"/>
  <c r="P187" i="20"/>
  <c r="P178" i="20"/>
  <c r="Q161" i="12"/>
  <c r="Q188" i="12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/>
  <c r="P449" i="20"/>
  <c r="P442" i="20"/>
  <c r="P273" i="20"/>
  <c r="P409" i="20"/>
  <c r="P403" i="20"/>
  <c r="P345" i="20"/>
  <c r="P412" i="20"/>
  <c r="Q118" i="20"/>
  <c r="Q119" i="20"/>
  <c r="Q142" i="20"/>
  <c r="Q143" i="20"/>
  <c r="R284" i="20"/>
  <c r="R58" i="20"/>
  <c r="Q70" i="20"/>
  <c r="Q71" i="20"/>
  <c r="P402" i="20"/>
  <c r="P321" i="20"/>
  <c r="P411" i="20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/>
  <c r="P404" i="20"/>
  <c r="Q175" i="12"/>
  <c r="Q166" i="12"/>
  <c r="O392" i="17"/>
  <c r="O170" i="17"/>
  <c r="O325" i="17"/>
  <c r="O111" i="17"/>
  <c r="S24" i="17"/>
  <c r="U5" i="12"/>
  <c r="U9" i="12"/>
  <c r="O399" i="17"/>
  <c r="O171" i="17"/>
  <c r="N348" i="17"/>
  <c r="N139" i="17"/>
  <c r="N237" i="17"/>
  <c r="N49" i="17"/>
  <c r="N318" i="17"/>
  <c r="N110" i="17"/>
  <c r="K260" i="17"/>
  <c r="K77" i="17"/>
  <c r="K85" i="17"/>
  <c r="K87" i="17"/>
  <c r="K88" i="17"/>
  <c r="N355" i="17"/>
  <c r="N140" i="17"/>
  <c r="L406" i="17"/>
  <c r="O279" i="17"/>
  <c r="M228" i="17"/>
  <c r="N273" i="17"/>
  <c r="N275" i="17"/>
  <c r="P249" i="17"/>
  <c r="K222" i="17"/>
  <c r="K224" i="17"/>
  <c r="Q74" i="17"/>
  <c r="L258" i="17"/>
  <c r="O353" i="17"/>
  <c r="P323" i="17"/>
  <c r="L377" i="17"/>
  <c r="L379" i="17"/>
  <c r="L340" i="17"/>
  <c r="L342" i="17"/>
  <c r="O362" i="17"/>
  <c r="O141" i="17"/>
  <c r="K333" i="17"/>
  <c r="K335" i="17"/>
  <c r="P286" i="17"/>
  <c r="Q104" i="17"/>
  <c r="Q44" i="17"/>
  <c r="O428" i="17"/>
  <c r="O430" i="17"/>
  <c r="L295" i="17"/>
  <c r="L370" i="17"/>
  <c r="L372" i="17"/>
  <c r="M414" i="17"/>
  <c r="M416" i="17"/>
  <c r="N310" i="17"/>
  <c r="N312" i="17"/>
  <c r="P390" i="17"/>
  <c r="O235" i="17"/>
  <c r="N281" i="17"/>
  <c r="N80" i="17"/>
  <c r="N420" i="17"/>
  <c r="O436" i="17"/>
  <c r="O201" i="17"/>
  <c r="M384" i="17"/>
  <c r="M386" i="17"/>
  <c r="P397" i="17"/>
  <c r="L266" i="17"/>
  <c r="L268" i="17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/>
  <c r="K205" i="17"/>
  <c r="K207" i="17"/>
  <c r="K208" i="17"/>
  <c r="N243" i="17"/>
  <c r="N245" i="17"/>
  <c r="M303" i="17"/>
  <c r="M305" i="17"/>
  <c r="K297" i="17"/>
  <c r="K107" i="17"/>
  <c r="K115" i="17"/>
  <c r="K117" i="17"/>
  <c r="K118" i="17"/>
  <c r="O316" i="17"/>
  <c r="M422" i="17"/>
  <c r="M199" i="17"/>
  <c r="P434" i="17"/>
  <c r="L230" i="17"/>
  <c r="L48" i="17"/>
  <c r="O251" i="17"/>
  <c r="O51" i="17"/>
  <c r="O288" i="17"/>
  <c r="O81" i="17"/>
  <c r="V17" i="21"/>
  <c r="V117" i="21"/>
  <c r="V92" i="21"/>
  <c r="V42" i="21"/>
  <c r="V142" i="21"/>
  <c r="V67" i="21"/>
  <c r="W9" i="20"/>
  <c r="V13" i="20"/>
  <c r="R236" i="12"/>
  <c r="R237" i="12"/>
  <c r="R229" i="12"/>
  <c r="R170" i="12"/>
  <c r="R192" i="12"/>
  <c r="W12" i="3"/>
  <c r="X12" i="3"/>
  <c r="T143" i="12"/>
  <c r="U143" i="21"/>
  <c r="T147" i="12"/>
  <c r="U147" i="21"/>
  <c r="T151" i="12"/>
  <c r="U151" i="21"/>
  <c r="T137" i="12"/>
  <c r="U137" i="21"/>
  <c r="T141" i="12"/>
  <c r="U141" i="21"/>
  <c r="T145" i="12"/>
  <c r="U145" i="21"/>
  <c r="T149" i="12"/>
  <c r="U149" i="21"/>
  <c r="T139" i="12"/>
  <c r="U139" i="21"/>
  <c r="T135" i="12"/>
  <c r="U135" i="21"/>
  <c r="T117" i="12"/>
  <c r="U116" i="21"/>
  <c r="T144" i="12"/>
  <c r="U144" i="21"/>
  <c r="T148" i="12"/>
  <c r="U148" i="21"/>
  <c r="T152" i="12"/>
  <c r="U152" i="21"/>
  <c r="T140" i="12"/>
  <c r="U140" i="21"/>
  <c r="T123" i="12"/>
  <c r="U122" i="21"/>
  <c r="T127" i="12"/>
  <c r="U126" i="21"/>
  <c r="T113" i="12"/>
  <c r="U112" i="21"/>
  <c r="T146" i="12"/>
  <c r="U146" i="21"/>
  <c r="T119" i="12"/>
  <c r="U118" i="21"/>
  <c r="T121" i="12"/>
  <c r="U120" i="21"/>
  <c r="T125" i="12"/>
  <c r="U124" i="21"/>
  <c r="T115" i="12"/>
  <c r="U114" i="21"/>
  <c r="T111" i="12"/>
  <c r="U110" i="21"/>
  <c r="T93" i="12"/>
  <c r="U91" i="21"/>
  <c r="T97" i="12"/>
  <c r="U95" i="21"/>
  <c r="T101" i="12"/>
  <c r="U99" i="21"/>
  <c r="T138" i="12"/>
  <c r="U138" i="21"/>
  <c r="T120" i="12"/>
  <c r="U119" i="21"/>
  <c r="T124" i="12"/>
  <c r="U123" i="21"/>
  <c r="T128" i="12"/>
  <c r="U127" i="21"/>
  <c r="T116" i="12"/>
  <c r="U115" i="21"/>
  <c r="T122" i="12"/>
  <c r="U121" i="21"/>
  <c r="T99" i="12"/>
  <c r="U97" i="21"/>
  <c r="T89" i="12"/>
  <c r="U87" i="21"/>
  <c r="T90" i="12"/>
  <c r="U88" i="21"/>
  <c r="T98" i="12"/>
  <c r="U96" i="21"/>
  <c r="T100" i="12"/>
  <c r="U98" i="21"/>
  <c r="T92" i="12"/>
  <c r="U90" i="21"/>
  <c r="T72" i="12"/>
  <c r="U69" i="21"/>
  <c r="T76" i="12"/>
  <c r="U73" i="21"/>
  <c r="T80" i="12"/>
  <c r="U77" i="21"/>
  <c r="T150" i="12"/>
  <c r="U150" i="21"/>
  <c r="T126" i="12"/>
  <c r="U125" i="21"/>
  <c r="T95" i="12"/>
  <c r="U93" i="21"/>
  <c r="T102" i="12"/>
  <c r="U100" i="21"/>
  <c r="T104" i="12"/>
  <c r="U102" i="21"/>
  <c r="T96" i="12"/>
  <c r="U94" i="21"/>
  <c r="T91" i="12"/>
  <c r="U89" i="21"/>
  <c r="T74" i="12"/>
  <c r="U71" i="21"/>
  <c r="T67" i="12"/>
  <c r="U64" i="21"/>
  <c r="T68" i="12"/>
  <c r="U65" i="21"/>
  <c r="T48" i="12"/>
  <c r="U44" i="21"/>
  <c r="T114" i="12"/>
  <c r="U113" i="21"/>
  <c r="T73" i="12"/>
  <c r="U70" i="21"/>
  <c r="T75" i="12"/>
  <c r="U72" i="21"/>
  <c r="T65" i="12"/>
  <c r="U62" i="21"/>
  <c r="T50" i="12"/>
  <c r="U46" i="21"/>
  <c r="T54" i="12"/>
  <c r="U50" i="21"/>
  <c r="T42" i="12"/>
  <c r="U38" i="21"/>
  <c r="T77" i="12"/>
  <c r="U74" i="21"/>
  <c r="T79" i="12"/>
  <c r="U76" i="21"/>
  <c r="T66" i="12"/>
  <c r="U63" i="21"/>
  <c r="T63" i="12"/>
  <c r="U60" i="21"/>
  <c r="T45" i="12"/>
  <c r="U41" i="21"/>
  <c r="T49" i="12"/>
  <c r="U45" i="21"/>
  <c r="T103" i="12"/>
  <c r="U101" i="21"/>
  <c r="T56" i="12"/>
  <c r="U52" i="21"/>
  <c r="T25" i="12"/>
  <c r="U20" i="21"/>
  <c r="T29" i="12"/>
  <c r="U24" i="21"/>
  <c r="T19" i="12"/>
  <c r="U14" i="21"/>
  <c r="T71" i="12"/>
  <c r="U68" i="21"/>
  <c r="T47" i="12"/>
  <c r="U43" i="21"/>
  <c r="T32" i="12"/>
  <c r="U27" i="21"/>
  <c r="T87" i="12"/>
  <c r="U85" i="21"/>
  <c r="T78" i="12"/>
  <c r="U75" i="21"/>
  <c r="T55" i="12"/>
  <c r="U51" i="21"/>
  <c r="T43" i="12"/>
  <c r="U39" i="21"/>
  <c r="T27" i="12"/>
  <c r="U22" i="21"/>
  <c r="T31" i="12"/>
  <c r="U26" i="21"/>
  <c r="T17" i="12"/>
  <c r="U12" i="21"/>
  <c r="T18" i="12"/>
  <c r="U13" i="21"/>
  <c r="T15" i="12"/>
  <c r="U10" i="21"/>
  <c r="T51" i="12"/>
  <c r="U47" i="21"/>
  <c r="T39" i="12"/>
  <c r="U35" i="21"/>
  <c r="T23" i="12"/>
  <c r="U18" i="21"/>
  <c r="T20" i="12"/>
  <c r="U15" i="21"/>
  <c r="T69" i="12"/>
  <c r="U66" i="21"/>
  <c r="T52" i="12"/>
  <c r="U48" i="21"/>
  <c r="T44" i="12"/>
  <c r="U40" i="21"/>
  <c r="T21" i="12"/>
  <c r="U16" i="21"/>
  <c r="T24" i="12"/>
  <c r="U19" i="21"/>
  <c r="T26" i="12"/>
  <c r="U21" i="21"/>
  <c r="T30" i="12"/>
  <c r="U25" i="21"/>
  <c r="T53" i="12"/>
  <c r="U49" i="21"/>
  <c r="T41" i="12"/>
  <c r="U37" i="21"/>
  <c r="T28" i="12"/>
  <c r="U23" i="21"/>
  <c r="S36" i="21"/>
  <c r="S53" i="21"/>
  <c r="S136" i="21"/>
  <c r="S153" i="21"/>
  <c r="S61" i="21"/>
  <c r="S78" i="21"/>
  <c r="S86" i="21"/>
  <c r="S103" i="21"/>
  <c r="S111" i="21"/>
  <c r="S128" i="2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/>
  <c r="S257" i="20"/>
  <c r="S31" i="20"/>
  <c r="S256" i="20"/>
  <c r="S30" i="20"/>
  <c r="T55" i="3"/>
  <c r="S58" i="3"/>
  <c r="S29" i="3"/>
  <c r="S35" i="3"/>
  <c r="S38" i="3"/>
  <c r="S41" i="3"/>
  <c r="T26" i="3"/>
  <c r="S234" i="12"/>
  <c r="S235" i="12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/>
  <c r="Q400" i="20"/>
  <c r="Q447" i="20"/>
  <c r="Q448" i="20"/>
  <c r="Q449" i="20"/>
  <c r="Q442" i="20"/>
  <c r="Q405" i="20"/>
  <c r="Q393" i="20"/>
  <c r="Q414" i="20"/>
  <c r="R161" i="12"/>
  <c r="R188" i="12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/>
  <c r="S325" i="20"/>
  <c r="S262" i="20"/>
  <c r="S36" i="20"/>
  <c r="S335" i="20"/>
  <c r="S109" i="20"/>
  <c r="S387" i="20"/>
  <c r="S161" i="20"/>
  <c r="S332" i="20"/>
  <c r="S106" i="20"/>
  <c r="R118" i="20"/>
  <c r="R119" i="20"/>
  <c r="Q345" i="20"/>
  <c r="Q412" i="20"/>
  <c r="Q403" i="20"/>
  <c r="R171" i="12"/>
  <c r="R162" i="12"/>
  <c r="Q404" i="20"/>
  <c r="Q369" i="20"/>
  <c r="Q413" i="20"/>
  <c r="Q178" i="20"/>
  <c r="Q187" i="20"/>
  <c r="R272" i="20"/>
  <c r="R94" i="20"/>
  <c r="R95" i="20"/>
  <c r="R142" i="20"/>
  <c r="R143" i="20"/>
  <c r="S265" i="20"/>
  <c r="S39" i="20"/>
  <c r="S108" i="20"/>
  <c r="S334" i="20"/>
  <c r="S184" i="12"/>
  <c r="S147" i="20"/>
  <c r="S153" i="12"/>
  <c r="S154" i="12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/>
  <c r="T38" i="12"/>
  <c r="U34" i="21"/>
  <c r="T62" i="12"/>
  <c r="U59" i="21"/>
  <c r="U10" i="12"/>
  <c r="U14" i="20"/>
  <c r="T134" i="12"/>
  <c r="U134" i="21"/>
  <c r="T86" i="12"/>
  <c r="U84" i="21"/>
  <c r="T14" i="12"/>
  <c r="U9" i="2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/>
  <c r="S62" i="20"/>
  <c r="S288" i="20"/>
  <c r="S85" i="20"/>
  <c r="S311" i="20"/>
  <c r="S136" i="20"/>
  <c r="S362" i="20"/>
  <c r="R344" i="20"/>
  <c r="Q183" i="20"/>
  <c r="Q174" i="20"/>
  <c r="Q221" i="20"/>
  <c r="Q222" i="20"/>
  <c r="Q223" i="20"/>
  <c r="Q216" i="20"/>
  <c r="R70" i="20"/>
  <c r="R71" i="20"/>
  <c r="Q184" i="20"/>
  <c r="Q175" i="20"/>
  <c r="Q186" i="20"/>
  <c r="Q177" i="20"/>
  <c r="R172" i="12"/>
  <c r="R163" i="12"/>
  <c r="Q179" i="20"/>
  <c r="Q188" i="20"/>
  <c r="R166" i="20"/>
  <c r="R167" i="20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/>
  <c r="S93" i="20"/>
  <c r="S319" i="20"/>
  <c r="S302" i="20"/>
  <c r="S76" i="20"/>
  <c r="S389" i="20"/>
  <c r="S163" i="20"/>
  <c r="Q401" i="20"/>
  <c r="Q297" i="20"/>
  <c r="Q410" i="20"/>
  <c r="T24" i="17"/>
  <c r="V5" i="12"/>
  <c r="V9" i="12"/>
  <c r="L378" i="17"/>
  <c r="L168" i="17"/>
  <c r="N311" i="17"/>
  <c r="N109" i="17"/>
  <c r="O429" i="17"/>
  <c r="O200" i="17"/>
  <c r="N244" i="17"/>
  <c r="N50" i="17"/>
  <c r="K334" i="17"/>
  <c r="K137" i="17"/>
  <c r="K145" i="17"/>
  <c r="K147" i="17"/>
  <c r="K148" i="17"/>
  <c r="M415" i="17"/>
  <c r="M198" i="17"/>
  <c r="L407" i="17"/>
  <c r="L409" i="17"/>
  <c r="P361" i="17"/>
  <c r="P363" i="17"/>
  <c r="R134" i="17"/>
  <c r="R74" i="17"/>
  <c r="L267" i="17"/>
  <c r="L78" i="17"/>
  <c r="P398" i="17"/>
  <c r="P400" i="17"/>
  <c r="O236" i="17"/>
  <c r="O238" i="17"/>
  <c r="N413" i="17"/>
  <c r="P287" i="17"/>
  <c r="P289" i="17"/>
  <c r="P250" i="17"/>
  <c r="P252" i="17"/>
  <c r="N274" i="17"/>
  <c r="N79" i="17"/>
  <c r="N302" i="17"/>
  <c r="N383" i="17"/>
  <c r="M229" i="17"/>
  <c r="M231" i="17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/>
  <c r="P391" i="17"/>
  <c r="P393" i="17"/>
  <c r="L371" i="17"/>
  <c r="L167" i="17"/>
  <c r="P427" i="17"/>
  <c r="M376" i="17"/>
  <c r="P324" i="17"/>
  <c r="P326" i="17"/>
  <c r="O280" i="17"/>
  <c r="O282" i="17"/>
  <c r="P435" i="17"/>
  <c r="P437" i="17"/>
  <c r="R104" i="17"/>
  <c r="M369" i="17"/>
  <c r="M339" i="17"/>
  <c r="O354" i="17"/>
  <c r="O356" i="17"/>
  <c r="L259" i="17"/>
  <c r="L261" i="17"/>
  <c r="L221" i="17"/>
  <c r="O317" i="17"/>
  <c r="O319" i="17"/>
  <c r="M304" i="17"/>
  <c r="M108" i="17"/>
  <c r="O347" i="17"/>
  <c r="O349" i="17"/>
  <c r="M385" i="17"/>
  <c r="M169" i="17"/>
  <c r="O309" i="17"/>
  <c r="L296" i="17"/>
  <c r="L298" i="17"/>
  <c r="L332" i="17"/>
  <c r="L341" i="17"/>
  <c r="L138" i="17"/>
  <c r="K223" i="17"/>
  <c r="K47" i="17"/>
  <c r="K55" i="17"/>
  <c r="K57" i="17"/>
  <c r="K58" i="17"/>
  <c r="O272" i="17"/>
  <c r="W17" i="21"/>
  <c r="W92" i="21"/>
  <c r="W117" i="21"/>
  <c r="W142" i="21"/>
  <c r="W67" i="21"/>
  <c r="W42" i="21"/>
  <c r="X9" i="20"/>
  <c r="W13" i="20"/>
  <c r="R47" i="20"/>
  <c r="R183" i="20"/>
  <c r="W321" i="3"/>
  <c r="S236" i="12"/>
  <c r="S237" i="12"/>
  <c r="S229" i="12"/>
  <c r="S170" i="12"/>
  <c r="S192" i="12"/>
  <c r="U144" i="12"/>
  <c r="V144" i="21"/>
  <c r="U148" i="12"/>
  <c r="V148" i="21"/>
  <c r="U152" i="12"/>
  <c r="V152" i="21"/>
  <c r="U140" i="12"/>
  <c r="V140" i="21"/>
  <c r="U146" i="12"/>
  <c r="V146" i="21"/>
  <c r="U150" i="12"/>
  <c r="V150" i="21"/>
  <c r="U138" i="12"/>
  <c r="V138" i="21"/>
  <c r="U141" i="12"/>
  <c r="V141" i="21"/>
  <c r="U145" i="12"/>
  <c r="V145" i="21"/>
  <c r="U149" i="12"/>
  <c r="V149" i="21"/>
  <c r="U139" i="12"/>
  <c r="V139" i="21"/>
  <c r="U135" i="12"/>
  <c r="V135" i="21"/>
  <c r="U143" i="12"/>
  <c r="V143" i="21"/>
  <c r="U120" i="12"/>
  <c r="V119" i="21"/>
  <c r="U124" i="12"/>
  <c r="V123" i="21"/>
  <c r="U128" i="12"/>
  <c r="V127" i="21"/>
  <c r="U151" i="12"/>
  <c r="V151" i="21"/>
  <c r="U122" i="12"/>
  <c r="V121" i="21"/>
  <c r="U126" i="12"/>
  <c r="V125" i="21"/>
  <c r="U114" i="12"/>
  <c r="V113" i="21"/>
  <c r="U98" i="12"/>
  <c r="V96" i="21"/>
  <c r="U102" i="12"/>
  <c r="V100" i="21"/>
  <c r="U147" i="12"/>
  <c r="V147" i="21"/>
  <c r="U137" i="12"/>
  <c r="V137" i="21"/>
  <c r="U119" i="12"/>
  <c r="V118" i="21"/>
  <c r="U121" i="12"/>
  <c r="V120" i="21"/>
  <c r="U125" i="12"/>
  <c r="V124" i="21"/>
  <c r="U115" i="12"/>
  <c r="V114" i="21"/>
  <c r="U117" i="12"/>
  <c r="V116" i="21"/>
  <c r="U127" i="12"/>
  <c r="V126" i="21"/>
  <c r="U111" i="12"/>
  <c r="V110" i="21"/>
  <c r="U95" i="12"/>
  <c r="V93" i="21"/>
  <c r="U97" i="12"/>
  <c r="V95" i="21"/>
  <c r="U104" i="12"/>
  <c r="V102" i="21"/>
  <c r="U116" i="12"/>
  <c r="V115" i="21"/>
  <c r="U93" i="12"/>
  <c r="V91" i="21"/>
  <c r="U96" i="12"/>
  <c r="V94" i="21"/>
  <c r="U103" i="12"/>
  <c r="V101" i="21"/>
  <c r="U91" i="12"/>
  <c r="V89" i="21"/>
  <c r="U87" i="12"/>
  <c r="V85" i="21"/>
  <c r="U69" i="12"/>
  <c r="V66" i="21"/>
  <c r="U73" i="12"/>
  <c r="V70" i="21"/>
  <c r="U77" i="12"/>
  <c r="V74" i="21"/>
  <c r="U67" i="12"/>
  <c r="V64" i="21"/>
  <c r="U100" i="12"/>
  <c r="V98" i="21"/>
  <c r="U92" i="12"/>
  <c r="V90" i="21"/>
  <c r="U89" i="12"/>
  <c r="V87" i="21"/>
  <c r="U90" i="12"/>
  <c r="V88" i="21"/>
  <c r="U72" i="12"/>
  <c r="V69" i="21"/>
  <c r="U79" i="12"/>
  <c r="V76" i="21"/>
  <c r="U66" i="12"/>
  <c r="V63" i="21"/>
  <c r="U63" i="12"/>
  <c r="V60" i="21"/>
  <c r="U45" i="12"/>
  <c r="V41" i="21"/>
  <c r="U49" i="12"/>
  <c r="V45" i="21"/>
  <c r="U123" i="12"/>
  <c r="V122" i="21"/>
  <c r="U101" i="12"/>
  <c r="V99" i="21"/>
  <c r="U71" i="12"/>
  <c r="V68" i="21"/>
  <c r="U78" i="12"/>
  <c r="V75" i="21"/>
  <c r="U80" i="12"/>
  <c r="V77" i="21"/>
  <c r="U47" i="12"/>
  <c r="V43" i="21"/>
  <c r="U51" i="12"/>
  <c r="V47" i="21"/>
  <c r="U55" i="12"/>
  <c r="V51" i="21"/>
  <c r="U41" i="12"/>
  <c r="V37" i="21"/>
  <c r="U23" i="12"/>
  <c r="V18" i="21"/>
  <c r="U99" i="12"/>
  <c r="V97" i="21"/>
  <c r="U75" i="12"/>
  <c r="V72" i="21"/>
  <c r="U65" i="12"/>
  <c r="V62" i="21"/>
  <c r="U74" i="12"/>
  <c r="V71" i="21"/>
  <c r="U52" i="12"/>
  <c r="V48" i="21"/>
  <c r="U54" i="12"/>
  <c r="V50" i="21"/>
  <c r="U44" i="12"/>
  <c r="V40" i="21"/>
  <c r="U21" i="12"/>
  <c r="V16" i="21"/>
  <c r="U24" i="12"/>
  <c r="V19" i="21"/>
  <c r="U26" i="12"/>
  <c r="V21" i="21"/>
  <c r="U30" i="12"/>
  <c r="V25" i="21"/>
  <c r="U29" i="12"/>
  <c r="V24" i="21"/>
  <c r="U15" i="12"/>
  <c r="V10" i="21"/>
  <c r="U48" i="12"/>
  <c r="V44" i="21"/>
  <c r="U53" i="12"/>
  <c r="V49" i="21"/>
  <c r="U42" i="12"/>
  <c r="V38" i="21"/>
  <c r="U39" i="12"/>
  <c r="V35" i="21"/>
  <c r="U28" i="12"/>
  <c r="V23" i="21"/>
  <c r="U32" i="12"/>
  <c r="V27" i="21"/>
  <c r="U20" i="12"/>
  <c r="V15" i="21"/>
  <c r="U27" i="12"/>
  <c r="V22" i="21"/>
  <c r="U31" i="12"/>
  <c r="V26" i="21"/>
  <c r="U17" i="12"/>
  <c r="V12" i="21"/>
  <c r="U113" i="12"/>
  <c r="V112" i="21"/>
  <c r="U25" i="12"/>
  <c r="V20" i="21"/>
  <c r="U19" i="12"/>
  <c r="V14" i="21"/>
  <c r="U76" i="12"/>
  <c r="V73" i="21"/>
  <c r="U68" i="12"/>
  <c r="V65" i="21"/>
  <c r="U50" i="12"/>
  <c r="V46" i="21"/>
  <c r="U43" i="12"/>
  <c r="V39" i="21"/>
  <c r="U18" i="12"/>
  <c r="V13" i="21"/>
  <c r="U56" i="12"/>
  <c r="V52" i="21"/>
  <c r="T36" i="21"/>
  <c r="T53" i="21"/>
  <c r="T61" i="21"/>
  <c r="T78" i="21"/>
  <c r="T86" i="21"/>
  <c r="T103" i="21"/>
  <c r="T111" i="21"/>
  <c r="T128" i="21"/>
  <c r="T136" i="21"/>
  <c r="T153" i="2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/>
  <c r="T257" i="20"/>
  <c r="T31" i="20"/>
  <c r="T30" i="20"/>
  <c r="T256" i="20"/>
  <c r="L175" i="17"/>
  <c r="L177" i="17"/>
  <c r="L178" i="17"/>
  <c r="T29" i="3"/>
  <c r="T35" i="3"/>
  <c r="T38" i="3"/>
  <c r="T41" i="3"/>
  <c r="U26" i="3"/>
  <c r="U55" i="3"/>
  <c r="T58" i="3"/>
  <c r="T234" i="12"/>
  <c r="T235" i="12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/>
  <c r="R223" i="20"/>
  <c r="R216" i="20"/>
  <c r="R184" i="20"/>
  <c r="R175" i="20"/>
  <c r="R403" i="20"/>
  <c r="R345" i="20"/>
  <c r="R412" i="20"/>
  <c r="S70" i="20"/>
  <c r="S71" i="20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/>
  <c r="S174" i="12"/>
  <c r="S165" i="12"/>
  <c r="R369" i="20"/>
  <c r="R413" i="20"/>
  <c r="R404" i="20"/>
  <c r="S94" i="20"/>
  <c r="S95" i="20"/>
  <c r="R402" i="20"/>
  <c r="R321" i="20"/>
  <c r="R411" i="20"/>
  <c r="T84" i="20"/>
  <c r="T310" i="20"/>
  <c r="T179" i="12"/>
  <c r="T253" i="20"/>
  <c r="T27" i="20"/>
  <c r="T33" i="12"/>
  <c r="T34" i="12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/>
  <c r="T90" i="20"/>
  <c r="T316" i="20"/>
  <c r="T60" i="20"/>
  <c r="T286" i="20"/>
  <c r="T129" i="20"/>
  <c r="T355" i="20"/>
  <c r="U14" i="12"/>
  <c r="V9" i="21"/>
  <c r="V10" i="12"/>
  <c r="V14" i="20"/>
  <c r="U62" i="12"/>
  <c r="V59" i="21"/>
  <c r="U86" i="12"/>
  <c r="V84" i="21"/>
  <c r="U110" i="12"/>
  <c r="V109" i="21"/>
  <c r="U134" i="12"/>
  <c r="V134" i="21"/>
  <c r="U38" i="12"/>
  <c r="V34" i="21"/>
  <c r="T181" i="12"/>
  <c r="T81" i="12"/>
  <c r="T82" i="12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/>
  <c r="T86" i="20"/>
  <c r="T312" i="20"/>
  <c r="T115" i="20"/>
  <c r="T341" i="20"/>
  <c r="T130" i="20"/>
  <c r="T356" i="20"/>
  <c r="S166" i="20"/>
  <c r="S167" i="20"/>
  <c r="R400" i="20"/>
  <c r="R273" i="20"/>
  <c r="R409" i="20"/>
  <c r="R447" i="20"/>
  <c r="R448" i="20"/>
  <c r="R449" i="20"/>
  <c r="R442" i="20"/>
  <c r="S163" i="12"/>
  <c r="S172" i="12"/>
  <c r="R405" i="20"/>
  <c r="R393" i="20"/>
  <c r="R414" i="20"/>
  <c r="S161" i="12"/>
  <c r="S188" i="12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/>
  <c r="N422" i="17"/>
  <c r="N199" i="17"/>
  <c r="S194" i="17"/>
  <c r="U24" i="17"/>
  <c r="W5" i="12"/>
  <c r="W9" i="12"/>
  <c r="L297" i="17"/>
  <c r="L107" i="17"/>
  <c r="L115" i="17"/>
  <c r="L117" i="17"/>
  <c r="L118" i="17"/>
  <c r="P325" i="17"/>
  <c r="P111" i="17"/>
  <c r="O237" i="17"/>
  <c r="O49" i="17"/>
  <c r="P399" i="17"/>
  <c r="P171" i="17"/>
  <c r="P392" i="17"/>
  <c r="P170" i="17"/>
  <c r="L333" i="17"/>
  <c r="L335" i="17"/>
  <c r="O310" i="17"/>
  <c r="O312" i="17"/>
  <c r="N414" i="17"/>
  <c r="N416" i="17"/>
  <c r="M406" i="17"/>
  <c r="M295" i="17"/>
  <c r="O348" i="17"/>
  <c r="O139" i="17"/>
  <c r="O355" i="17"/>
  <c r="O140" i="17"/>
  <c r="P436" i="17"/>
  <c r="P201" i="17"/>
  <c r="Q323" i="17"/>
  <c r="Q390" i="17"/>
  <c r="S134" i="17"/>
  <c r="M230" i="17"/>
  <c r="M48" i="17"/>
  <c r="N303" i="17"/>
  <c r="N305" i="17"/>
  <c r="P288" i="17"/>
  <c r="P81" i="17"/>
  <c r="Q397" i="17"/>
  <c r="P362" i="17"/>
  <c r="P141" i="17"/>
  <c r="M258" i="17"/>
  <c r="P279" i="17"/>
  <c r="M377" i="17"/>
  <c r="M379" i="17"/>
  <c r="Q249" i="17"/>
  <c r="P316" i="17"/>
  <c r="L222" i="17"/>
  <c r="L224" i="17"/>
  <c r="P353" i="17"/>
  <c r="M370" i="17"/>
  <c r="M372" i="17"/>
  <c r="Q434" i="17"/>
  <c r="X321" i="3"/>
  <c r="Y12" i="3"/>
  <c r="M266" i="17"/>
  <c r="M268" i="17"/>
  <c r="S104" i="17"/>
  <c r="N228" i="17"/>
  <c r="M340" i="17"/>
  <c r="M342" i="17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/>
  <c r="P346" i="17"/>
  <c r="O318" i="17"/>
  <c r="O110" i="17"/>
  <c r="L260" i="17"/>
  <c r="L77" i="17"/>
  <c r="L85" i="17"/>
  <c r="L87" i="17"/>
  <c r="L88" i="17"/>
  <c r="O281" i="17"/>
  <c r="O80" i="17"/>
  <c r="P428" i="17"/>
  <c r="P430" i="17"/>
  <c r="O420" i="17"/>
  <c r="S74" i="17"/>
  <c r="S44" i="17"/>
  <c r="S164" i="17"/>
  <c r="O243" i="17"/>
  <c r="O245" i="17"/>
  <c r="N384" i="17"/>
  <c r="N386" i="17"/>
  <c r="P251" i="17"/>
  <c r="P51" i="17"/>
  <c r="Q286" i="17"/>
  <c r="P235" i="17"/>
  <c r="Q360" i="17"/>
  <c r="L408" i="17"/>
  <c r="L197" i="17"/>
  <c r="L205" i="17"/>
  <c r="L207" i="17"/>
  <c r="L208" i="17"/>
  <c r="X17" i="21"/>
  <c r="X67" i="21"/>
  <c r="X142" i="21"/>
  <c r="X92" i="21"/>
  <c r="X117" i="21"/>
  <c r="X42" i="21"/>
  <c r="Y9" i="20"/>
  <c r="Y13" i="20"/>
  <c r="X13" i="20"/>
  <c r="S174" i="20"/>
  <c r="S47" i="20"/>
  <c r="S183" i="20"/>
  <c r="T236" i="12"/>
  <c r="T170" i="12"/>
  <c r="T192" i="12"/>
  <c r="V141" i="12"/>
  <c r="W141" i="21"/>
  <c r="V145" i="12"/>
  <c r="W145" i="21"/>
  <c r="V149" i="12"/>
  <c r="W149" i="21"/>
  <c r="V139" i="12"/>
  <c r="W139" i="21"/>
  <c r="V135" i="12"/>
  <c r="W135" i="21"/>
  <c r="V143" i="12"/>
  <c r="W143" i="21"/>
  <c r="V147" i="12"/>
  <c r="W147" i="21"/>
  <c r="V151" i="12"/>
  <c r="W151" i="21"/>
  <c r="V137" i="12"/>
  <c r="W137" i="21"/>
  <c r="V119" i="12"/>
  <c r="W118" i="21"/>
  <c r="V146" i="12"/>
  <c r="W146" i="21"/>
  <c r="V150" i="12"/>
  <c r="W150" i="21"/>
  <c r="V138" i="12"/>
  <c r="W138" i="21"/>
  <c r="V148" i="12"/>
  <c r="W148" i="21"/>
  <c r="V140" i="12"/>
  <c r="W140" i="21"/>
  <c r="V121" i="12"/>
  <c r="W120" i="21"/>
  <c r="V125" i="12"/>
  <c r="W124" i="21"/>
  <c r="V115" i="12"/>
  <c r="W114" i="21"/>
  <c r="V117" i="12"/>
  <c r="W116" i="21"/>
  <c r="V123" i="12"/>
  <c r="W122" i="21"/>
  <c r="V127" i="12"/>
  <c r="W126" i="21"/>
  <c r="V113" i="12"/>
  <c r="W112" i="21"/>
  <c r="V95" i="12"/>
  <c r="W93" i="21"/>
  <c r="V99" i="12"/>
  <c r="W97" i="21"/>
  <c r="V103" i="12"/>
  <c r="W101" i="21"/>
  <c r="V89" i="12"/>
  <c r="W87" i="21"/>
  <c r="V152" i="12"/>
  <c r="W152" i="21"/>
  <c r="V122" i="12"/>
  <c r="W121" i="21"/>
  <c r="V126" i="12"/>
  <c r="W125" i="21"/>
  <c r="V114" i="12"/>
  <c r="W113" i="21"/>
  <c r="V144" i="12"/>
  <c r="W144" i="21"/>
  <c r="V100" i="12"/>
  <c r="W98" i="21"/>
  <c r="V102" i="12"/>
  <c r="W100" i="21"/>
  <c r="V92" i="12"/>
  <c r="W90" i="21"/>
  <c r="V124" i="12"/>
  <c r="W123" i="21"/>
  <c r="V101" i="12"/>
  <c r="W99" i="21"/>
  <c r="V90" i="12"/>
  <c r="W88" i="21"/>
  <c r="V74" i="12"/>
  <c r="W71" i="21"/>
  <c r="V78" i="12"/>
  <c r="W75" i="21"/>
  <c r="V66" i="12"/>
  <c r="W63" i="21"/>
  <c r="V120" i="12"/>
  <c r="W119" i="21"/>
  <c r="V116" i="12"/>
  <c r="W115" i="21"/>
  <c r="V93" i="12"/>
  <c r="W91" i="21"/>
  <c r="V96" i="12"/>
  <c r="W94" i="21"/>
  <c r="V98" i="12"/>
  <c r="W96" i="21"/>
  <c r="V91" i="12"/>
  <c r="W89" i="21"/>
  <c r="V87" i="12"/>
  <c r="W85" i="21"/>
  <c r="V128" i="12"/>
  <c r="W127" i="21"/>
  <c r="V111" i="12"/>
  <c r="W110" i="21"/>
  <c r="V97" i="12"/>
  <c r="W95" i="21"/>
  <c r="V75" i="12"/>
  <c r="W72" i="21"/>
  <c r="V77" i="12"/>
  <c r="W74" i="21"/>
  <c r="V65" i="12"/>
  <c r="W62" i="21"/>
  <c r="V69" i="12"/>
  <c r="W66" i="21"/>
  <c r="V76" i="12"/>
  <c r="W73" i="21"/>
  <c r="V68" i="12"/>
  <c r="W65" i="21"/>
  <c r="V48" i="12"/>
  <c r="W44" i="21"/>
  <c r="V52" i="12"/>
  <c r="W48" i="21"/>
  <c r="V56" i="12"/>
  <c r="W52" i="21"/>
  <c r="V44" i="12"/>
  <c r="W40" i="21"/>
  <c r="V24" i="12"/>
  <c r="W19" i="21"/>
  <c r="V71" i="12"/>
  <c r="W68" i="21"/>
  <c r="V73" i="12"/>
  <c r="W70" i="21"/>
  <c r="V80" i="12"/>
  <c r="W77" i="21"/>
  <c r="V47" i="12"/>
  <c r="W43" i="21"/>
  <c r="V63" i="12"/>
  <c r="W60" i="21"/>
  <c r="V50" i="12"/>
  <c r="W46" i="21"/>
  <c r="V43" i="12"/>
  <c r="W39" i="21"/>
  <c r="V27" i="12"/>
  <c r="W22" i="21"/>
  <c r="V31" i="12"/>
  <c r="W26" i="21"/>
  <c r="V79" i="12"/>
  <c r="W76" i="21"/>
  <c r="V45" i="12"/>
  <c r="W41" i="21"/>
  <c r="V51" i="12"/>
  <c r="W47" i="21"/>
  <c r="V41" i="12"/>
  <c r="W37" i="21"/>
  <c r="V23" i="12"/>
  <c r="W18" i="21"/>
  <c r="V25" i="12"/>
  <c r="W20" i="21"/>
  <c r="V29" i="12"/>
  <c r="W24" i="21"/>
  <c r="V19" i="12"/>
  <c r="W14" i="21"/>
  <c r="V15" i="12"/>
  <c r="W10" i="21"/>
  <c r="V28" i="12"/>
  <c r="W23" i="21"/>
  <c r="V32" i="12"/>
  <c r="W27" i="21"/>
  <c r="V20" i="12"/>
  <c r="W15" i="21"/>
  <c r="V104" i="12"/>
  <c r="W102" i="21"/>
  <c r="V72" i="12"/>
  <c r="W69" i="21"/>
  <c r="V54" i="12"/>
  <c r="W50" i="21"/>
  <c r="V21" i="12"/>
  <c r="W16" i="21"/>
  <c r="V26" i="12"/>
  <c r="W21" i="21"/>
  <c r="V30" i="12"/>
  <c r="W25" i="21"/>
  <c r="V18" i="12"/>
  <c r="W13" i="21"/>
  <c r="V67" i="12"/>
  <c r="W64" i="21"/>
  <c r="V49" i="12"/>
  <c r="W45" i="21"/>
  <c r="V53" i="12"/>
  <c r="W49" i="21"/>
  <c r="V55" i="12"/>
  <c r="W51" i="21"/>
  <c r="V42" i="12"/>
  <c r="W38" i="21"/>
  <c r="V39" i="12"/>
  <c r="W35" i="21"/>
  <c r="V17" i="12"/>
  <c r="W12" i="21"/>
  <c r="U36" i="21"/>
  <c r="U53" i="21"/>
  <c r="U136" i="21"/>
  <c r="U153" i="21"/>
  <c r="U86" i="21"/>
  <c r="U103" i="21"/>
  <c r="U61" i="21"/>
  <c r="U78" i="21"/>
  <c r="U111" i="21"/>
  <c r="U128" i="2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/>
  <c r="U257" i="20"/>
  <c r="U31" i="20"/>
  <c r="U30" i="20"/>
  <c r="U256" i="20"/>
  <c r="T237" i="12"/>
  <c r="T229" i="12"/>
  <c r="V55" i="3"/>
  <c r="U58" i="3"/>
  <c r="U29" i="3"/>
  <c r="U35" i="3"/>
  <c r="U38" i="3"/>
  <c r="U41" i="3"/>
  <c r="V26" i="3"/>
  <c r="U234" i="12"/>
  <c r="U235" i="12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/>
  <c r="S223" i="20"/>
  <c r="S216" i="20"/>
  <c r="T320" i="20"/>
  <c r="T118" i="20"/>
  <c r="S345" i="20"/>
  <c r="S412" i="20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/>
  <c r="U277" i="20"/>
  <c r="U92" i="20"/>
  <c r="U318" i="20"/>
  <c r="U84" i="20"/>
  <c r="U310" i="20"/>
  <c r="U129" i="20"/>
  <c r="U355" i="20"/>
  <c r="U183" i="12"/>
  <c r="U129" i="12"/>
  <c r="U130" i="12"/>
  <c r="U123" i="20"/>
  <c r="U349" i="20"/>
  <c r="U182" i="12"/>
  <c r="U325" i="20"/>
  <c r="U99" i="20"/>
  <c r="U105" i="12"/>
  <c r="U106" i="12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/>
  <c r="V134" i="12"/>
  <c r="W134" i="21"/>
  <c r="V14" i="12"/>
  <c r="W9" i="21"/>
  <c r="V110" i="12"/>
  <c r="W109" i="21"/>
  <c r="V86" i="12"/>
  <c r="W84" i="21"/>
  <c r="V38" i="12"/>
  <c r="W34" i="21"/>
  <c r="V62" i="12"/>
  <c r="W59" i="21"/>
  <c r="U33" i="20"/>
  <c r="U259" i="20"/>
  <c r="U179" i="12"/>
  <c r="U33" i="12"/>
  <c r="U34" i="12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/>
  <c r="S449" i="20"/>
  <c r="S442" i="20"/>
  <c r="S273" i="20"/>
  <c r="S409" i="20"/>
  <c r="S393" i="20"/>
  <c r="S414" i="20"/>
  <c r="S405" i="20"/>
  <c r="T142" i="20"/>
  <c r="T143" i="20"/>
  <c r="T166" i="12"/>
  <c r="T175" i="12"/>
  <c r="S179" i="20"/>
  <c r="S188" i="20"/>
  <c r="T70" i="20"/>
  <c r="T71" i="20"/>
  <c r="T94" i="20"/>
  <c r="T95" i="20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/>
  <c r="S186" i="20"/>
  <c r="S177" i="20"/>
  <c r="S369" i="20"/>
  <c r="S413" i="20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/>
  <c r="S402" i="20"/>
  <c r="S321" i="20"/>
  <c r="S411" i="20"/>
  <c r="S187" i="20"/>
  <c r="S178" i="20"/>
  <c r="T166" i="20"/>
  <c r="T167" i="20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/>
  <c r="T368" i="20"/>
  <c r="S184" i="20"/>
  <c r="S175" i="20"/>
  <c r="V24" i="17"/>
  <c r="X5" i="12"/>
  <c r="X9" i="12"/>
  <c r="L334" i="17"/>
  <c r="L137" i="17"/>
  <c r="L145" i="17"/>
  <c r="L147" i="17"/>
  <c r="L148" i="17"/>
  <c r="O244" i="17"/>
  <c r="O50" i="17"/>
  <c r="O311" i="17"/>
  <c r="O109" i="17"/>
  <c r="Q427" i="17"/>
  <c r="Q361" i="17"/>
  <c r="Q363" i="17"/>
  <c r="Q287" i="17"/>
  <c r="Q289" i="17"/>
  <c r="N385" i="17"/>
  <c r="N169" i="17"/>
  <c r="P242" i="17"/>
  <c r="P347" i="17"/>
  <c r="P349" i="17"/>
  <c r="P272" i="17"/>
  <c r="T194" i="17"/>
  <c r="T44" i="17"/>
  <c r="M341" i="17"/>
  <c r="M138" i="17"/>
  <c r="N229" i="17"/>
  <c r="N231" i="17"/>
  <c r="N265" i="17"/>
  <c r="N369" i="17"/>
  <c r="P317" i="17"/>
  <c r="P319" i="17"/>
  <c r="P280" i="17"/>
  <c r="P282" i="17"/>
  <c r="Q324" i="17"/>
  <c r="Q326" i="17"/>
  <c r="M332" i="17"/>
  <c r="P354" i="17"/>
  <c r="P356" i="17"/>
  <c r="O413" i="17"/>
  <c r="O383" i="17"/>
  <c r="T164" i="17"/>
  <c r="T104" i="17"/>
  <c r="T74" i="17"/>
  <c r="N339" i="17"/>
  <c r="Q435" i="17"/>
  <c r="Q437" i="17"/>
  <c r="L223" i="17"/>
  <c r="L47" i="17"/>
  <c r="L55" i="17"/>
  <c r="L57" i="17"/>
  <c r="L58" i="17"/>
  <c r="N376" i="17"/>
  <c r="M259" i="17"/>
  <c r="M261" i="17"/>
  <c r="M407" i="17"/>
  <c r="M409" i="17"/>
  <c r="N415" i="17"/>
  <c r="N198" i="17"/>
  <c r="P309" i="17"/>
  <c r="O421" i="17"/>
  <c r="O423" i="17"/>
  <c r="T134" i="17"/>
  <c r="M221" i="17"/>
  <c r="O302" i="17"/>
  <c r="M296" i="17"/>
  <c r="M298" i="17"/>
  <c r="P236" i="17"/>
  <c r="P238" i="17"/>
  <c r="P429" i="17"/>
  <c r="P200" i="17"/>
  <c r="O274" i="17"/>
  <c r="O79" i="17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/>
  <c r="Z12" i="3"/>
  <c r="Y321" i="3"/>
  <c r="M371" i="17"/>
  <c r="M167" i="17"/>
  <c r="Q250" i="17"/>
  <c r="Q252" i="17"/>
  <c r="M378" i="17"/>
  <c r="M168" i="17"/>
  <c r="Q398" i="17"/>
  <c r="Q400" i="17"/>
  <c r="N304" i="17"/>
  <c r="N108" i="17"/>
  <c r="Q391" i="17"/>
  <c r="Q393" i="17"/>
  <c r="Y17" i="21"/>
  <c r="Y142" i="21"/>
  <c r="Y42" i="21"/>
  <c r="Y117" i="21"/>
  <c r="Y67" i="21"/>
  <c r="Y92" i="21"/>
  <c r="T119" i="20"/>
  <c r="T186" i="20"/>
  <c r="U236" i="12"/>
  <c r="U237" i="12"/>
  <c r="U229" i="12"/>
  <c r="U170" i="12"/>
  <c r="U192" i="12"/>
  <c r="W146" i="12"/>
  <c r="X146" i="21"/>
  <c r="W150" i="12"/>
  <c r="X150" i="21"/>
  <c r="W138" i="12"/>
  <c r="X138" i="21"/>
  <c r="W144" i="12"/>
  <c r="X144" i="21"/>
  <c r="W148" i="12"/>
  <c r="X148" i="21"/>
  <c r="W152" i="12"/>
  <c r="X152" i="21"/>
  <c r="W140" i="12"/>
  <c r="X140" i="21"/>
  <c r="W143" i="12"/>
  <c r="X143" i="21"/>
  <c r="W147" i="12"/>
  <c r="X147" i="21"/>
  <c r="W151" i="12"/>
  <c r="X151" i="21"/>
  <c r="W137" i="12"/>
  <c r="X137" i="21"/>
  <c r="W139" i="12"/>
  <c r="X139" i="21"/>
  <c r="W119" i="12"/>
  <c r="X118" i="21"/>
  <c r="W122" i="12"/>
  <c r="X121" i="21"/>
  <c r="W126" i="12"/>
  <c r="X125" i="21"/>
  <c r="W114" i="12"/>
  <c r="X113" i="21"/>
  <c r="W145" i="12"/>
  <c r="X145" i="21"/>
  <c r="W120" i="12"/>
  <c r="X119" i="21"/>
  <c r="W124" i="12"/>
  <c r="X123" i="21"/>
  <c r="W128" i="12"/>
  <c r="X127" i="21"/>
  <c r="W116" i="12"/>
  <c r="X115" i="21"/>
  <c r="W96" i="12"/>
  <c r="X94" i="21"/>
  <c r="W100" i="12"/>
  <c r="X98" i="21"/>
  <c r="W104" i="12"/>
  <c r="X102" i="21"/>
  <c r="W117" i="12"/>
  <c r="X116" i="21"/>
  <c r="W123" i="12"/>
  <c r="X122" i="21"/>
  <c r="W127" i="12"/>
  <c r="X126" i="21"/>
  <c r="W113" i="12"/>
  <c r="X112" i="21"/>
  <c r="W121" i="12"/>
  <c r="X120" i="21"/>
  <c r="W93" i="12"/>
  <c r="X91" i="21"/>
  <c r="W98" i="12"/>
  <c r="X96" i="21"/>
  <c r="W91" i="12"/>
  <c r="X89" i="21"/>
  <c r="W87" i="12"/>
  <c r="X85" i="21"/>
  <c r="W141" i="12"/>
  <c r="X141" i="21"/>
  <c r="W149" i="12"/>
  <c r="X149" i="21"/>
  <c r="W115" i="12"/>
  <c r="X114" i="21"/>
  <c r="W111" i="12"/>
  <c r="X110" i="21"/>
  <c r="W97" i="12"/>
  <c r="X95" i="21"/>
  <c r="W99" i="12"/>
  <c r="X97" i="21"/>
  <c r="W89" i="12"/>
  <c r="X87" i="21"/>
  <c r="W71" i="12"/>
  <c r="X68" i="21"/>
  <c r="W75" i="12"/>
  <c r="X72" i="21"/>
  <c r="W79" i="12"/>
  <c r="X76" i="21"/>
  <c r="W65" i="12"/>
  <c r="X62" i="21"/>
  <c r="W135" i="12"/>
  <c r="X135" i="21"/>
  <c r="W125" i="12"/>
  <c r="X124" i="21"/>
  <c r="W101" i="12"/>
  <c r="X99" i="21"/>
  <c r="W103" i="12"/>
  <c r="X101" i="21"/>
  <c r="W90" i="12"/>
  <c r="X88" i="21"/>
  <c r="W73" i="12"/>
  <c r="X70" i="21"/>
  <c r="W80" i="12"/>
  <c r="X77" i="21"/>
  <c r="W47" i="12"/>
  <c r="X43" i="21"/>
  <c r="W102" i="12"/>
  <c r="X100" i="21"/>
  <c r="W72" i="12"/>
  <c r="X69" i="21"/>
  <c r="W74" i="12"/>
  <c r="X71" i="21"/>
  <c r="W67" i="12"/>
  <c r="X64" i="21"/>
  <c r="W63" i="12"/>
  <c r="X60" i="21"/>
  <c r="W45" i="12"/>
  <c r="X41" i="21"/>
  <c r="W49" i="12"/>
  <c r="X45" i="21"/>
  <c r="W53" i="12"/>
  <c r="X49" i="21"/>
  <c r="W43" i="12"/>
  <c r="X39" i="21"/>
  <c r="W39" i="12"/>
  <c r="X35" i="21"/>
  <c r="W21" i="12"/>
  <c r="X16" i="21"/>
  <c r="W69" i="12"/>
  <c r="X66" i="21"/>
  <c r="W76" i="12"/>
  <c r="X73" i="21"/>
  <c r="W78" i="12"/>
  <c r="X75" i="21"/>
  <c r="W68" i="12"/>
  <c r="X65" i="21"/>
  <c r="W48" i="12"/>
  <c r="X44" i="21"/>
  <c r="W66" i="12"/>
  <c r="X63" i="21"/>
  <c r="W55" i="12"/>
  <c r="X51" i="21"/>
  <c r="W42" i="12"/>
  <c r="X38" i="21"/>
  <c r="W28" i="12"/>
  <c r="X23" i="21"/>
  <c r="W32" i="12"/>
  <c r="X27" i="21"/>
  <c r="W95" i="12"/>
  <c r="X93" i="21"/>
  <c r="W50" i="12"/>
  <c r="X46" i="21"/>
  <c r="W44" i="12"/>
  <c r="X40" i="21"/>
  <c r="W31" i="12"/>
  <c r="X26" i="21"/>
  <c r="W54" i="12"/>
  <c r="X50" i="21"/>
  <c r="W56" i="12"/>
  <c r="X52" i="21"/>
  <c r="W26" i="12"/>
  <c r="X21" i="21"/>
  <c r="W30" i="12"/>
  <c r="X25" i="21"/>
  <c r="W18" i="12"/>
  <c r="X13" i="21"/>
  <c r="W19" i="12"/>
  <c r="X14" i="21"/>
  <c r="W20" i="12"/>
  <c r="X15" i="21"/>
  <c r="W52" i="12"/>
  <c r="X48" i="21"/>
  <c r="W24" i="12"/>
  <c r="X19" i="21"/>
  <c r="W17" i="12"/>
  <c r="X12" i="21"/>
  <c r="W77" i="12"/>
  <c r="X74" i="21"/>
  <c r="W51" i="12"/>
  <c r="X47" i="21"/>
  <c r="W41" i="12"/>
  <c r="X37" i="21"/>
  <c r="W23" i="12"/>
  <c r="X18" i="21"/>
  <c r="W25" i="12"/>
  <c r="X20" i="21"/>
  <c r="W29" i="12"/>
  <c r="X24" i="21"/>
  <c r="W15" i="12"/>
  <c r="X10" i="21"/>
  <c r="W92" i="12"/>
  <c r="X90" i="21"/>
  <c r="W27" i="12"/>
  <c r="X22" i="21"/>
  <c r="V136" i="21"/>
  <c r="V153" i="21"/>
  <c r="V111" i="21"/>
  <c r="V128" i="21"/>
  <c r="V36" i="21"/>
  <c r="V53" i="21"/>
  <c r="V61" i="21"/>
  <c r="V78" i="21"/>
  <c r="V86" i="21"/>
  <c r="V103" i="2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/>
  <c r="V257" i="20"/>
  <c r="V31" i="20"/>
  <c r="V30" i="20"/>
  <c r="V256" i="20"/>
  <c r="M175" i="17"/>
  <c r="M177" i="17"/>
  <c r="M178" i="17"/>
  <c r="W26" i="3"/>
  <c r="V29" i="3"/>
  <c r="V35" i="3"/>
  <c r="V38" i="3"/>
  <c r="V41" i="3"/>
  <c r="V58" i="3"/>
  <c r="W55" i="3"/>
  <c r="V234" i="12"/>
  <c r="V235" i="12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/>
  <c r="U166" i="12"/>
  <c r="U175" i="12"/>
  <c r="T221" i="20"/>
  <c r="T222" i="20"/>
  <c r="T223" i="20"/>
  <c r="T216" i="20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/>
  <c r="V342" i="20"/>
  <c r="V116" i="20"/>
  <c r="V341" i="20"/>
  <c r="V115" i="20"/>
  <c r="X10" i="12"/>
  <c r="X14" i="20"/>
  <c r="W62" i="12"/>
  <c r="X59" i="21"/>
  <c r="W86" i="12"/>
  <c r="X84" i="21"/>
  <c r="W38" i="12"/>
  <c r="X34" i="21"/>
  <c r="W134" i="12"/>
  <c r="X134" i="21"/>
  <c r="W14" i="12"/>
  <c r="X9" i="21"/>
  <c r="W110" i="12"/>
  <c r="X109" i="21"/>
  <c r="U173" i="12"/>
  <c r="U164" i="12"/>
  <c r="U368" i="20"/>
  <c r="U70" i="20"/>
  <c r="U71" i="20"/>
  <c r="T403" i="20"/>
  <c r="T345" i="20"/>
  <c r="T412" i="20"/>
  <c r="T184" i="20"/>
  <c r="T175" i="20"/>
  <c r="U272" i="20"/>
  <c r="V181" i="12"/>
  <c r="V81" i="12"/>
  <c r="V82" i="12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/>
  <c r="U142" i="20"/>
  <c r="U143" i="20"/>
  <c r="U166" i="20"/>
  <c r="U167" i="20"/>
  <c r="T179" i="20"/>
  <c r="T188" i="20"/>
  <c r="T401" i="20"/>
  <c r="T297" i="20"/>
  <c r="T410" i="20"/>
  <c r="U94" i="20"/>
  <c r="U95" i="20"/>
  <c r="U46" i="20"/>
  <c r="U47" i="20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/>
  <c r="V183" i="12"/>
  <c r="V129" i="12"/>
  <c r="V130" i="12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/>
  <c r="T447" i="20"/>
  <c r="T448" i="20"/>
  <c r="T449" i="20"/>
  <c r="T442" i="20"/>
  <c r="T400" i="20"/>
  <c r="T273" i="20"/>
  <c r="T409" i="20"/>
  <c r="U161" i="12"/>
  <c r="U188" i="12"/>
  <c r="V37" i="20"/>
  <c r="V263" i="20"/>
  <c r="V180" i="12"/>
  <c r="V277" i="20"/>
  <c r="V51" i="20"/>
  <c r="V57" i="12"/>
  <c r="V58" i="12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/>
  <c r="T404" i="20"/>
  <c r="T176" i="20"/>
  <c r="T185" i="20"/>
  <c r="W24" i="17"/>
  <c r="Y5" i="12"/>
  <c r="Y9" i="12"/>
  <c r="Q288" i="17"/>
  <c r="Q81" i="17"/>
  <c r="Q251" i="17"/>
  <c r="Q51" i="17"/>
  <c r="M260" i="17"/>
  <c r="M77" i="17"/>
  <c r="M85" i="17"/>
  <c r="M87" i="17"/>
  <c r="M88" i="17"/>
  <c r="Q399" i="17"/>
  <c r="Q171" i="17"/>
  <c r="O422" i="17"/>
  <c r="O199" i="17"/>
  <c r="P348" i="17"/>
  <c r="P139" i="17"/>
  <c r="Q392" i="17"/>
  <c r="Q170" i="17"/>
  <c r="M408" i="17"/>
  <c r="M197" i="17"/>
  <c r="M205" i="17"/>
  <c r="M207" i="17"/>
  <c r="M208" i="17"/>
  <c r="N230" i="17"/>
  <c r="N48" i="17"/>
  <c r="N295" i="17"/>
  <c r="M222" i="17"/>
  <c r="M224" i="17"/>
  <c r="O384" i="17"/>
  <c r="O386" i="17"/>
  <c r="R249" i="17"/>
  <c r="R390" i="17"/>
  <c r="R397" i="17"/>
  <c r="U104" i="17"/>
  <c r="U74" i="17"/>
  <c r="U44" i="17"/>
  <c r="M297" i="17"/>
  <c r="M107" i="17"/>
  <c r="M115" i="17"/>
  <c r="M117" i="17"/>
  <c r="M118" i="17"/>
  <c r="P310" i="17"/>
  <c r="P312" i="17"/>
  <c r="N406" i="17"/>
  <c r="O414" i="17"/>
  <c r="O416" i="17"/>
  <c r="P355" i="17"/>
  <c r="P140" i="17"/>
  <c r="N370" i="17"/>
  <c r="N372" i="17"/>
  <c r="O228" i="17"/>
  <c r="Q346" i="17"/>
  <c r="P243" i="17"/>
  <c r="P245" i="17"/>
  <c r="Q428" i="17"/>
  <c r="Q430" i="17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/>
  <c r="Q436" i="17"/>
  <c r="Q201" i="17"/>
  <c r="Q353" i="17"/>
  <c r="M333" i="17"/>
  <c r="M335" i="17"/>
  <c r="Q325" i="17"/>
  <c r="Q111" i="17"/>
  <c r="P281" i="17"/>
  <c r="P80" i="17"/>
  <c r="N266" i="17"/>
  <c r="N268" i="17"/>
  <c r="P273" i="17"/>
  <c r="P275" i="17"/>
  <c r="Z321" i="3"/>
  <c r="U164" i="17"/>
  <c r="Q316" i="17"/>
  <c r="R360" i="17"/>
  <c r="U194" i="17"/>
  <c r="P237" i="17"/>
  <c r="P49" i="17"/>
  <c r="O303" i="17"/>
  <c r="O305" i="17"/>
  <c r="P420" i="17"/>
  <c r="N258" i="17"/>
  <c r="R434" i="17"/>
  <c r="N340" i="17"/>
  <c r="N342" i="17"/>
  <c r="R323" i="17"/>
  <c r="P318" i="17"/>
  <c r="P110" i="17"/>
  <c r="R286" i="17"/>
  <c r="Q362" i="17"/>
  <c r="Q141" i="17"/>
  <c r="Z17" i="21"/>
  <c r="E17" i="21"/>
  <c r="G26" i="22"/>
  <c r="Z117" i="21"/>
  <c r="E117" i="21"/>
  <c r="Z92" i="21"/>
  <c r="E92" i="21"/>
  <c r="Z142" i="21"/>
  <c r="E142" i="21"/>
  <c r="Z42" i="21"/>
  <c r="E42" i="21"/>
  <c r="Z67" i="21"/>
  <c r="E67" i="21"/>
  <c r="X24" i="17"/>
  <c r="Z5" i="12"/>
  <c r="Z9" i="12"/>
  <c r="V236" i="12"/>
  <c r="V237" i="12"/>
  <c r="V229" i="12"/>
  <c r="V170" i="12"/>
  <c r="V192" i="12"/>
  <c r="X143" i="12"/>
  <c r="Y143" i="21"/>
  <c r="X147" i="12"/>
  <c r="Y147" i="21"/>
  <c r="X151" i="12"/>
  <c r="Y151" i="21"/>
  <c r="X137" i="12"/>
  <c r="Y137" i="21"/>
  <c r="X141" i="12"/>
  <c r="Y141" i="21"/>
  <c r="X145" i="12"/>
  <c r="Y145" i="21"/>
  <c r="X149" i="12"/>
  <c r="Y149" i="21"/>
  <c r="X139" i="12"/>
  <c r="Y139" i="21"/>
  <c r="X135" i="12"/>
  <c r="Y135" i="21"/>
  <c r="X117" i="12"/>
  <c r="Y116" i="21"/>
  <c r="X144" i="12"/>
  <c r="Y144" i="21"/>
  <c r="X148" i="12"/>
  <c r="Y148" i="21"/>
  <c r="X152" i="12"/>
  <c r="Y152" i="21"/>
  <c r="X140" i="12"/>
  <c r="Y140" i="21"/>
  <c r="X138" i="12"/>
  <c r="Y138" i="21"/>
  <c r="X123" i="12"/>
  <c r="Y122" i="21"/>
  <c r="X127" i="12"/>
  <c r="Y126" i="21"/>
  <c r="X113" i="12"/>
  <c r="Y112" i="21"/>
  <c r="X150" i="12"/>
  <c r="Y150" i="21"/>
  <c r="X121" i="12"/>
  <c r="Y120" i="21"/>
  <c r="X125" i="12"/>
  <c r="Y124" i="21"/>
  <c r="X115" i="12"/>
  <c r="Y114" i="21"/>
  <c r="X111" i="12"/>
  <c r="Y110" i="21"/>
  <c r="X93" i="12"/>
  <c r="Y91" i="21"/>
  <c r="X97" i="12"/>
  <c r="Y95" i="21"/>
  <c r="X101" i="12"/>
  <c r="Y99" i="21"/>
  <c r="X146" i="12"/>
  <c r="Y146" i="21"/>
  <c r="X120" i="12"/>
  <c r="Y119" i="21"/>
  <c r="X124" i="12"/>
  <c r="Y123" i="21"/>
  <c r="X128" i="12"/>
  <c r="Y127" i="21"/>
  <c r="X126" i="12"/>
  <c r="Y125" i="21"/>
  <c r="X116" i="12"/>
  <c r="Y115" i="21"/>
  <c r="X96" i="12"/>
  <c r="Y94" i="21"/>
  <c r="X103" i="12"/>
  <c r="Y101" i="21"/>
  <c r="X90" i="12"/>
  <c r="Y88" i="21"/>
  <c r="X114" i="12"/>
  <c r="Y113" i="21"/>
  <c r="X95" i="12"/>
  <c r="Y93" i="21"/>
  <c r="X102" i="12"/>
  <c r="Y100" i="21"/>
  <c r="X104" i="12"/>
  <c r="Y102" i="21"/>
  <c r="X92" i="12"/>
  <c r="Y90" i="21"/>
  <c r="X72" i="12"/>
  <c r="Y69" i="21"/>
  <c r="X76" i="12"/>
  <c r="Y73" i="21"/>
  <c r="X80" i="12"/>
  <c r="Y77" i="21"/>
  <c r="X119" i="12"/>
  <c r="Y118" i="21"/>
  <c r="X99" i="12"/>
  <c r="Y97" i="21"/>
  <c r="X89" i="12"/>
  <c r="Y87" i="21"/>
  <c r="X98" i="12"/>
  <c r="Y96" i="21"/>
  <c r="X69" i="12"/>
  <c r="Y66" i="21"/>
  <c r="X71" i="12"/>
  <c r="Y68" i="21"/>
  <c r="X78" i="12"/>
  <c r="Y75" i="21"/>
  <c r="X68" i="12"/>
  <c r="Y65" i="21"/>
  <c r="X48" i="12"/>
  <c r="Y44" i="21"/>
  <c r="X87" i="12"/>
  <c r="Y85" i="21"/>
  <c r="X77" i="12"/>
  <c r="Y74" i="21"/>
  <c r="X79" i="12"/>
  <c r="Y76" i="21"/>
  <c r="X66" i="12"/>
  <c r="Y63" i="21"/>
  <c r="X50" i="12"/>
  <c r="Y46" i="21"/>
  <c r="X54" i="12"/>
  <c r="Y50" i="21"/>
  <c r="X42" i="12"/>
  <c r="Y38" i="21"/>
  <c r="X100" i="12"/>
  <c r="Y98" i="21"/>
  <c r="X74" i="12"/>
  <c r="Y71" i="21"/>
  <c r="X67" i="12"/>
  <c r="Y64" i="21"/>
  <c r="X63" i="12"/>
  <c r="Y60" i="21"/>
  <c r="X45" i="12"/>
  <c r="Y41" i="21"/>
  <c r="X49" i="12"/>
  <c r="Y45" i="21"/>
  <c r="X91" i="12"/>
  <c r="Y89" i="21"/>
  <c r="X75" i="12"/>
  <c r="Y72" i="21"/>
  <c r="X51" i="12"/>
  <c r="Y47" i="21"/>
  <c r="X53" i="12"/>
  <c r="Y49" i="21"/>
  <c r="X41" i="12"/>
  <c r="Y37" i="21"/>
  <c r="X39" i="12"/>
  <c r="Y35" i="21"/>
  <c r="X23" i="12"/>
  <c r="Y18" i="21"/>
  <c r="X25" i="12"/>
  <c r="Y20" i="21"/>
  <c r="X29" i="12"/>
  <c r="Y24" i="21"/>
  <c r="X28" i="12"/>
  <c r="Y23" i="21"/>
  <c r="X47" i="12"/>
  <c r="Y43" i="21"/>
  <c r="X52" i="12"/>
  <c r="Y48" i="21"/>
  <c r="X44" i="12"/>
  <c r="Y40" i="21"/>
  <c r="X21" i="12"/>
  <c r="Y16" i="21"/>
  <c r="X24" i="12"/>
  <c r="Y19" i="21"/>
  <c r="X27" i="12"/>
  <c r="Y22" i="21"/>
  <c r="X31" i="12"/>
  <c r="Y26" i="21"/>
  <c r="X17" i="12"/>
  <c r="Y12" i="21"/>
  <c r="X30" i="12"/>
  <c r="Y25" i="21"/>
  <c r="X18" i="12"/>
  <c r="Y13" i="21"/>
  <c r="X19" i="12"/>
  <c r="Y14" i="21"/>
  <c r="X55" i="12"/>
  <c r="Y51" i="21"/>
  <c r="X43" i="12"/>
  <c r="Y39" i="21"/>
  <c r="X122" i="12"/>
  <c r="Y121" i="21"/>
  <c r="X56" i="12"/>
  <c r="Y52" i="21"/>
  <c r="X26" i="12"/>
  <c r="Y21" i="21"/>
  <c r="X15" i="12"/>
  <c r="Y10" i="21"/>
  <c r="X73" i="12"/>
  <c r="Y70" i="21"/>
  <c r="X65" i="12"/>
  <c r="Y62" i="21"/>
  <c r="X32" i="12"/>
  <c r="Y27" i="21"/>
  <c r="X20" i="12"/>
  <c r="Y15" i="21"/>
  <c r="W36" i="21"/>
  <c r="W53" i="21"/>
  <c r="W11" i="21"/>
  <c r="W28" i="21"/>
  <c r="W86" i="21"/>
  <c r="W103" i="21"/>
  <c r="W136" i="21"/>
  <c r="W153" i="21"/>
  <c r="W111" i="21"/>
  <c r="W128" i="21"/>
  <c r="W61" i="21"/>
  <c r="W78" i="2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/>
  <c r="W38" i="3"/>
  <c r="W41" i="3"/>
  <c r="W234" i="12"/>
  <c r="W235" i="12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/>
  <c r="V142" i="20"/>
  <c r="V143" i="20"/>
  <c r="V164" i="12"/>
  <c r="V173" i="12"/>
  <c r="U174" i="20"/>
  <c r="U221" i="20"/>
  <c r="U222" i="20"/>
  <c r="U223" i="20"/>
  <c r="U216" i="20"/>
  <c r="U183" i="20"/>
  <c r="U177" i="20"/>
  <c r="U186" i="20"/>
  <c r="V94" i="20"/>
  <c r="V95" i="20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/>
  <c r="W179" i="12"/>
  <c r="W253" i="20"/>
  <c r="W27" i="20"/>
  <c r="W33" i="12"/>
  <c r="W34" i="12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/>
  <c r="U345" i="20"/>
  <c r="U412" i="20"/>
  <c r="U403" i="20"/>
  <c r="V368" i="20"/>
  <c r="V118" i="20"/>
  <c r="V119" i="20"/>
  <c r="U176" i="20"/>
  <c r="U185" i="20"/>
  <c r="V172" i="12"/>
  <c r="V163" i="12"/>
  <c r="U404" i="20"/>
  <c r="U369" i="20"/>
  <c r="U413" i="20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/>
  <c r="W51" i="20"/>
  <c r="W181" i="12"/>
  <c r="W301" i="20"/>
  <c r="W75" i="20"/>
  <c r="W81" i="12"/>
  <c r="W82" i="12"/>
  <c r="W315" i="20"/>
  <c r="W89" i="20"/>
  <c r="W159" i="20"/>
  <c r="W385" i="20"/>
  <c r="W391" i="20"/>
  <c r="W165" i="20"/>
  <c r="X86" i="12"/>
  <c r="Y84" i="21"/>
  <c r="X62" i="12"/>
  <c r="Y59" i="21"/>
  <c r="X14" i="12"/>
  <c r="Y9" i="21"/>
  <c r="X134" i="12"/>
  <c r="Y134" i="21"/>
  <c r="Y10" i="12"/>
  <c r="X110" i="12"/>
  <c r="Y109" i="21"/>
  <c r="X38" i="12"/>
  <c r="Y34" i="21"/>
  <c r="W270" i="20"/>
  <c r="W44" i="20"/>
  <c r="W293" i="20"/>
  <c r="W67" i="20"/>
  <c r="W85" i="20"/>
  <c r="W311" i="20"/>
  <c r="W326" i="20"/>
  <c r="W100" i="20"/>
  <c r="V392" i="20"/>
  <c r="U405" i="20"/>
  <c r="U393" i="20"/>
  <c r="U414" i="20"/>
  <c r="V171" i="12"/>
  <c r="V162" i="12"/>
  <c r="U297" i="20"/>
  <c r="U410" i="20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/>
  <c r="V70" i="20"/>
  <c r="V71" i="20"/>
  <c r="V46" i="20"/>
  <c r="V47" i="20"/>
  <c r="U187" i="20"/>
  <c r="U178" i="20"/>
  <c r="V320" i="20"/>
  <c r="U400" i="20"/>
  <c r="U273" i="20"/>
  <c r="U409" i="20"/>
  <c r="U447" i="20"/>
  <c r="U448" i="20"/>
  <c r="U449" i="20"/>
  <c r="U442" i="20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/>
  <c r="W313" i="20"/>
  <c r="W87" i="20"/>
  <c r="W148" i="20"/>
  <c r="W374" i="20"/>
  <c r="W355" i="20"/>
  <c r="W129" i="20"/>
  <c r="W182" i="12"/>
  <c r="W99" i="20"/>
  <c r="W105" i="12"/>
  <c r="W106" i="12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/>
  <c r="N341" i="17"/>
  <c r="N138" i="17"/>
  <c r="N371" i="17"/>
  <c r="N167" i="17"/>
  <c r="N267" i="17"/>
  <c r="N78" i="17"/>
  <c r="P244" i="17"/>
  <c r="P50" i="17"/>
  <c r="O385" i="17"/>
  <c r="O169" i="17"/>
  <c r="P274" i="17"/>
  <c r="P79" i="17"/>
  <c r="N378" i="17"/>
  <c r="N168" i="17"/>
  <c r="Q317" i="17"/>
  <c r="Q319" i="17"/>
  <c r="Q236" i="17"/>
  <c r="Q238" i="17"/>
  <c r="R324" i="17"/>
  <c r="R326" i="17"/>
  <c r="O339" i="17"/>
  <c r="R361" i="17"/>
  <c r="R363" i="17"/>
  <c r="N259" i="17"/>
  <c r="N261" i="17"/>
  <c r="Q272" i="17"/>
  <c r="O265" i="17"/>
  <c r="O376" i="17"/>
  <c r="V164" i="17"/>
  <c r="V194" i="17"/>
  <c r="V104" i="17"/>
  <c r="Q242" i="17"/>
  <c r="O369" i="17"/>
  <c r="P413" i="17"/>
  <c r="R391" i="17"/>
  <c r="R393" i="17"/>
  <c r="M223" i="17"/>
  <c r="M47" i="17"/>
  <c r="M55" i="17"/>
  <c r="M57" i="17"/>
  <c r="M58" i="17"/>
  <c r="P302" i="17"/>
  <c r="N332" i="17"/>
  <c r="Q309" i="17"/>
  <c r="R287" i="17"/>
  <c r="R289" i="17"/>
  <c r="R435" i="17"/>
  <c r="R437" i="17"/>
  <c r="P421" i="17"/>
  <c r="P423" i="17"/>
  <c r="O304" i="17"/>
  <c r="O108" i="17"/>
  <c r="Q354" i="17"/>
  <c r="Q356" i="17"/>
  <c r="V134" i="17"/>
  <c r="V74" i="17"/>
  <c r="Q429" i="17"/>
  <c r="Q200" i="17"/>
  <c r="O229" i="17"/>
  <c r="O231" i="17"/>
  <c r="P311" i="17"/>
  <c r="P109" i="17"/>
  <c r="R398" i="17"/>
  <c r="R400" i="17"/>
  <c r="R250" i="17"/>
  <c r="R252" i="17"/>
  <c r="N221" i="17"/>
  <c r="M334" i="17"/>
  <c r="M137" i="17"/>
  <c r="M145" i="17"/>
  <c r="M147" i="17"/>
  <c r="M148" i="17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/>
  <c r="R427" i="17"/>
  <c r="Q347" i="17"/>
  <c r="Q349" i="17"/>
  <c r="N407" i="17"/>
  <c r="N409" i="17"/>
  <c r="P383" i="17"/>
  <c r="N296" i="17"/>
  <c r="N298" i="17"/>
  <c r="E11" i="22"/>
  <c r="G91" i="22"/>
  <c r="J11" i="22"/>
  <c r="G65" i="22"/>
  <c r="H11" i="22"/>
  <c r="G52" i="22"/>
  <c r="G11" i="22"/>
  <c r="I11" i="22"/>
  <c r="G78" i="22"/>
  <c r="G39" i="22"/>
  <c r="F11" i="22"/>
  <c r="Z10" i="12"/>
  <c r="Z135" i="12"/>
  <c r="Y14" i="20"/>
  <c r="Z137" i="12"/>
  <c r="Z113" i="12"/>
  <c r="Z114" i="12"/>
  <c r="Z119" i="12"/>
  <c r="Z93" i="12"/>
  <c r="Z128" i="12"/>
  <c r="Z100" i="12"/>
  <c r="Z79" i="12"/>
  <c r="Z62" i="12"/>
  <c r="Z43" i="12"/>
  <c r="Z95" i="12"/>
  <c r="Z48" i="12"/>
  <c r="Z24" i="12"/>
  <c r="Z115" i="12"/>
  <c r="Z80" i="12"/>
  <c r="Z45" i="12"/>
  <c r="Z21" i="12"/>
  <c r="Z73" i="12"/>
  <c r="Z50" i="12"/>
  <c r="Z19" i="12"/>
  <c r="Z6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/>
  <c r="W229" i="12"/>
  <c r="W170" i="12"/>
  <c r="W192" i="12"/>
  <c r="Y144" i="12"/>
  <c r="Z144" i="21"/>
  <c r="Y148" i="12"/>
  <c r="Y152" i="12"/>
  <c r="Z152" i="21"/>
  <c r="Y140" i="12"/>
  <c r="Y146" i="12"/>
  <c r="Y150" i="12"/>
  <c r="Y138" i="12"/>
  <c r="Z138" i="21"/>
  <c r="Y141" i="12"/>
  <c r="Y145" i="12"/>
  <c r="Z145" i="21"/>
  <c r="Y149" i="12"/>
  <c r="Y139" i="12"/>
  <c r="Z139" i="21"/>
  <c r="Y147" i="12"/>
  <c r="Y137" i="12"/>
  <c r="Z137" i="21"/>
  <c r="Y117" i="12"/>
  <c r="Z116" i="21"/>
  <c r="Y120" i="12"/>
  <c r="Z119" i="21"/>
  <c r="Y124" i="12"/>
  <c r="Y128" i="12"/>
  <c r="Y135" i="12"/>
  <c r="Z135" i="21"/>
  <c r="Y119" i="12"/>
  <c r="Y122" i="12"/>
  <c r="Y126" i="12"/>
  <c r="Y114" i="12"/>
  <c r="Z113" i="21"/>
  <c r="Y98" i="12"/>
  <c r="Y102" i="12"/>
  <c r="Y151" i="12"/>
  <c r="Y121" i="12"/>
  <c r="Z120" i="21"/>
  <c r="Y125" i="12"/>
  <c r="Y115" i="12"/>
  <c r="Z114" i="21"/>
  <c r="Y99" i="12"/>
  <c r="Z97" i="21"/>
  <c r="Y101" i="12"/>
  <c r="Y89" i="12"/>
  <c r="Z87" i="21"/>
  <c r="Y123" i="12"/>
  <c r="Z122" i="21"/>
  <c r="Y113" i="12"/>
  <c r="Z112" i="21"/>
  <c r="Y100" i="12"/>
  <c r="Y91" i="12"/>
  <c r="Z89" i="21"/>
  <c r="Y87" i="12"/>
  <c r="Z85" i="21"/>
  <c r="Y69" i="12"/>
  <c r="Y73" i="12"/>
  <c r="Z70" i="21"/>
  <c r="Y77" i="12"/>
  <c r="Y143" i="12"/>
  <c r="Y111" i="12"/>
  <c r="Y95" i="12"/>
  <c r="Y97" i="12"/>
  <c r="Y104" i="12"/>
  <c r="Y92" i="12"/>
  <c r="Y74" i="12"/>
  <c r="Z71" i="21"/>
  <c r="Y76" i="12"/>
  <c r="Y67" i="12"/>
  <c r="Z64" i="21"/>
  <c r="Y63" i="12"/>
  <c r="Y45" i="12"/>
  <c r="Y93" i="12"/>
  <c r="Z91" i="21"/>
  <c r="Y103" i="12"/>
  <c r="Y75" i="12"/>
  <c r="Z72" i="21"/>
  <c r="Y65" i="12"/>
  <c r="Z62" i="21"/>
  <c r="Y47" i="12"/>
  <c r="Y51" i="12"/>
  <c r="Y55" i="12"/>
  <c r="Y41" i="12"/>
  <c r="Z37" i="21"/>
  <c r="Y23" i="12"/>
  <c r="Z18" i="21"/>
  <c r="Y127" i="12"/>
  <c r="Y72" i="12"/>
  <c r="Y79" i="12"/>
  <c r="Z76" i="21"/>
  <c r="Y66" i="12"/>
  <c r="Z63" i="21"/>
  <c r="Y68" i="12"/>
  <c r="Y49" i="12"/>
  <c r="Z45" i="21"/>
  <c r="Y56" i="12"/>
  <c r="Y26" i="12"/>
  <c r="Y30" i="12"/>
  <c r="Y53" i="12"/>
  <c r="Z49" i="21"/>
  <c r="Y116" i="12"/>
  <c r="Y96" i="12"/>
  <c r="Y71" i="12"/>
  <c r="Y80" i="12"/>
  <c r="Y50" i="12"/>
  <c r="Y43" i="12"/>
  <c r="Z39" i="21"/>
  <c r="Y28" i="12"/>
  <c r="Y32" i="12"/>
  <c r="Y20" i="12"/>
  <c r="Y27" i="12"/>
  <c r="Y17" i="12"/>
  <c r="Z12" i="21"/>
  <c r="Y18" i="12"/>
  <c r="Z13" i="21"/>
  <c r="Y39" i="12"/>
  <c r="Y25" i="12"/>
  <c r="Y29" i="12"/>
  <c r="Y15" i="12"/>
  <c r="Y90" i="12"/>
  <c r="Z88" i="21"/>
  <c r="Y78" i="12"/>
  <c r="Y48" i="12"/>
  <c r="Y52" i="12"/>
  <c r="Z48" i="21"/>
  <c r="Y54" i="12"/>
  <c r="Y44" i="12"/>
  <c r="Z40" i="21"/>
  <c r="Y21" i="12"/>
  <c r="Y24" i="12"/>
  <c r="Y31" i="12"/>
  <c r="Y42" i="12"/>
  <c r="Z38" i="21"/>
  <c r="Y19" i="12"/>
  <c r="Z14" i="21"/>
  <c r="X61" i="21"/>
  <c r="X78" i="21"/>
  <c r="X86" i="21"/>
  <c r="X103" i="21"/>
  <c r="X111" i="21"/>
  <c r="X128" i="21"/>
  <c r="X36" i="21"/>
  <c r="X53" i="21"/>
  <c r="X136" i="21"/>
  <c r="X153" i="21"/>
  <c r="X11" i="21"/>
  <c r="X28" i="2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/>
  <c r="N178" i="17"/>
  <c r="X29" i="3"/>
  <c r="X35" i="3"/>
  <c r="X38" i="3"/>
  <c r="X41" i="3"/>
  <c r="Y26" i="3"/>
  <c r="Y55" i="3"/>
  <c r="X58" i="3"/>
  <c r="X234" i="12"/>
  <c r="X235" i="12"/>
  <c r="W344" i="20"/>
  <c r="W403" i="20"/>
  <c r="W392" i="20"/>
  <c r="V174" i="20"/>
  <c r="V221" i="20"/>
  <c r="V222" i="20"/>
  <c r="V223" i="20"/>
  <c r="V216" i="20"/>
  <c r="V183" i="20"/>
  <c r="V393" i="20"/>
  <c r="V414" i="20"/>
  <c r="V405" i="20"/>
  <c r="X180" i="12"/>
  <c r="X277" i="20"/>
  <c r="X51" i="20"/>
  <c r="X57" i="12"/>
  <c r="X58" i="12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/>
  <c r="W142" i="20"/>
  <c r="W143" i="20"/>
  <c r="W164" i="12"/>
  <c r="W173" i="12"/>
  <c r="V321" i="20"/>
  <c r="V411" i="20"/>
  <c r="V402" i="20"/>
  <c r="V175" i="20"/>
  <c r="V184" i="20"/>
  <c r="V447" i="20"/>
  <c r="V448" i="20"/>
  <c r="V449" i="20"/>
  <c r="V442" i="20"/>
  <c r="V273" i="20"/>
  <c r="V409" i="20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E144" i="21"/>
  <c r="Y14" i="12"/>
  <c r="Z9" i="21"/>
  <c r="Y134" i="12"/>
  <c r="Y38" i="12"/>
  <c r="Z34" i="21"/>
  <c r="E119" i="21"/>
  <c r="E48" i="21"/>
  <c r="Y110" i="12"/>
  <c r="E145" i="21"/>
  <c r="E97" i="21"/>
  <c r="Y62" i="12"/>
  <c r="E152" i="21"/>
  <c r="E49" i="21"/>
  <c r="E45" i="21"/>
  <c r="Y86" i="12"/>
  <c r="Z84" i="21"/>
  <c r="E40" i="2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/>
  <c r="X66" i="20"/>
  <c r="X292" i="20"/>
  <c r="X363" i="20"/>
  <c r="X137" i="20"/>
  <c r="X181" i="12"/>
  <c r="X75" i="20"/>
  <c r="X81" i="12"/>
  <c r="X82" i="12"/>
  <c r="X301" i="20"/>
  <c r="X165" i="20"/>
  <c r="X391" i="20"/>
  <c r="V404" i="20"/>
  <c r="V369" i="20"/>
  <c r="V413" i="20"/>
  <c r="W272" i="20"/>
  <c r="W368" i="20"/>
  <c r="W118" i="20"/>
  <c r="W119" i="20"/>
  <c r="W175" i="12"/>
  <c r="W166" i="12"/>
  <c r="V345" i="20"/>
  <c r="V412" i="20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/>
  <c r="X99" i="20"/>
  <c r="X312" i="20"/>
  <c r="X86" i="20"/>
  <c r="X148" i="20"/>
  <c r="X374" i="20"/>
  <c r="W163" i="12"/>
  <c r="W172" i="12"/>
  <c r="W70" i="20"/>
  <c r="W71" i="20"/>
  <c r="W166" i="20"/>
  <c r="W167" i="20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/>
  <c r="W162" i="12"/>
  <c r="W171" i="12"/>
  <c r="W161" i="12"/>
  <c r="W188" i="12"/>
  <c r="W174" i="12"/>
  <c r="W165" i="12"/>
  <c r="V185" i="20"/>
  <c r="V176" i="20"/>
  <c r="V187" i="20"/>
  <c r="V178" i="20"/>
  <c r="V297" i="20"/>
  <c r="V410" i="20"/>
  <c r="V401" i="20"/>
  <c r="O230" i="17"/>
  <c r="O48" i="17"/>
  <c r="N297" i="17"/>
  <c r="N107" i="17"/>
  <c r="N115" i="17"/>
  <c r="N117" i="17"/>
  <c r="N118" i="17"/>
  <c r="R288" i="17"/>
  <c r="R81" i="17"/>
  <c r="R399" i="17"/>
  <c r="R171" i="17"/>
  <c r="Q318" i="17"/>
  <c r="Q110" i="17"/>
  <c r="N408" i="17"/>
  <c r="N197" i="17"/>
  <c r="N205" i="17"/>
  <c r="N207" i="17"/>
  <c r="N208" i="17"/>
  <c r="Q348" i="17"/>
  <c r="Q139" i="17"/>
  <c r="P422" i="17"/>
  <c r="P199" i="17"/>
  <c r="R392" i="17"/>
  <c r="R170" i="17"/>
  <c r="R325" i="17"/>
  <c r="R111" i="17"/>
  <c r="S249" i="17"/>
  <c r="P303" i="17"/>
  <c r="P305" i="17"/>
  <c r="P384" i="17"/>
  <c r="P386" i="17"/>
  <c r="O406" i="17"/>
  <c r="R346" i="17"/>
  <c r="O295" i="17"/>
  <c r="Q281" i="17"/>
  <c r="Q80" i="17"/>
  <c r="W134" i="17"/>
  <c r="W104" i="17"/>
  <c r="R251" i="17"/>
  <c r="R51" i="17"/>
  <c r="P228" i="17"/>
  <c r="R436" i="17"/>
  <c r="R201" i="17"/>
  <c r="S390" i="17"/>
  <c r="O370" i="17"/>
  <c r="O372" i="17"/>
  <c r="O377" i="17"/>
  <c r="O379" i="17"/>
  <c r="O266" i="17"/>
  <c r="O268" i="17"/>
  <c r="O340" i="17"/>
  <c r="O342" i="17"/>
  <c r="W194" i="17"/>
  <c r="S360" i="17"/>
  <c r="R428" i="17"/>
  <c r="R430" i="17"/>
  <c r="N222" i="17"/>
  <c r="N224" i="17"/>
  <c r="R353" i="17"/>
  <c r="S434" i="17"/>
  <c r="Q310" i="17"/>
  <c r="Q312" i="17"/>
  <c r="P414" i="17"/>
  <c r="P416" i="17"/>
  <c r="Q243" i="17"/>
  <c r="Q245" i="17"/>
  <c r="Q273" i="17"/>
  <c r="Q275" i="17"/>
  <c r="O258" i="17"/>
  <c r="Q237" i="17"/>
  <c r="Q49" i="17"/>
  <c r="R279" i="17"/>
  <c r="W44" i="17"/>
  <c r="R235" i="17"/>
  <c r="W164" i="17"/>
  <c r="X187" i="17"/>
  <c r="D187" i="17"/>
  <c r="X155" i="17"/>
  <c r="D155" i="17"/>
  <c r="X127" i="17"/>
  <c r="D127" i="17"/>
  <c r="X93" i="17"/>
  <c r="X99" i="17"/>
  <c r="D99" i="17"/>
  <c r="X64" i="17"/>
  <c r="D64" i="17"/>
  <c r="X35" i="17"/>
  <c r="D35" i="17"/>
  <c r="X83" i="17"/>
  <c r="D83" i="17"/>
  <c r="X189" i="17"/>
  <c r="D189" i="17"/>
  <c r="X157" i="17"/>
  <c r="D157" i="17"/>
  <c r="X129" i="17"/>
  <c r="D129" i="17"/>
  <c r="X94" i="17"/>
  <c r="D94" i="17"/>
  <c r="X65" i="17"/>
  <c r="D65" i="17"/>
  <c r="X37" i="17"/>
  <c r="D37" i="17"/>
  <c r="X52" i="17"/>
  <c r="D52" i="17"/>
  <c r="X184" i="17"/>
  <c r="D184" i="17"/>
  <c r="X153" i="17"/>
  <c r="X125" i="17"/>
  <c r="D125" i="17"/>
  <c r="X97" i="17"/>
  <c r="D97" i="17"/>
  <c r="X69" i="17"/>
  <c r="D69" i="17"/>
  <c r="X33" i="17"/>
  <c r="X53" i="17"/>
  <c r="D53" i="17"/>
  <c r="X112" i="17"/>
  <c r="D112" i="17"/>
  <c r="X143" i="17"/>
  <c r="D143" i="17"/>
  <c r="X173" i="17"/>
  <c r="D173" i="17"/>
  <c r="X185" i="17"/>
  <c r="D185" i="17"/>
  <c r="X154" i="17"/>
  <c r="D154" i="17"/>
  <c r="X34" i="17"/>
  <c r="D34" i="17"/>
  <c r="X124" i="17"/>
  <c r="D124" i="17"/>
  <c r="X95" i="17"/>
  <c r="D95" i="17"/>
  <c r="X82" i="17"/>
  <c r="D82" i="17"/>
  <c r="X202" i="17"/>
  <c r="D202" i="17"/>
  <c r="X142" i="17"/>
  <c r="D142" i="17"/>
  <c r="X67" i="17"/>
  <c r="D67" i="17"/>
  <c r="X159" i="17"/>
  <c r="D159" i="17"/>
  <c r="X39" i="17"/>
  <c r="D39" i="17"/>
  <c r="X203" i="17"/>
  <c r="D203" i="17"/>
  <c r="X113" i="17"/>
  <c r="D113" i="17"/>
  <c r="X172" i="17"/>
  <c r="D172" i="17"/>
  <c r="X63" i="17"/>
  <c r="Y28" i="17"/>
  <c r="X41" i="17"/>
  <c r="D41" i="17"/>
  <c r="X161" i="17"/>
  <c r="D161" i="17"/>
  <c r="X43" i="17"/>
  <c r="D43" i="17"/>
  <c r="X123" i="17"/>
  <c r="X102" i="17"/>
  <c r="D102" i="17"/>
  <c r="X191" i="17"/>
  <c r="D191" i="17"/>
  <c r="X183" i="17"/>
  <c r="X133" i="17"/>
  <c r="D133" i="17"/>
  <c r="X193" i="17"/>
  <c r="D193" i="17"/>
  <c r="X42" i="17"/>
  <c r="D42" i="17"/>
  <c r="X163" i="17"/>
  <c r="D163" i="17"/>
  <c r="X103" i="17"/>
  <c r="D103" i="17"/>
  <c r="X71" i="17"/>
  <c r="D71" i="17"/>
  <c r="X131" i="17"/>
  <c r="D131" i="17"/>
  <c r="X101" i="17"/>
  <c r="D101" i="17"/>
  <c r="X72" i="17"/>
  <c r="D72" i="17"/>
  <c r="X192" i="17"/>
  <c r="D192" i="17"/>
  <c r="X132" i="17"/>
  <c r="D132" i="17"/>
  <c r="X162" i="17"/>
  <c r="D162" i="17"/>
  <c r="X73" i="17"/>
  <c r="D73" i="17"/>
  <c r="W74" i="17"/>
  <c r="S397" i="17"/>
  <c r="Q355" i="17"/>
  <c r="Q140" i="17"/>
  <c r="Q420" i="17"/>
  <c r="S286" i="17"/>
  <c r="N333" i="17"/>
  <c r="N335" i="17"/>
  <c r="N260" i="17"/>
  <c r="N77" i="17"/>
  <c r="N85" i="17"/>
  <c r="N87" i="17"/>
  <c r="N88" i="17"/>
  <c r="R362" i="17"/>
  <c r="R141" i="17"/>
  <c r="S323" i="17"/>
  <c r="R316" i="17"/>
  <c r="Z150" i="12"/>
  <c r="Z140" i="12"/>
  <c r="Z31" i="12"/>
  <c r="Z30" i="12"/>
  <c r="Z50" i="21"/>
  <c r="E50" i="21"/>
  <c r="Z35" i="21"/>
  <c r="E35" i="21"/>
  <c r="G34" i="22"/>
  <c r="Z46" i="21"/>
  <c r="E46" i="21"/>
  <c r="Z115" i="21"/>
  <c r="E115" i="21"/>
  <c r="Z52" i="21"/>
  <c r="E52" i="21"/>
  <c r="Z41" i="21"/>
  <c r="E41" i="21"/>
  <c r="G38" i="22"/>
  <c r="Z93" i="21"/>
  <c r="E93" i="21"/>
  <c r="Z98" i="21"/>
  <c r="E98" i="21"/>
  <c r="Z99" i="21"/>
  <c r="E99" i="21"/>
  <c r="Z149" i="21"/>
  <c r="E149" i="21"/>
  <c r="Z150" i="21"/>
  <c r="E150" i="21"/>
  <c r="Z148" i="21"/>
  <c r="E148" i="21"/>
  <c r="Z109" i="21"/>
  <c r="E109" i="21"/>
  <c r="Z134" i="21"/>
  <c r="E134" i="21"/>
  <c r="Z77" i="21"/>
  <c r="E77" i="21"/>
  <c r="Z69" i="21"/>
  <c r="E69" i="21"/>
  <c r="Z51" i="21"/>
  <c r="E51" i="21"/>
  <c r="Z60" i="21"/>
  <c r="E60" i="21"/>
  <c r="G47" i="22"/>
  <c r="Z90" i="21"/>
  <c r="E90" i="21"/>
  <c r="Z110" i="21"/>
  <c r="E110" i="21"/>
  <c r="G73" i="22"/>
  <c r="Z66" i="21"/>
  <c r="E66" i="21"/>
  <c r="G51" i="22"/>
  <c r="Z151" i="21"/>
  <c r="E151" i="21"/>
  <c r="Z125" i="21"/>
  <c r="E125" i="21"/>
  <c r="Z127" i="21"/>
  <c r="E127" i="21"/>
  <c r="Z146" i="21"/>
  <c r="E146" i="21"/>
  <c r="Z59" i="21"/>
  <c r="E59" i="21"/>
  <c r="Z44" i="21"/>
  <c r="E44" i="21"/>
  <c r="Z68" i="21"/>
  <c r="E68" i="21"/>
  <c r="Z65" i="21"/>
  <c r="E65" i="21"/>
  <c r="Z126" i="21"/>
  <c r="E126" i="21"/>
  <c r="Z47" i="21"/>
  <c r="E47" i="21"/>
  <c r="Z101" i="21"/>
  <c r="E101" i="21"/>
  <c r="Z102" i="21"/>
  <c r="E102" i="21"/>
  <c r="Z143" i="21"/>
  <c r="E143" i="21"/>
  <c r="Z100" i="21"/>
  <c r="E100" i="21"/>
  <c r="Z121" i="21"/>
  <c r="E121" i="21"/>
  <c r="Z123" i="21"/>
  <c r="E123" i="21"/>
  <c r="Z147" i="21"/>
  <c r="E147" i="21"/>
  <c r="Z141" i="21"/>
  <c r="E141" i="21"/>
  <c r="G90" i="22"/>
  <c r="Z140" i="21"/>
  <c r="E140" i="21"/>
  <c r="Z75" i="21"/>
  <c r="E75" i="21"/>
  <c r="Z94" i="21"/>
  <c r="E94" i="21"/>
  <c r="Z43" i="21"/>
  <c r="E43" i="21"/>
  <c r="Z73" i="21"/>
  <c r="E73" i="21"/>
  <c r="Z95" i="21"/>
  <c r="E95" i="21"/>
  <c r="D77" i="12"/>
  <c r="Z74" i="21"/>
  <c r="Z124" i="21"/>
  <c r="E124" i="21"/>
  <c r="Z96" i="21"/>
  <c r="E96" i="21"/>
  <c r="Z118" i="21"/>
  <c r="E118" i="21"/>
  <c r="Z26" i="21"/>
  <c r="E26" i="21"/>
  <c r="Z15" i="21"/>
  <c r="E15" i="21"/>
  <c r="Z19" i="21"/>
  <c r="E19" i="21"/>
  <c r="Z10" i="21"/>
  <c r="E10" i="21"/>
  <c r="G21" i="22"/>
  <c r="Z27" i="21"/>
  <c r="E27" i="21"/>
  <c r="Z16" i="21"/>
  <c r="E16" i="21"/>
  <c r="G25" i="22"/>
  <c r="Z24" i="21"/>
  <c r="E24" i="21"/>
  <c r="Z23" i="21"/>
  <c r="E23" i="21"/>
  <c r="Z25" i="21"/>
  <c r="E25" i="21"/>
  <c r="Z20" i="21"/>
  <c r="E20" i="21"/>
  <c r="Z22" i="21"/>
  <c r="E22" i="21"/>
  <c r="Z21" i="21"/>
  <c r="E21" i="21"/>
  <c r="E74" i="21"/>
  <c r="Z57" i="12"/>
  <c r="Z58" i="12"/>
  <c r="Z180" i="12"/>
  <c r="Z179" i="12"/>
  <c r="Z33" i="12"/>
  <c r="Z34" i="12"/>
  <c r="Z234" i="12"/>
  <c r="Z235" i="12"/>
  <c r="Z105" i="12"/>
  <c r="Z106" i="12"/>
  <c r="Z182" i="12"/>
  <c r="Z184" i="12"/>
  <c r="Z129" i="12"/>
  <c r="Z130" i="12"/>
  <c r="Z183" i="12"/>
  <c r="Z181" i="12"/>
  <c r="Z81" i="12"/>
  <c r="Z82" i="12"/>
  <c r="X236" i="12"/>
  <c r="X237" i="12"/>
  <c r="X229" i="12"/>
  <c r="X170" i="12"/>
  <c r="X192" i="12"/>
  <c r="D146" i="12"/>
  <c r="I214" i="12"/>
  <c r="J48" i="10"/>
  <c r="Y36" i="21"/>
  <c r="Y53" i="21"/>
  <c r="Y61" i="21"/>
  <c r="Y78" i="21"/>
  <c r="Y136" i="21"/>
  <c r="Y153" i="21"/>
  <c r="Y11" i="21"/>
  <c r="Y86" i="21"/>
  <c r="Y103" i="21"/>
  <c r="Y111" i="21"/>
  <c r="Y128" i="21"/>
  <c r="E62" i="21"/>
  <c r="Y78" i="20"/>
  <c r="D78" i="20"/>
  <c r="Y304" i="20"/>
  <c r="D304" i="20"/>
  <c r="E63" i="21"/>
  <c r="G48" i="22"/>
  <c r="Y79" i="20"/>
  <c r="D79" i="20"/>
  <c r="Y305" i="20"/>
  <c r="D305" i="20"/>
  <c r="Y352" i="20"/>
  <c r="D352" i="20"/>
  <c r="Y126" i="20"/>
  <c r="D126" i="20"/>
  <c r="E38" i="21"/>
  <c r="G35" i="22"/>
  <c r="Y55" i="20"/>
  <c r="D55" i="20"/>
  <c r="Y281" i="20"/>
  <c r="D281" i="20"/>
  <c r="E89" i="21"/>
  <c r="G63" i="22"/>
  <c r="Y330" i="20"/>
  <c r="D330" i="20"/>
  <c r="Y104" i="20"/>
  <c r="D104" i="20"/>
  <c r="E88" i="21"/>
  <c r="G61" i="22"/>
  <c r="Y329" i="20"/>
  <c r="D329" i="20"/>
  <c r="Y103" i="20"/>
  <c r="D103" i="20"/>
  <c r="E139" i="21"/>
  <c r="G89" i="22"/>
  <c r="Y378" i="20"/>
  <c r="D378" i="20"/>
  <c r="Y152" i="20"/>
  <c r="D152" i="20"/>
  <c r="E14" i="21"/>
  <c r="G24" i="22"/>
  <c r="Y258" i="20"/>
  <c r="D258" i="20"/>
  <c r="Y32" i="20"/>
  <c r="D32" i="20"/>
  <c r="E39" i="21"/>
  <c r="G37" i="22"/>
  <c r="Y282" i="20"/>
  <c r="D282" i="20"/>
  <c r="Y56" i="20"/>
  <c r="D56" i="20"/>
  <c r="E113" i="21"/>
  <c r="G74" i="22"/>
  <c r="Y353" i="20"/>
  <c r="D353" i="20"/>
  <c r="Y127" i="20"/>
  <c r="D127" i="20"/>
  <c r="E64" i="21"/>
  <c r="G50" i="22"/>
  <c r="Y306" i="20"/>
  <c r="D306" i="20"/>
  <c r="Y80" i="20"/>
  <c r="D80" i="20"/>
  <c r="E114" i="21"/>
  <c r="G76" i="22"/>
  <c r="Y128" i="20"/>
  <c r="D128" i="20"/>
  <c r="Y354" i="20"/>
  <c r="D354" i="20"/>
  <c r="Y151" i="20"/>
  <c r="D151" i="20"/>
  <c r="Y377" i="20"/>
  <c r="D377" i="20"/>
  <c r="E87" i="21"/>
  <c r="Y328" i="20"/>
  <c r="D328" i="20"/>
  <c r="Y102" i="20"/>
  <c r="D102" i="20"/>
  <c r="Y150" i="20"/>
  <c r="D150" i="20"/>
  <c r="Y376" i="20"/>
  <c r="D376" i="20"/>
  <c r="Y280" i="20"/>
  <c r="D280" i="20"/>
  <c r="Y54" i="20"/>
  <c r="D54" i="20"/>
  <c r="Y257" i="20"/>
  <c r="D257" i="20"/>
  <c r="Y31" i="20"/>
  <c r="D31" i="20"/>
  <c r="E12" i="21"/>
  <c r="G23" i="22"/>
  <c r="Y30" i="20"/>
  <c r="D30" i="20"/>
  <c r="Y256" i="20"/>
  <c r="D256" i="20"/>
  <c r="E138" i="21"/>
  <c r="G87" i="22"/>
  <c r="D138" i="12"/>
  <c r="Y58" i="3"/>
  <c r="Z55" i="3"/>
  <c r="Z58" i="3"/>
  <c r="Z26" i="3"/>
  <c r="Y29" i="3"/>
  <c r="Y35" i="3"/>
  <c r="Y38" i="3"/>
  <c r="Y41" i="3"/>
  <c r="Y28" i="21"/>
  <c r="D38" i="12"/>
  <c r="E206" i="12"/>
  <c r="E34" i="21"/>
  <c r="E137" i="21"/>
  <c r="Y234" i="12"/>
  <c r="Y235" i="12"/>
  <c r="E9" i="21"/>
  <c r="D86" i="12"/>
  <c r="G206" i="12"/>
  <c r="E84" i="21"/>
  <c r="D18" i="12"/>
  <c r="E13" i="21"/>
  <c r="G22" i="22"/>
  <c r="D73" i="12"/>
  <c r="F213" i="12"/>
  <c r="G47" i="10"/>
  <c r="E70" i="21"/>
  <c r="D87" i="12"/>
  <c r="G207" i="12"/>
  <c r="E85" i="21"/>
  <c r="D135" i="12"/>
  <c r="I207" i="12"/>
  <c r="E135" i="21"/>
  <c r="D75" i="12"/>
  <c r="F215" i="12"/>
  <c r="G49" i="10"/>
  <c r="E72" i="21"/>
  <c r="D121" i="12"/>
  <c r="H213" i="12"/>
  <c r="I47" i="10"/>
  <c r="E120" i="21"/>
  <c r="D123" i="12"/>
  <c r="H215" i="12"/>
  <c r="I49" i="10"/>
  <c r="E122" i="21"/>
  <c r="D79" i="12"/>
  <c r="E76" i="21"/>
  <c r="D113" i="12"/>
  <c r="D117" i="12"/>
  <c r="H209" i="12"/>
  <c r="I43" i="10"/>
  <c r="E116" i="21"/>
  <c r="D23" i="12"/>
  <c r="D211" i="12"/>
  <c r="E45" i="10"/>
  <c r="E18" i="21"/>
  <c r="D74" i="12"/>
  <c r="F214" i="12"/>
  <c r="G48" i="10"/>
  <c r="E71" i="21"/>
  <c r="D93" i="12"/>
  <c r="G209" i="12"/>
  <c r="H43" i="10"/>
  <c r="E91" i="21"/>
  <c r="W345" i="20"/>
  <c r="W412" i="20"/>
  <c r="W393" i="20"/>
  <c r="W414" i="20"/>
  <c r="W405" i="20"/>
  <c r="X142" i="20"/>
  <c r="X143" i="20"/>
  <c r="X118" i="20"/>
  <c r="X166" i="12"/>
  <c r="X175" i="12"/>
  <c r="W186" i="20"/>
  <c r="W177" i="20"/>
  <c r="Y91" i="20"/>
  <c r="D91" i="20"/>
  <c r="D78" i="12"/>
  <c r="Y317" i="20"/>
  <c r="D317" i="20"/>
  <c r="Y139" i="20"/>
  <c r="D139" i="20"/>
  <c r="D126" i="12"/>
  <c r="Y365" i="20"/>
  <c r="D365" i="20"/>
  <c r="D91" i="12"/>
  <c r="Y271" i="20"/>
  <c r="D271" i="20"/>
  <c r="Y45" i="20"/>
  <c r="D45" i="20"/>
  <c r="Y292" i="20"/>
  <c r="D292" i="20"/>
  <c r="Y66" i="20"/>
  <c r="D66" i="20"/>
  <c r="D53" i="12"/>
  <c r="Y358" i="20"/>
  <c r="D358" i="20"/>
  <c r="H424" i="20"/>
  <c r="Y132" i="20"/>
  <c r="D132" i="20"/>
  <c r="H198" i="20"/>
  <c r="Y337" i="20"/>
  <c r="D337" i="20"/>
  <c r="G427" i="20"/>
  <c r="Y111" i="20"/>
  <c r="D111" i="20"/>
  <c r="G201" i="20"/>
  <c r="D98" i="12"/>
  <c r="G214" i="12"/>
  <c r="H48" i="10"/>
  <c r="Y388" i="20"/>
  <c r="D388" i="20"/>
  <c r="Y162" i="20"/>
  <c r="D162" i="20"/>
  <c r="D149" i="12"/>
  <c r="Y254" i="20"/>
  <c r="D254" i="20"/>
  <c r="D420" i="20"/>
  <c r="Y28" i="20"/>
  <c r="D28" i="20"/>
  <c r="D194" i="20"/>
  <c r="D15" i="12"/>
  <c r="D207" i="12"/>
  <c r="D90" i="12"/>
  <c r="D139" i="12"/>
  <c r="D19" i="12"/>
  <c r="Y267" i="20"/>
  <c r="D267" i="20"/>
  <c r="Y41" i="20"/>
  <c r="D41" i="20"/>
  <c r="D28" i="12"/>
  <c r="Y350" i="20"/>
  <c r="D350" i="20"/>
  <c r="H420" i="20"/>
  <c r="Y124" i="20"/>
  <c r="D124" i="20"/>
  <c r="H194" i="20"/>
  <c r="D111" i="12"/>
  <c r="H207" i="12"/>
  <c r="Y336" i="20"/>
  <c r="D336" i="20"/>
  <c r="G426" i="20"/>
  <c r="Y110" i="20"/>
  <c r="D110" i="20"/>
  <c r="G200" i="20"/>
  <c r="D97" i="12"/>
  <c r="G213" i="12"/>
  <c r="H47" i="10"/>
  <c r="D114" i="12"/>
  <c r="Y33" i="20"/>
  <c r="D33" i="20"/>
  <c r="D20" i="12"/>
  <c r="Y259" i="20"/>
  <c r="D259" i="20"/>
  <c r="Y287" i="20"/>
  <c r="D287" i="20"/>
  <c r="E425" i="20"/>
  <c r="Y61" i="20"/>
  <c r="D61" i="20"/>
  <c r="E199" i="20"/>
  <c r="D67" i="12"/>
  <c r="D115" i="12"/>
  <c r="D69" i="12"/>
  <c r="F209" i="12"/>
  <c r="G43" i="10"/>
  <c r="Y82" i="20"/>
  <c r="D82" i="20"/>
  <c r="F196" i="20"/>
  <c r="Y308" i="20"/>
  <c r="D308" i="20"/>
  <c r="F422" i="20"/>
  <c r="X70" i="20"/>
  <c r="X71" i="20"/>
  <c r="X368" i="20"/>
  <c r="W179" i="20"/>
  <c r="W188" i="20"/>
  <c r="W175" i="20"/>
  <c r="W184" i="20"/>
  <c r="X173" i="12"/>
  <c r="X164" i="12"/>
  <c r="W369" i="20"/>
  <c r="W413" i="20"/>
  <c r="W404" i="20"/>
  <c r="X320" i="20"/>
  <c r="X161" i="12"/>
  <c r="X188" i="12"/>
  <c r="Y265" i="20"/>
  <c r="D265" i="20"/>
  <c r="D427" i="20"/>
  <c r="D26" i="12"/>
  <c r="D214" i="12"/>
  <c r="E48" i="10"/>
  <c r="Y39" i="20"/>
  <c r="D39" i="20"/>
  <c r="D201" i="20"/>
  <c r="Y310" i="20"/>
  <c r="D310" i="20"/>
  <c r="F424" i="20"/>
  <c r="D71" i="12"/>
  <c r="F211" i="12"/>
  <c r="G45" i="10"/>
  <c r="Y84" i="20"/>
  <c r="D84" i="20"/>
  <c r="F198" i="20"/>
  <c r="Y135" i="20"/>
  <c r="D135" i="20"/>
  <c r="H201" i="20"/>
  <c r="Y361" i="20"/>
  <c r="D361" i="20"/>
  <c r="H427" i="20"/>
  <c r="Y38" i="20"/>
  <c r="D38" i="20"/>
  <c r="D200" i="20"/>
  <c r="D25" i="12"/>
  <c r="D213" i="12"/>
  <c r="E47" i="10"/>
  <c r="Y264" i="20"/>
  <c r="D264" i="20"/>
  <c r="D426" i="20"/>
  <c r="Y89" i="20"/>
  <c r="D89" i="20"/>
  <c r="D76" i="12"/>
  <c r="Y315" i="20"/>
  <c r="D315" i="20"/>
  <c r="Y76" i="20"/>
  <c r="D76" i="20"/>
  <c r="F194" i="20"/>
  <c r="D63" i="12"/>
  <c r="F207" i="12"/>
  <c r="Y302" i="20"/>
  <c r="D302" i="20"/>
  <c r="F420" i="20"/>
  <c r="D89" i="12"/>
  <c r="D137" i="12"/>
  <c r="Y286" i="20"/>
  <c r="D286" i="20"/>
  <c r="E424" i="20"/>
  <c r="Y60" i="20"/>
  <c r="D60" i="20"/>
  <c r="E198" i="20"/>
  <c r="Y326" i="20"/>
  <c r="D326" i="20"/>
  <c r="G420" i="20"/>
  <c r="Y100" i="20"/>
  <c r="D100" i="20"/>
  <c r="G194" i="20"/>
  <c r="Y338" i="20"/>
  <c r="D338" i="20"/>
  <c r="G428" i="20"/>
  <c r="Y112" i="20"/>
  <c r="D112" i="20"/>
  <c r="G202" i="20"/>
  <c r="Y374" i="20"/>
  <c r="D374" i="20"/>
  <c r="I420" i="20"/>
  <c r="Y148" i="20"/>
  <c r="D148" i="20"/>
  <c r="I194" i="20"/>
  <c r="Y268" i="20"/>
  <c r="D268" i="20"/>
  <c r="Y42" i="20"/>
  <c r="D42" i="20"/>
  <c r="Y263" i="20"/>
  <c r="D263" i="20"/>
  <c r="D425" i="20"/>
  <c r="Y37" i="20"/>
  <c r="D37" i="20"/>
  <c r="D199" i="20"/>
  <c r="D24" i="12"/>
  <c r="D212" i="12"/>
  <c r="E46" i="10"/>
  <c r="Y314" i="20"/>
  <c r="D314" i="20"/>
  <c r="F428" i="20"/>
  <c r="Y88" i="20"/>
  <c r="D88" i="20"/>
  <c r="F202" i="20"/>
  <c r="Y342" i="20"/>
  <c r="D342" i="20"/>
  <c r="Y116" i="20"/>
  <c r="D116" i="20"/>
  <c r="Y367" i="20"/>
  <c r="D367" i="20"/>
  <c r="Y141" i="20"/>
  <c r="D141" i="20"/>
  <c r="D128" i="12"/>
  <c r="Y379" i="20"/>
  <c r="D379" i="20"/>
  <c r="Y153" i="20"/>
  <c r="D153" i="20"/>
  <c r="D140" i="12"/>
  <c r="Y184" i="12"/>
  <c r="Y147" i="20"/>
  <c r="Y153" i="12"/>
  <c r="Y154" i="12"/>
  <c r="Y373" i="20"/>
  <c r="Y179" i="12"/>
  <c r="Y33" i="12"/>
  <c r="Y34" i="12"/>
  <c r="D14" i="12"/>
  <c r="D206" i="12"/>
  <c r="Y253" i="20"/>
  <c r="Y27" i="20"/>
  <c r="Y340" i="20"/>
  <c r="D340" i="20"/>
  <c r="Y114" i="20"/>
  <c r="D114" i="20"/>
  <c r="D101" i="12"/>
  <c r="Y115" i="20"/>
  <c r="D115" i="20"/>
  <c r="D102" i="12"/>
  <c r="Y341" i="20"/>
  <c r="D341" i="20"/>
  <c r="Y113" i="20"/>
  <c r="D113" i="20"/>
  <c r="D100" i="12"/>
  <c r="Y339" i="20"/>
  <c r="D339" i="20"/>
  <c r="Y164" i="20"/>
  <c r="D164" i="20"/>
  <c r="D151" i="12"/>
  <c r="Y390" i="20"/>
  <c r="D390" i="20"/>
  <c r="W401" i="20"/>
  <c r="W297" i="20"/>
  <c r="W410" i="20"/>
  <c r="X296" i="20"/>
  <c r="D134" i="12"/>
  <c r="I206" i="12"/>
  <c r="D33" i="12"/>
  <c r="W185" i="20"/>
  <c r="W176" i="20"/>
  <c r="D48" i="12"/>
  <c r="E212" i="12"/>
  <c r="F46" i="10"/>
  <c r="X344" i="20"/>
  <c r="X392" i="20"/>
  <c r="W273" i="20"/>
  <c r="W409" i="20"/>
  <c r="W400" i="20"/>
  <c r="W447" i="20"/>
  <c r="W448" i="20"/>
  <c r="W449" i="20"/>
  <c r="W442" i="20"/>
  <c r="X163" i="12"/>
  <c r="X172" i="12"/>
  <c r="X272" i="20"/>
  <c r="Y57" i="20"/>
  <c r="D57" i="20"/>
  <c r="D44" i="12"/>
  <c r="Y283" i="20"/>
  <c r="D283" i="20"/>
  <c r="Y161" i="20"/>
  <c r="D161" i="20"/>
  <c r="D148" i="12"/>
  <c r="Y387" i="20"/>
  <c r="D387" i="20"/>
  <c r="Y295" i="20"/>
  <c r="D295" i="20"/>
  <c r="D56" i="12"/>
  <c r="Y69" i="20"/>
  <c r="D69" i="20"/>
  <c r="Y182" i="12"/>
  <c r="Y325" i="20"/>
  <c r="Y105" i="12"/>
  <c r="Y106" i="12"/>
  <c r="Y99" i="20"/>
  <c r="D55" i="12"/>
  <c r="Y68" i="20"/>
  <c r="D68" i="20"/>
  <c r="Y294" i="20"/>
  <c r="D294" i="20"/>
  <c r="D72" i="12"/>
  <c r="F212" i="12"/>
  <c r="G46" i="10"/>
  <c r="Y311" i="20"/>
  <c r="D311" i="20"/>
  <c r="F425" i="20"/>
  <c r="Y85" i="20"/>
  <c r="D85" i="20"/>
  <c r="F199" i="20"/>
  <c r="D124" i="12"/>
  <c r="Y137" i="20"/>
  <c r="D137" i="20"/>
  <c r="Y363" i="20"/>
  <c r="D363" i="20"/>
  <c r="D152" i="12"/>
  <c r="Y165" i="20"/>
  <c r="D165" i="20"/>
  <c r="Y391" i="20"/>
  <c r="D391" i="20"/>
  <c r="D45" i="12"/>
  <c r="E209" i="12"/>
  <c r="F43" i="10"/>
  <c r="Y58" i="20"/>
  <c r="D58" i="20"/>
  <c r="E196" i="20"/>
  <c r="Y284" i="20"/>
  <c r="D284" i="20"/>
  <c r="E422" i="20"/>
  <c r="Y312" i="20"/>
  <c r="D312" i="20"/>
  <c r="F426" i="20"/>
  <c r="Y86" i="20"/>
  <c r="D86" i="20"/>
  <c r="F200" i="20"/>
  <c r="Y334" i="20"/>
  <c r="D334" i="20"/>
  <c r="G424" i="20"/>
  <c r="Y108" i="20"/>
  <c r="D108" i="20"/>
  <c r="G198" i="20"/>
  <c r="D95" i="12"/>
  <c r="G211" i="12"/>
  <c r="H45" i="10"/>
  <c r="Y183" i="12"/>
  <c r="Y123" i="20"/>
  <c r="D123" i="20"/>
  <c r="H193" i="20"/>
  <c r="I96" i="10"/>
  <c r="D110" i="12"/>
  <c r="H206" i="12"/>
  <c r="Y349" i="20"/>
  <c r="D349" i="20"/>
  <c r="H419" i="20"/>
  <c r="I108" i="10"/>
  <c r="Y129" i="12"/>
  <c r="Y130" i="12"/>
  <c r="Y270" i="20"/>
  <c r="D270" i="20"/>
  <c r="D31" i="12"/>
  <c r="Y44" i="20"/>
  <c r="D44" i="20"/>
  <c r="Y65" i="20"/>
  <c r="D65" i="20"/>
  <c r="D52" i="12"/>
  <c r="Y291" i="20"/>
  <c r="D291" i="20"/>
  <c r="Y81" i="20"/>
  <c r="D81" i="20"/>
  <c r="D68" i="12"/>
  <c r="Y307" i="20"/>
  <c r="D307" i="20"/>
  <c r="Y133" i="20"/>
  <c r="D133" i="20"/>
  <c r="H199" i="20"/>
  <c r="D120" i="12"/>
  <c r="H212" i="12"/>
  <c r="I46" i="10"/>
  <c r="Y359" i="20"/>
  <c r="D359" i="20"/>
  <c r="H425" i="20"/>
  <c r="Y160" i="20"/>
  <c r="D160" i="20"/>
  <c r="I202" i="20"/>
  <c r="D147" i="12"/>
  <c r="I215" i="12"/>
  <c r="J49" i="10"/>
  <c r="Y386" i="20"/>
  <c r="D386" i="20"/>
  <c r="I428" i="20"/>
  <c r="Y154" i="20"/>
  <c r="D154" i="20"/>
  <c r="I196" i="20"/>
  <c r="D141" i="12"/>
  <c r="I209" i="12"/>
  <c r="J43" i="10"/>
  <c r="Y380" i="20"/>
  <c r="D380" i="20"/>
  <c r="I422" i="20"/>
  <c r="Y64" i="20"/>
  <c r="D64" i="20"/>
  <c r="E202" i="20"/>
  <c r="D51" i="12"/>
  <c r="E215" i="12"/>
  <c r="F49" i="10"/>
  <c r="Y290" i="20"/>
  <c r="D290" i="20"/>
  <c r="E428" i="20"/>
  <c r="Y266" i="20"/>
  <c r="D266" i="20"/>
  <c r="D428" i="20"/>
  <c r="Y40" i="20"/>
  <c r="D40" i="20"/>
  <c r="D202" i="20"/>
  <c r="D27" i="12"/>
  <c r="D215" i="12"/>
  <c r="E49" i="10"/>
  <c r="D41" i="12"/>
  <c r="Y383" i="20"/>
  <c r="D383" i="20"/>
  <c r="I425" i="20"/>
  <c r="Y157" i="20"/>
  <c r="D157" i="20"/>
  <c r="I199" i="20"/>
  <c r="D144" i="12"/>
  <c r="I212" i="12"/>
  <c r="J46" i="10"/>
  <c r="Y335" i="20"/>
  <c r="D335" i="20"/>
  <c r="G425" i="20"/>
  <c r="Y109" i="20"/>
  <c r="D109" i="20"/>
  <c r="G199" i="20"/>
  <c r="D96" i="12"/>
  <c r="G212" i="12"/>
  <c r="H46" i="10"/>
  <c r="Y389" i="20"/>
  <c r="D389" i="20"/>
  <c r="Y163" i="20"/>
  <c r="D163" i="20"/>
  <c r="D150" i="12"/>
  <c r="D103" i="12"/>
  <c r="D119" i="12"/>
  <c r="H211" i="12"/>
  <c r="I45" i="10"/>
  <c r="W321" i="20"/>
  <c r="W411" i="20"/>
  <c r="W402" i="20"/>
  <c r="D32" i="12"/>
  <c r="Y159" i="20"/>
  <c r="D159" i="20"/>
  <c r="I201" i="20"/>
  <c r="Y385" i="20"/>
  <c r="D385" i="20"/>
  <c r="I427" i="20"/>
  <c r="D43" i="12"/>
  <c r="Y180" i="12"/>
  <c r="Y57" i="12"/>
  <c r="Y58" i="12"/>
  <c r="Y51" i="20"/>
  <c r="D51" i="20"/>
  <c r="E193" i="20"/>
  <c r="Y277" i="20"/>
  <c r="Y364" i="20"/>
  <c r="D364" i="20"/>
  <c r="Y138" i="20"/>
  <c r="D138" i="20"/>
  <c r="W221" i="20"/>
  <c r="W222" i="20"/>
  <c r="W223" i="20"/>
  <c r="W216" i="20"/>
  <c r="W174" i="20"/>
  <c r="W183" i="20"/>
  <c r="X174" i="12"/>
  <c r="X165" i="12"/>
  <c r="D17" i="12"/>
  <c r="D99" i="12"/>
  <c r="G215" i="12"/>
  <c r="H49" i="10"/>
  <c r="D122" i="12"/>
  <c r="H214" i="12"/>
  <c r="I48" i="10"/>
  <c r="X166" i="20"/>
  <c r="X167" i="20"/>
  <c r="X94" i="20"/>
  <c r="X95" i="20"/>
  <c r="X46" i="20"/>
  <c r="X47" i="20"/>
  <c r="Y293" i="20"/>
  <c r="D293" i="20"/>
  <c r="D54" i="12"/>
  <c r="Y67" i="20"/>
  <c r="D67" i="20"/>
  <c r="Y319" i="20"/>
  <c r="D319" i="20"/>
  <c r="D80" i="12"/>
  <c r="Y93" i="20"/>
  <c r="D93" i="20"/>
  <c r="Y360" i="20"/>
  <c r="D360" i="20"/>
  <c r="H426" i="20"/>
  <c r="Y134" i="20"/>
  <c r="D134" i="20"/>
  <c r="H200" i="20"/>
  <c r="Y63" i="20"/>
  <c r="D63" i="20"/>
  <c r="E201" i="20"/>
  <c r="Y289" i="20"/>
  <c r="D289" i="20"/>
  <c r="E427" i="20"/>
  <c r="D50" i="12"/>
  <c r="E214" i="12"/>
  <c r="F48" i="10"/>
  <c r="Y288" i="20"/>
  <c r="D288" i="20"/>
  <c r="E426" i="20"/>
  <c r="Y62" i="20"/>
  <c r="D62" i="20"/>
  <c r="E200" i="20"/>
  <c r="D49" i="12"/>
  <c r="E213" i="12"/>
  <c r="F47" i="10"/>
  <c r="Y278" i="20"/>
  <c r="D278" i="20"/>
  <c r="E420" i="20"/>
  <c r="D39" i="12"/>
  <c r="E207" i="12"/>
  <c r="Y52" i="20"/>
  <c r="D52" i="20"/>
  <c r="E194" i="20"/>
  <c r="Y382" i="20"/>
  <c r="D382" i="20"/>
  <c r="I424" i="20"/>
  <c r="D143" i="12"/>
  <c r="I211" i="12"/>
  <c r="J45" i="10"/>
  <c r="Y156" i="20"/>
  <c r="D156" i="20"/>
  <c r="I198" i="20"/>
  <c r="D65" i="12"/>
  <c r="Y355" i="20"/>
  <c r="D355" i="20"/>
  <c r="D116" i="12"/>
  <c r="Y129" i="20"/>
  <c r="D129" i="20"/>
  <c r="Y260" i="20"/>
  <c r="D260" i="20"/>
  <c r="D422" i="20"/>
  <c r="D21" i="12"/>
  <c r="D209" i="12"/>
  <c r="E43" i="10"/>
  <c r="Y34" i="20"/>
  <c r="D34" i="20"/>
  <c r="D196" i="20"/>
  <c r="Y181" i="12"/>
  <c r="D62" i="12"/>
  <c r="F206" i="12"/>
  <c r="Y301" i="20"/>
  <c r="Y81" i="12"/>
  <c r="Y82" i="12"/>
  <c r="Y75" i="20"/>
  <c r="Y362" i="20"/>
  <c r="D362" i="20"/>
  <c r="H428" i="20"/>
  <c r="Y136" i="20"/>
  <c r="D136" i="20"/>
  <c r="H202" i="20"/>
  <c r="Y384" i="20"/>
  <c r="D384" i="20"/>
  <c r="I426" i="20"/>
  <c r="D145" i="12"/>
  <c r="I213" i="12"/>
  <c r="J47" i="10"/>
  <c r="Y158" i="20"/>
  <c r="D158" i="20"/>
  <c r="I200" i="20"/>
  <c r="D30" i="12"/>
  <c r="Y269" i="20"/>
  <c r="D269" i="20"/>
  <c r="Y43" i="20"/>
  <c r="D43" i="20"/>
  <c r="Y318" i="20"/>
  <c r="D318" i="20"/>
  <c r="Y92" i="20"/>
  <c r="D92" i="20"/>
  <c r="D66" i="12"/>
  <c r="Y316" i="20"/>
  <c r="D316" i="20"/>
  <c r="Y90" i="20"/>
  <c r="D90" i="20"/>
  <c r="D104" i="12"/>
  <c r="Y117" i="20"/>
  <c r="D117" i="20"/>
  <c r="Y343" i="20"/>
  <c r="D343" i="20"/>
  <c r="Y356" i="20"/>
  <c r="D356" i="20"/>
  <c r="H422" i="20"/>
  <c r="Y130" i="20"/>
  <c r="D130" i="20"/>
  <c r="H196" i="20"/>
  <c r="D42" i="12"/>
  <c r="Y36" i="20"/>
  <c r="D36" i="20"/>
  <c r="D198" i="20"/>
  <c r="Y262" i="20"/>
  <c r="D262" i="20"/>
  <c r="D424" i="20"/>
  <c r="Y313" i="20"/>
  <c r="D313" i="20"/>
  <c r="F427" i="20"/>
  <c r="Y87" i="20"/>
  <c r="D87" i="20"/>
  <c r="F201" i="20"/>
  <c r="D92" i="12"/>
  <c r="Y331" i="20"/>
  <c r="D331" i="20"/>
  <c r="Y105" i="20"/>
  <c r="D105" i="20"/>
  <c r="Y366" i="20"/>
  <c r="D366" i="20"/>
  <c r="Y140" i="20"/>
  <c r="D140" i="20"/>
  <c r="D127" i="12"/>
  <c r="Y106" i="20"/>
  <c r="D106" i="20"/>
  <c r="G196" i="20"/>
  <c r="Y332" i="20"/>
  <c r="D332" i="20"/>
  <c r="G422" i="20"/>
  <c r="D47" i="12"/>
  <c r="E211" i="12"/>
  <c r="F45" i="10"/>
  <c r="W187" i="20"/>
  <c r="W178" i="20"/>
  <c r="X162" i="12"/>
  <c r="X171" i="12"/>
  <c r="D125" i="12"/>
  <c r="D29" i="12"/>
  <c r="N334" i="17"/>
  <c r="N137" i="17"/>
  <c r="N145" i="17"/>
  <c r="N147" i="17"/>
  <c r="N148" i="17"/>
  <c r="N223" i="17"/>
  <c r="N47" i="17"/>
  <c r="N55" i="17"/>
  <c r="N57" i="17"/>
  <c r="N58" i="17"/>
  <c r="O267" i="17"/>
  <c r="O78" i="17"/>
  <c r="P385" i="17"/>
  <c r="P169" i="17"/>
  <c r="P304" i="17"/>
  <c r="P108" i="17"/>
  <c r="P415" i="17"/>
  <c r="P198" i="17"/>
  <c r="Q244" i="17"/>
  <c r="Q50" i="17"/>
  <c r="X74" i="17"/>
  <c r="D63" i="17"/>
  <c r="D74" i="17"/>
  <c r="X104" i="17"/>
  <c r="D93" i="17"/>
  <c r="D104" i="17"/>
  <c r="R272" i="17"/>
  <c r="S427" i="17"/>
  <c r="S287" i="17"/>
  <c r="S289" i="17"/>
  <c r="S398" i="17"/>
  <c r="S400" i="17"/>
  <c r="R317" i="17"/>
  <c r="R319" i="17"/>
  <c r="S324" i="17"/>
  <c r="S326" i="17"/>
  <c r="X134" i="17"/>
  <c r="D123" i="17"/>
  <c r="D134" i="17"/>
  <c r="X44" i="17"/>
  <c r="D33" i="17"/>
  <c r="D44" i="17"/>
  <c r="X164" i="17"/>
  <c r="D153" i="17"/>
  <c r="D164" i="17"/>
  <c r="R242" i="17"/>
  <c r="Q413" i="17"/>
  <c r="Q311" i="17"/>
  <c r="Q109" i="17"/>
  <c r="R354" i="17"/>
  <c r="R356" i="17"/>
  <c r="R429" i="17"/>
  <c r="R200" i="17"/>
  <c r="O341" i="17"/>
  <c r="O138" i="17"/>
  <c r="O378" i="17"/>
  <c r="O168" i="17"/>
  <c r="S361" i="17"/>
  <c r="S363" i="17"/>
  <c r="P369" i="17"/>
  <c r="O407" i="17"/>
  <c r="O409" i="17"/>
  <c r="R236" i="17"/>
  <c r="R238" i="17"/>
  <c r="O259" i="17"/>
  <c r="O261" i="17"/>
  <c r="Q274" i="17"/>
  <c r="Q79" i="17"/>
  <c r="S435" i="17"/>
  <c r="S437" i="17"/>
  <c r="P339" i="17"/>
  <c r="P376" i="17"/>
  <c r="O371" i="17"/>
  <c r="O167" i="17"/>
  <c r="P229" i="17"/>
  <c r="P231" i="17"/>
  <c r="S250" i="17"/>
  <c r="S252" i="17"/>
  <c r="Q421" i="17"/>
  <c r="Q423" i="17"/>
  <c r="X194" i="17"/>
  <c r="D183" i="17"/>
  <c r="D194" i="17"/>
  <c r="R280" i="17"/>
  <c r="R282" i="17"/>
  <c r="R347" i="17"/>
  <c r="R349" i="17"/>
  <c r="O332" i="17"/>
  <c r="R309" i="17"/>
  <c r="O221" i="17"/>
  <c r="P265" i="17"/>
  <c r="S391" i="17"/>
  <c r="S393" i="17"/>
  <c r="O296" i="17"/>
  <c r="O298" i="17"/>
  <c r="Q383" i="17"/>
  <c r="Q302" i="17"/>
  <c r="Z153" i="12"/>
  <c r="Z154" i="12"/>
  <c r="G92" i="22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/>
  <c r="Z29" i="3"/>
  <c r="Z35" i="3"/>
  <c r="Z38" i="3"/>
  <c r="Z41" i="3"/>
  <c r="Z161" i="12"/>
  <c r="Z188" i="12"/>
  <c r="Z236" i="12"/>
  <c r="Z237" i="12"/>
  <c r="Z229" i="12"/>
  <c r="Z170" i="12"/>
  <c r="Z192" i="12"/>
  <c r="Z163" i="12"/>
  <c r="Z172" i="12"/>
  <c r="Z174" i="12"/>
  <c r="Z165" i="12"/>
  <c r="Z164" i="12"/>
  <c r="Z173" i="12"/>
  <c r="Z166" i="12"/>
  <c r="Z175" i="12"/>
  <c r="Z171" i="12"/>
  <c r="Z162" i="12"/>
  <c r="D153" i="12"/>
  <c r="Y236" i="12"/>
  <c r="Y237" i="12"/>
  <c r="Y229" i="12"/>
  <c r="Z86" i="21"/>
  <c r="Z103" i="21"/>
  <c r="Z61" i="21"/>
  <c r="Z78" i="21"/>
  <c r="Z36" i="21"/>
  <c r="Z53" i="21"/>
  <c r="E37" i="21"/>
  <c r="E36" i="21"/>
  <c r="F10" i="22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/>
  <c r="O175" i="17"/>
  <c r="O177" i="17"/>
  <c r="O178" i="17"/>
  <c r="D216" i="12"/>
  <c r="E50" i="10"/>
  <c r="F41" i="10"/>
  <c r="G41" i="10"/>
  <c r="I41" i="10"/>
  <c r="H41" i="10"/>
  <c r="H40" i="10"/>
  <c r="G40" i="10"/>
  <c r="J40" i="10"/>
  <c r="G64" i="22"/>
  <c r="E86" i="21"/>
  <c r="H10" i="22"/>
  <c r="G62" i="22"/>
  <c r="J41" i="10"/>
  <c r="F40" i="10"/>
  <c r="I40" i="10"/>
  <c r="E40" i="10"/>
  <c r="E41" i="10"/>
  <c r="G77" i="22"/>
  <c r="E61" i="21"/>
  <c r="G10" i="22"/>
  <c r="G49" i="22"/>
  <c r="E136" i="21"/>
  <c r="J10" i="22"/>
  <c r="G88" i="22"/>
  <c r="Z11" i="21"/>
  <c r="Z28" i="21"/>
  <c r="Z111" i="21"/>
  <c r="Z128" i="21"/>
  <c r="E112" i="21"/>
  <c r="E11" i="21"/>
  <c r="E10" i="22"/>
  <c r="E203" i="20"/>
  <c r="H216" i="12"/>
  <c r="I50" i="10"/>
  <c r="G421" i="20"/>
  <c r="D208" i="12"/>
  <c r="E42" i="10"/>
  <c r="E429" i="20"/>
  <c r="H429" i="20"/>
  <c r="X187" i="20"/>
  <c r="X178" i="20"/>
  <c r="H195" i="20"/>
  <c r="F195" i="20"/>
  <c r="X177" i="20"/>
  <c r="G203" i="20"/>
  <c r="H208" i="12"/>
  <c r="I42" i="10"/>
  <c r="F96" i="10"/>
  <c r="Y94" i="20"/>
  <c r="Y95" i="20"/>
  <c r="D75" i="20"/>
  <c r="F193" i="20"/>
  <c r="X179" i="20"/>
  <c r="X188" i="20"/>
  <c r="Y171" i="12"/>
  <c r="Y162" i="12"/>
  <c r="D57" i="12"/>
  <c r="E208" i="12"/>
  <c r="I429" i="20"/>
  <c r="X405" i="20"/>
  <c r="X393" i="20"/>
  <c r="X414" i="20"/>
  <c r="X401" i="20"/>
  <c r="X297" i="20"/>
  <c r="X410" i="20"/>
  <c r="Y272" i="20"/>
  <c r="D253" i="20"/>
  <c r="D419" i="20"/>
  <c r="D373" i="20"/>
  <c r="I419" i="20"/>
  <c r="Y392" i="20"/>
  <c r="I208" i="12"/>
  <c r="G195" i="20"/>
  <c r="F429" i="20"/>
  <c r="X321" i="20"/>
  <c r="X411" i="20"/>
  <c r="X402" i="20"/>
  <c r="D429" i="20"/>
  <c r="H421" i="20"/>
  <c r="D81" i="12"/>
  <c r="Y163" i="12"/>
  <c r="F421" i="20"/>
  <c r="D421" i="20"/>
  <c r="E195" i="20"/>
  <c r="E216" i="12"/>
  <c r="F50" i="10"/>
  <c r="Y142" i="20"/>
  <c r="Y143" i="20"/>
  <c r="H203" i="20"/>
  <c r="Y118" i="20"/>
  <c r="Y119" i="20"/>
  <c r="D99" i="20"/>
  <c r="G193" i="20"/>
  <c r="I216" i="12"/>
  <c r="J50" i="10"/>
  <c r="X403" i="20"/>
  <c r="X345" i="20"/>
  <c r="X412" i="20"/>
  <c r="Y166" i="12"/>
  <c r="I195" i="20"/>
  <c r="F216" i="12"/>
  <c r="G50" i="10"/>
  <c r="X404" i="20"/>
  <c r="X369" i="20"/>
  <c r="X413" i="20"/>
  <c r="Y320" i="20"/>
  <c r="X221" i="20"/>
  <c r="X222" i="20"/>
  <c r="X223" i="20"/>
  <c r="X216" i="20"/>
  <c r="X183" i="20"/>
  <c r="X174" i="20"/>
  <c r="D301" i="20"/>
  <c r="F419" i="20"/>
  <c r="Y296" i="20"/>
  <c r="D195" i="20"/>
  <c r="D129" i="12"/>
  <c r="Y165" i="12"/>
  <c r="Y164" i="12"/>
  <c r="I203" i="20"/>
  <c r="X447" i="20"/>
  <c r="X448" i="20"/>
  <c r="X449" i="20"/>
  <c r="X442" i="20"/>
  <c r="X400" i="20"/>
  <c r="X273" i="20"/>
  <c r="X409" i="20"/>
  <c r="D105" i="12"/>
  <c r="G429" i="20"/>
  <c r="Y161" i="12"/>
  <c r="Y188" i="12"/>
  <c r="Y166" i="20"/>
  <c r="Y167" i="20"/>
  <c r="D147" i="20"/>
  <c r="I193" i="20"/>
  <c r="F203" i="20"/>
  <c r="X184" i="20"/>
  <c r="X175" i="20"/>
  <c r="F208" i="12"/>
  <c r="G42" i="10"/>
  <c r="X185" i="20"/>
  <c r="X176" i="20"/>
  <c r="Y70" i="20"/>
  <c r="Y71" i="20"/>
  <c r="E421" i="20"/>
  <c r="Y368" i="20"/>
  <c r="Y344" i="20"/>
  <c r="D325" i="20"/>
  <c r="G419" i="20"/>
  <c r="D277" i="20"/>
  <c r="E419" i="20"/>
  <c r="G216" i="12"/>
  <c r="H50" i="10"/>
  <c r="Y46" i="20"/>
  <c r="D27" i="20"/>
  <c r="D193" i="20"/>
  <c r="I421" i="20"/>
  <c r="G208" i="12"/>
  <c r="D203" i="20"/>
  <c r="O260" i="17"/>
  <c r="O77" i="17"/>
  <c r="O85" i="17"/>
  <c r="O87" i="17"/>
  <c r="O88" i="17"/>
  <c r="S399" i="17"/>
  <c r="S171" i="17"/>
  <c r="R348" i="17"/>
  <c r="R139" i="17"/>
  <c r="S251" i="17"/>
  <c r="S51" i="17"/>
  <c r="S436" i="17"/>
  <c r="S201" i="17"/>
  <c r="S362" i="17"/>
  <c r="S141" i="17"/>
  <c r="R355" i="17"/>
  <c r="R140" i="17"/>
  <c r="R237" i="17"/>
  <c r="R49" i="17"/>
  <c r="O297" i="17"/>
  <c r="O107" i="17"/>
  <c r="O115" i="17"/>
  <c r="O117" i="17"/>
  <c r="O118" i="17"/>
  <c r="S325" i="17"/>
  <c r="S111" i="17"/>
  <c r="Q414" i="17"/>
  <c r="Q416" i="17"/>
  <c r="Q384" i="17"/>
  <c r="Q386" i="17"/>
  <c r="T390" i="17"/>
  <c r="P266" i="17"/>
  <c r="P268" i="17"/>
  <c r="O222" i="17"/>
  <c r="O224" i="17"/>
  <c r="R281" i="17"/>
  <c r="R80" i="17"/>
  <c r="T249" i="17"/>
  <c r="P230" i="17"/>
  <c r="P48" i="17"/>
  <c r="P377" i="17"/>
  <c r="P379" i="17"/>
  <c r="T434" i="17"/>
  <c r="P370" i="17"/>
  <c r="P372" i="17"/>
  <c r="R243" i="17"/>
  <c r="R245" i="17"/>
  <c r="T323" i="17"/>
  <c r="T286" i="17"/>
  <c r="R273" i="17"/>
  <c r="R275" i="17"/>
  <c r="R310" i="17"/>
  <c r="R312" i="17"/>
  <c r="P406" i="17"/>
  <c r="O333" i="17"/>
  <c r="O335" i="17"/>
  <c r="S316" i="17"/>
  <c r="T397" i="17"/>
  <c r="P295" i="17"/>
  <c r="S279" i="17"/>
  <c r="R420" i="17"/>
  <c r="Q228" i="17"/>
  <c r="P258" i="17"/>
  <c r="Q303" i="17"/>
  <c r="Q305" i="17"/>
  <c r="S392" i="17"/>
  <c r="S170" i="17"/>
  <c r="S346" i="17"/>
  <c r="Q422" i="17"/>
  <c r="Q199" i="17"/>
  <c r="P340" i="17"/>
  <c r="P342" i="17"/>
  <c r="S235" i="17"/>
  <c r="O408" i="17"/>
  <c r="O197" i="17"/>
  <c r="O205" i="17"/>
  <c r="O207" i="17"/>
  <c r="O208" i="17"/>
  <c r="T360" i="17"/>
  <c r="S353" i="17"/>
  <c r="R318" i="17"/>
  <c r="R110" i="17"/>
  <c r="S288" i="17"/>
  <c r="S81" i="17"/>
  <c r="S428" i="17"/>
  <c r="S430" i="17"/>
  <c r="D46" i="20"/>
  <c r="Y47" i="20"/>
  <c r="Y183" i="20"/>
  <c r="G109" i="10"/>
  <c r="G36" i="22"/>
  <c r="E103" i="21"/>
  <c r="E53" i="21"/>
  <c r="E153" i="21"/>
  <c r="E78" i="21"/>
  <c r="E111" i="21"/>
  <c r="G75" i="22"/>
  <c r="E28" i="21"/>
  <c r="F97" i="10"/>
  <c r="F98" i="10"/>
  <c r="G97" i="10"/>
  <c r="H97" i="10"/>
  <c r="I97" i="10"/>
  <c r="I98" i="10"/>
  <c r="H109" i="10"/>
  <c r="H217" i="12"/>
  <c r="I51" i="10"/>
  <c r="J97" i="10"/>
  <c r="H204" i="20"/>
  <c r="E109" i="10"/>
  <c r="F109" i="10"/>
  <c r="D217" i="12"/>
  <c r="E51" i="10"/>
  <c r="Y345" i="20"/>
  <c r="Y412" i="20"/>
  <c r="Y403" i="20"/>
  <c r="D344" i="20"/>
  <c r="J96" i="10"/>
  <c r="I204" i="20"/>
  <c r="E97" i="10"/>
  <c r="Y400" i="20"/>
  <c r="D272" i="20"/>
  <c r="Y273" i="20"/>
  <c r="Y447" i="20"/>
  <c r="Y448" i="20"/>
  <c r="Y449" i="20"/>
  <c r="Y442" i="20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/>
  <c r="Y223" i="20"/>
  <c r="Y216" i="20"/>
  <c r="Y177" i="20"/>
  <c r="D118" i="20"/>
  <c r="Y172" i="12"/>
  <c r="D82" i="12"/>
  <c r="J42" i="10"/>
  <c r="I217" i="12"/>
  <c r="H42" i="10"/>
  <c r="G217" i="12"/>
  <c r="H51" i="10"/>
  <c r="Y179" i="20"/>
  <c r="Y174" i="12"/>
  <c r="D130" i="12"/>
  <c r="Y401" i="20"/>
  <c r="Y297" i="20"/>
  <c r="Y410" i="20"/>
  <c r="E204" i="20"/>
  <c r="J109" i="10"/>
  <c r="E430" i="20"/>
  <c r="F108" i="10"/>
  <c r="D296" i="20"/>
  <c r="Y321" i="20"/>
  <c r="Y411" i="20"/>
  <c r="D320" i="20"/>
  <c r="Y402" i="20"/>
  <c r="D142" i="20"/>
  <c r="Y178" i="20"/>
  <c r="I109" i="10"/>
  <c r="I110" i="10"/>
  <c r="H430" i="20"/>
  <c r="F42" i="10"/>
  <c r="E217" i="12"/>
  <c r="E96" i="10"/>
  <c r="D204" i="20"/>
  <c r="G430" i="20"/>
  <c r="H108" i="10"/>
  <c r="Y175" i="20"/>
  <c r="D70" i="20"/>
  <c r="D58" i="12"/>
  <c r="Y170" i="12"/>
  <c r="Y192" i="12"/>
  <c r="D34" i="12"/>
  <c r="Y173" i="12"/>
  <c r="D106" i="12"/>
  <c r="D166" i="20"/>
  <c r="D154" i="12"/>
  <c r="Y175" i="12"/>
  <c r="G204" i="20"/>
  <c r="H96" i="10"/>
  <c r="E108" i="10"/>
  <c r="D430" i="20"/>
  <c r="O334" i="17"/>
  <c r="O137" i="17"/>
  <c r="O145" i="17"/>
  <c r="O147" i="17"/>
  <c r="O148" i="17"/>
  <c r="R244" i="17"/>
  <c r="R50" i="17"/>
  <c r="P341" i="17"/>
  <c r="P138" i="17"/>
  <c r="O223" i="17"/>
  <c r="O47" i="17"/>
  <c r="O55" i="17"/>
  <c r="O57" i="17"/>
  <c r="O58" i="17"/>
  <c r="Q385" i="17"/>
  <c r="Q169" i="17"/>
  <c r="R274" i="17"/>
  <c r="R79" i="17"/>
  <c r="R311" i="17"/>
  <c r="R109" i="17"/>
  <c r="Q415" i="17"/>
  <c r="Q198" i="17"/>
  <c r="Q304" i="17"/>
  <c r="Q108" i="17"/>
  <c r="P371" i="17"/>
  <c r="P167" i="17"/>
  <c r="Q265" i="17"/>
  <c r="R302" i="17"/>
  <c r="Q229" i="17"/>
  <c r="Q231" i="17"/>
  <c r="P296" i="17"/>
  <c r="P298" i="17"/>
  <c r="P407" i="17"/>
  <c r="P409" i="17"/>
  <c r="T324" i="17"/>
  <c r="T326" i="17"/>
  <c r="Q376" i="17"/>
  <c r="T391" i="17"/>
  <c r="T393" i="17"/>
  <c r="R383" i="17"/>
  <c r="Q339" i="17"/>
  <c r="T398" i="17"/>
  <c r="T400" i="17"/>
  <c r="S429" i="17"/>
  <c r="S200" i="17"/>
  <c r="T361" i="17"/>
  <c r="T363" i="17"/>
  <c r="S347" i="17"/>
  <c r="S349" i="17"/>
  <c r="T435" i="17"/>
  <c r="T437" i="17"/>
  <c r="P378" i="17"/>
  <c r="P168" i="17"/>
  <c r="S354" i="17"/>
  <c r="S356" i="17"/>
  <c r="S236" i="17"/>
  <c r="S238" i="17"/>
  <c r="S280" i="17"/>
  <c r="S282" i="17"/>
  <c r="T427" i="17"/>
  <c r="P259" i="17"/>
  <c r="P261" i="17"/>
  <c r="R421" i="17"/>
  <c r="R423" i="17"/>
  <c r="S317" i="17"/>
  <c r="S319" i="17"/>
  <c r="P332" i="17"/>
  <c r="S309" i="17"/>
  <c r="S272" i="17"/>
  <c r="T287" i="17"/>
  <c r="T289" i="17"/>
  <c r="S242" i="17"/>
  <c r="Q369" i="17"/>
  <c r="T250" i="17"/>
  <c r="T252" i="17"/>
  <c r="P221" i="17"/>
  <c r="P267" i="17"/>
  <c r="P78" i="17"/>
  <c r="R413" i="17"/>
  <c r="G110" i="10"/>
  <c r="H219" i="12"/>
  <c r="I53" i="10"/>
  <c r="D345" i="20"/>
  <c r="G432" i="20"/>
  <c r="H114" i="10"/>
  <c r="P175" i="17"/>
  <c r="P177" i="17"/>
  <c r="P178" i="17"/>
  <c r="E128" i="21"/>
  <c r="I10" i="22"/>
  <c r="G98" i="10"/>
  <c r="J98" i="10"/>
  <c r="H98" i="10"/>
  <c r="D297" i="20"/>
  <c r="E432" i="20"/>
  <c r="F114" i="10"/>
  <c r="H110" i="10"/>
  <c r="F110" i="10"/>
  <c r="D219" i="12"/>
  <c r="E13" i="22"/>
  <c r="E98" i="10"/>
  <c r="D47" i="20"/>
  <c r="D206" i="20"/>
  <c r="E110" i="10"/>
  <c r="J110" i="10"/>
  <c r="D321" i="20"/>
  <c r="F432" i="20"/>
  <c r="G114" i="10"/>
  <c r="Y184" i="20"/>
  <c r="D71" i="20"/>
  <c r="E206" i="20"/>
  <c r="F102" i="10"/>
  <c r="Y413" i="20"/>
  <c r="D369" i="20"/>
  <c r="H432" i="20"/>
  <c r="I114" i="10"/>
  <c r="F51" i="10"/>
  <c r="E219" i="12"/>
  <c r="Y186" i="20"/>
  <c r="D119" i="20"/>
  <c r="G206" i="20"/>
  <c r="H102" i="10"/>
  <c r="G219" i="12"/>
  <c r="D95" i="20"/>
  <c r="F206" i="20"/>
  <c r="G102" i="10"/>
  <c r="D143" i="20"/>
  <c r="H206" i="20"/>
  <c r="I102" i="10"/>
  <c r="Y187" i="20"/>
  <c r="Y188" i="20"/>
  <c r="D167" i="20"/>
  <c r="I206" i="20"/>
  <c r="J102" i="10"/>
  <c r="I219" i="12"/>
  <c r="J51" i="10"/>
  <c r="F219" i="12"/>
  <c r="G51" i="10"/>
  <c r="Y409" i="20"/>
  <c r="D273" i="20"/>
  <c r="D432" i="20"/>
  <c r="Y414" i="20"/>
  <c r="D393" i="20"/>
  <c r="I432" i="20"/>
  <c r="J114" i="10"/>
  <c r="P297" i="17"/>
  <c r="P107" i="17"/>
  <c r="P115" i="17"/>
  <c r="P117" i="17"/>
  <c r="P118" i="17"/>
  <c r="P260" i="17"/>
  <c r="P77" i="17"/>
  <c r="P85" i="17"/>
  <c r="P87" i="17"/>
  <c r="P88" i="17"/>
  <c r="S318" i="17"/>
  <c r="S110" i="17"/>
  <c r="T288" i="17"/>
  <c r="T81" i="17"/>
  <c r="R422" i="17"/>
  <c r="R199" i="17"/>
  <c r="T399" i="17"/>
  <c r="T171" i="17"/>
  <c r="T353" i="17"/>
  <c r="U360" i="17"/>
  <c r="P222" i="17"/>
  <c r="P224" i="17"/>
  <c r="U249" i="17"/>
  <c r="S273" i="17"/>
  <c r="S275" i="17"/>
  <c r="P333" i="17"/>
  <c r="P335" i="17"/>
  <c r="T235" i="17"/>
  <c r="T346" i="17"/>
  <c r="U397" i="17"/>
  <c r="R384" i="17"/>
  <c r="R386" i="17"/>
  <c r="T392" i="17"/>
  <c r="T170" i="17"/>
  <c r="T325" i="17"/>
  <c r="T111" i="17"/>
  <c r="Q230" i="17"/>
  <c r="Q48" i="17"/>
  <c r="S243" i="17"/>
  <c r="S245" i="17"/>
  <c r="Q406" i="17"/>
  <c r="R303" i="17"/>
  <c r="R305" i="17"/>
  <c r="R414" i="17"/>
  <c r="R416" i="17"/>
  <c r="Q370" i="17"/>
  <c r="Q372" i="17"/>
  <c r="U286" i="17"/>
  <c r="S420" i="17"/>
  <c r="S281" i="17"/>
  <c r="S80" i="17"/>
  <c r="S355" i="17"/>
  <c r="S140" i="17"/>
  <c r="T436" i="17"/>
  <c r="T201" i="17"/>
  <c r="S348" i="17"/>
  <c r="S139" i="17"/>
  <c r="T362" i="17"/>
  <c r="T141" i="17"/>
  <c r="Q377" i="17"/>
  <c r="Q379" i="17"/>
  <c r="Q295" i="17"/>
  <c r="Q266" i="17"/>
  <c r="Q268" i="17"/>
  <c r="T428" i="17"/>
  <c r="T430" i="17"/>
  <c r="T279" i="17"/>
  <c r="U323" i="17"/>
  <c r="T251" i="17"/>
  <c r="T51" i="17"/>
  <c r="S310" i="17"/>
  <c r="S312" i="17"/>
  <c r="T316" i="17"/>
  <c r="Q258" i="17"/>
  <c r="S237" i="17"/>
  <c r="S49" i="17"/>
  <c r="U434" i="17"/>
  <c r="Q340" i="17"/>
  <c r="Q342" i="17"/>
  <c r="U390" i="17"/>
  <c r="P408" i="17"/>
  <c r="P197" i="17"/>
  <c r="P205" i="17"/>
  <c r="P207" i="17"/>
  <c r="P208" i="17"/>
  <c r="R228" i="17"/>
  <c r="I13" i="22"/>
  <c r="G53" i="10"/>
  <c r="G13" i="22"/>
  <c r="H53" i="10"/>
  <c r="H13" i="22"/>
  <c r="J53" i="10"/>
  <c r="J13" i="22"/>
  <c r="F53" i="10"/>
  <c r="F13" i="22"/>
  <c r="E53" i="10"/>
  <c r="E114" i="10"/>
  <c r="F115" i="10"/>
  <c r="D434" i="20"/>
  <c r="D435" i="20"/>
  <c r="E102" i="10"/>
  <c r="D208" i="20"/>
  <c r="D209" i="20"/>
  <c r="D221" i="12"/>
  <c r="Q371" i="17"/>
  <c r="Q167" i="17"/>
  <c r="S311" i="17"/>
  <c r="S109" i="17"/>
  <c r="P334" i="17"/>
  <c r="P137" i="17"/>
  <c r="P145" i="17"/>
  <c r="P147" i="17"/>
  <c r="P148" i="17"/>
  <c r="R385" i="17"/>
  <c r="R169" i="17"/>
  <c r="P223" i="17"/>
  <c r="P47" i="17"/>
  <c r="P55" i="17"/>
  <c r="P57" i="17"/>
  <c r="P58" i="17"/>
  <c r="R415" i="17"/>
  <c r="R198" i="17"/>
  <c r="R265" i="17"/>
  <c r="T242" i="17"/>
  <c r="U391" i="17"/>
  <c r="U393" i="17"/>
  <c r="T317" i="17"/>
  <c r="T319" i="17"/>
  <c r="T280" i="17"/>
  <c r="T282" i="17"/>
  <c r="T429" i="17"/>
  <c r="T200" i="17"/>
  <c r="Q296" i="17"/>
  <c r="Q298" i="17"/>
  <c r="Q378" i="17"/>
  <c r="Q168" i="17"/>
  <c r="U287" i="17"/>
  <c r="U289" i="17"/>
  <c r="R304" i="17"/>
  <c r="R108" i="17"/>
  <c r="S244" i="17"/>
  <c r="S50" i="17"/>
  <c r="U398" i="17"/>
  <c r="U400" i="17"/>
  <c r="Q332" i="17"/>
  <c r="Q407" i="17"/>
  <c r="Q409" i="17"/>
  <c r="T272" i="17"/>
  <c r="R229" i="17"/>
  <c r="R231" i="17"/>
  <c r="U435" i="17"/>
  <c r="U437" i="17"/>
  <c r="Q267" i="17"/>
  <c r="Q78" i="17"/>
  <c r="S302" i="17"/>
  <c r="S383" i="17"/>
  <c r="S274" i="17"/>
  <c r="S79" i="17"/>
  <c r="T354" i="17"/>
  <c r="T356" i="17"/>
  <c r="R339" i="17"/>
  <c r="U427" i="17"/>
  <c r="R376" i="17"/>
  <c r="U361" i="17"/>
  <c r="U363" i="17"/>
  <c r="Q341" i="17"/>
  <c r="Q138" i="17"/>
  <c r="Q259" i="17"/>
  <c r="Q261" i="17"/>
  <c r="T309" i="17"/>
  <c r="U324" i="17"/>
  <c r="U326" i="17"/>
  <c r="S421" i="17"/>
  <c r="S423" i="17"/>
  <c r="R369" i="17"/>
  <c r="S413" i="17"/>
  <c r="T347" i="17"/>
  <c r="T349" i="17"/>
  <c r="T236" i="17"/>
  <c r="T238" i="17"/>
  <c r="U250" i="17"/>
  <c r="U252" i="17"/>
  <c r="Q221" i="17"/>
  <c r="Q175" i="17"/>
  <c r="Q177" i="17"/>
  <c r="Q178" i="17"/>
  <c r="J54" i="10"/>
  <c r="I54" i="10"/>
  <c r="H115" i="10"/>
  <c r="H54" i="10"/>
  <c r="G54" i="10"/>
  <c r="E54" i="10"/>
  <c r="F54" i="10"/>
  <c r="I15" i="22"/>
  <c r="J15" i="22"/>
  <c r="D218" i="20"/>
  <c r="D225" i="20"/>
  <c r="B225" i="20"/>
  <c r="D217" i="20"/>
  <c r="D222" i="12"/>
  <c r="B35" i="24"/>
  <c r="E36" i="10"/>
  <c r="F87" i="10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/>
  <c r="U251" i="17"/>
  <c r="U51" i="17"/>
  <c r="U392" i="17"/>
  <c r="U170" i="17"/>
  <c r="Q297" i="17"/>
  <c r="Q107" i="17"/>
  <c r="Q115" i="17"/>
  <c r="Q117" i="17"/>
  <c r="Q118" i="17"/>
  <c r="T281" i="17"/>
  <c r="T80" i="17"/>
  <c r="T318" i="17"/>
  <c r="T110" i="17"/>
  <c r="U362" i="17"/>
  <c r="U141" i="17"/>
  <c r="T348" i="17"/>
  <c r="T139" i="17"/>
  <c r="T355" i="17"/>
  <c r="T140" i="17"/>
  <c r="Q408" i="17"/>
  <c r="Q197" i="17"/>
  <c r="Q205" i="17"/>
  <c r="Q207" i="17"/>
  <c r="Q208" i="17"/>
  <c r="R377" i="17"/>
  <c r="R379" i="17"/>
  <c r="Q222" i="17"/>
  <c r="Q224" i="17"/>
  <c r="U346" i="17"/>
  <c r="S422" i="17"/>
  <c r="S199" i="17"/>
  <c r="V360" i="17"/>
  <c r="U428" i="17"/>
  <c r="U430" i="17"/>
  <c r="U353" i="17"/>
  <c r="S384" i="17"/>
  <c r="S386" i="17"/>
  <c r="R230" i="17"/>
  <c r="R48" i="17"/>
  <c r="U288" i="17"/>
  <c r="U81" i="17"/>
  <c r="R295" i="17"/>
  <c r="U279" i="17"/>
  <c r="U316" i="17"/>
  <c r="T243" i="17"/>
  <c r="T245" i="17"/>
  <c r="R340" i="17"/>
  <c r="R342" i="17"/>
  <c r="S303" i="17"/>
  <c r="S305" i="17"/>
  <c r="S228" i="17"/>
  <c r="V397" i="17"/>
  <c r="R266" i="17"/>
  <c r="R268" i="17"/>
  <c r="U235" i="17"/>
  <c r="R370" i="17"/>
  <c r="R372" i="17"/>
  <c r="T310" i="17"/>
  <c r="T312" i="17"/>
  <c r="R258" i="17"/>
  <c r="U436" i="17"/>
  <c r="U201" i="17"/>
  <c r="R406" i="17"/>
  <c r="V390" i="17"/>
  <c r="V434" i="17"/>
  <c r="Q333" i="17"/>
  <c r="Q335" i="17"/>
  <c r="V249" i="17"/>
  <c r="T237" i="17"/>
  <c r="T49" i="17"/>
  <c r="S414" i="17"/>
  <c r="S416" i="17"/>
  <c r="T420" i="17"/>
  <c r="V323" i="17"/>
  <c r="Q260" i="17"/>
  <c r="Q77" i="17"/>
  <c r="Q85" i="17"/>
  <c r="Q87" i="17"/>
  <c r="Q88" i="17"/>
  <c r="T273" i="17"/>
  <c r="T275" i="17"/>
  <c r="U399" i="17"/>
  <c r="U171" i="17"/>
  <c r="V286" i="17"/>
  <c r="E15" i="22"/>
  <c r="G15" i="22"/>
  <c r="H15" i="22"/>
  <c r="F15" i="22"/>
  <c r="I44" i="24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/>
  <c r="Y94" i="24"/>
  <c r="H47" i="24"/>
  <c r="L47" i="24"/>
  <c r="P47" i="24"/>
  <c r="T47" i="24"/>
  <c r="X47" i="24"/>
  <c r="Y71" i="24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/>
  <c r="Y98" i="24"/>
  <c r="H51" i="24"/>
  <c r="L51" i="24"/>
  <c r="P51" i="24"/>
  <c r="T51" i="24"/>
  <c r="X51" i="24"/>
  <c r="Y75" i="24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/>
  <c r="Y102" i="24"/>
  <c r="H55" i="24"/>
  <c r="L55" i="24"/>
  <c r="P55" i="24"/>
  <c r="T55" i="24"/>
  <c r="X55" i="24"/>
  <c r="Y79" i="24"/>
  <c r="F53" i="24"/>
  <c r="F49" i="24"/>
  <c r="F45" i="24"/>
  <c r="K43" i="24"/>
  <c r="O43" i="24"/>
  <c r="P67" i="24"/>
  <c r="R91" i="24"/>
  <c r="S43" i="24"/>
  <c r="W43" i="24"/>
  <c r="I40" i="24"/>
  <c r="M40" i="24"/>
  <c r="N64" i="24"/>
  <c r="P88" i="24"/>
  <c r="Q40" i="24"/>
  <c r="U40" i="24"/>
  <c r="Y40" i="24"/>
  <c r="L41" i="24"/>
  <c r="P41" i="24"/>
  <c r="T41" i="24"/>
  <c r="X41" i="24"/>
  <c r="K42" i="24"/>
  <c r="O42" i="24"/>
  <c r="P66" i="24"/>
  <c r="R90" i="24"/>
  <c r="S42" i="24"/>
  <c r="W42" i="24"/>
  <c r="H41" i="24"/>
  <c r="I38" i="24"/>
  <c r="M38" i="24"/>
  <c r="Q38" i="24"/>
  <c r="U38" i="24"/>
  <c r="Y38" i="24"/>
  <c r="L44" i="24"/>
  <c r="X44" i="24"/>
  <c r="Y68" i="24"/>
  <c r="J44" i="24"/>
  <c r="N44" i="24"/>
  <c r="R44" i="24"/>
  <c r="V44" i="24"/>
  <c r="G45" i="24"/>
  <c r="K45" i="24"/>
  <c r="O45" i="24"/>
  <c r="S45" i="24"/>
  <c r="W45" i="24"/>
  <c r="X69" i="24"/>
  <c r="Y93" i="24"/>
  <c r="H46" i="24"/>
  <c r="L46" i="24"/>
  <c r="P46" i="24"/>
  <c r="T46" i="24"/>
  <c r="X46" i="24"/>
  <c r="Y70" i="24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/>
  <c r="Y97" i="24"/>
  <c r="H50" i="24"/>
  <c r="L50" i="24"/>
  <c r="P50" i="24"/>
  <c r="T50" i="24"/>
  <c r="X50" i="24"/>
  <c r="Y74" i="24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/>
  <c r="Y101" i="24"/>
  <c r="H54" i="24"/>
  <c r="L54" i="24"/>
  <c r="P54" i="24"/>
  <c r="T54" i="24"/>
  <c r="X54" i="24"/>
  <c r="Y78" i="24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/>
  <c r="Q88" i="24"/>
  <c r="R40" i="24"/>
  <c r="V40" i="24"/>
  <c r="I41" i="24"/>
  <c r="M41" i="24"/>
  <c r="N65" i="24"/>
  <c r="P89" i="24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/>
  <c r="Y92" i="24"/>
  <c r="H45" i="24"/>
  <c r="L45" i="24"/>
  <c r="P45" i="24"/>
  <c r="T45" i="24"/>
  <c r="X45" i="24"/>
  <c r="Y69" i="24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/>
  <c r="Y96" i="24"/>
  <c r="H49" i="24"/>
  <c r="L49" i="24"/>
  <c r="P49" i="24"/>
  <c r="T49" i="24"/>
  <c r="X49" i="24"/>
  <c r="Y73" i="24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/>
  <c r="Y100" i="24"/>
  <c r="H53" i="24"/>
  <c r="L53" i="24"/>
  <c r="P53" i="24"/>
  <c r="T53" i="24"/>
  <c r="X53" i="24"/>
  <c r="Y77" i="24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/>
  <c r="P91" i="24"/>
  <c r="Q43" i="24"/>
  <c r="U43" i="24"/>
  <c r="Y43" i="24"/>
  <c r="K40" i="24"/>
  <c r="O40" i="24"/>
  <c r="P64" i="24"/>
  <c r="R88" i="24"/>
  <c r="S40" i="24"/>
  <c r="W40" i="24"/>
  <c r="J41" i="24"/>
  <c r="N41" i="24"/>
  <c r="O65" i="24"/>
  <c r="Q89" i="24"/>
  <c r="R41" i="24"/>
  <c r="V41" i="24"/>
  <c r="I42" i="24"/>
  <c r="M42" i="24"/>
  <c r="N66" i="24"/>
  <c r="P90" i="24"/>
  <c r="Q42" i="24"/>
  <c r="U42" i="24"/>
  <c r="Y42" i="24"/>
  <c r="G38" i="24"/>
  <c r="K38" i="24"/>
  <c r="O38" i="24"/>
  <c r="S38" i="24"/>
  <c r="W38" i="24"/>
  <c r="X62" i="24"/>
  <c r="Y86" i="24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/>
  <c r="Y103" i="24"/>
  <c r="J43" i="24"/>
  <c r="H43" i="24"/>
  <c r="X40" i="24"/>
  <c r="W41" i="24"/>
  <c r="V42" i="24"/>
  <c r="P38" i="24"/>
  <c r="M45" i="24"/>
  <c r="W47" i="24"/>
  <c r="X71" i="24"/>
  <c r="Y95" i="24"/>
  <c r="T48" i="24"/>
  <c r="Q49" i="24"/>
  <c r="K51" i="24"/>
  <c r="U53" i="24"/>
  <c r="O55" i="24"/>
  <c r="R43" i="24"/>
  <c r="N42" i="24"/>
  <c r="O66" i="24"/>
  <c r="Q90" i="24"/>
  <c r="I45" i="24"/>
  <c r="Y45" i="24"/>
  <c r="V46" i="24"/>
  <c r="S47" i="24"/>
  <c r="P48" i="24"/>
  <c r="M49" i="24"/>
  <c r="J50" i="24"/>
  <c r="G51" i="24"/>
  <c r="W51" i="24"/>
  <c r="X75" i="24"/>
  <c r="Y99" i="24"/>
  <c r="T52" i="24"/>
  <c r="Q53" i="24"/>
  <c r="N54" i="24"/>
  <c r="K55" i="24"/>
  <c r="F54" i="24"/>
  <c r="N43" i="24"/>
  <c r="O67" i="24"/>
  <c r="Q91" i="24"/>
  <c r="L40" i="24"/>
  <c r="K41" i="24"/>
  <c r="J42" i="24"/>
  <c r="H42" i="24"/>
  <c r="T38" i="24"/>
  <c r="J46" i="24"/>
  <c r="H52" i="24"/>
  <c r="F50" i="24"/>
  <c r="O41" i="24"/>
  <c r="P65" i="24"/>
  <c r="R89" i="24"/>
  <c r="X38" i="24"/>
  <c r="Y62" i="24"/>
  <c r="Q45" i="24"/>
  <c r="N46" i="24"/>
  <c r="K47" i="24"/>
  <c r="H48" i="24"/>
  <c r="X48" i="24"/>
  <c r="Y72" i="24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/>
  <c r="R54" i="24"/>
  <c r="P40" i="24"/>
  <c r="H38" i="24"/>
  <c r="B59" i="24"/>
  <c r="C180" i="24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/>
  <c r="E454" i="20"/>
  <c r="E443" i="20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/>
  <c r="R378" i="17"/>
  <c r="R168" i="17"/>
  <c r="Q223" i="17"/>
  <c r="Q47" i="17"/>
  <c r="Q55" i="17"/>
  <c r="Q57" i="17"/>
  <c r="Q58" i="17"/>
  <c r="T311" i="17"/>
  <c r="T109" i="17"/>
  <c r="R341" i="17"/>
  <c r="R138" i="17"/>
  <c r="T274" i="17"/>
  <c r="T79" i="17"/>
  <c r="Q334" i="17"/>
  <c r="Q137" i="17"/>
  <c r="Q145" i="17"/>
  <c r="Q147" i="17"/>
  <c r="Q148" i="17"/>
  <c r="U429" i="17"/>
  <c r="U200" i="17"/>
  <c r="R407" i="17"/>
  <c r="R409" i="17"/>
  <c r="V398" i="17"/>
  <c r="V400" i="17"/>
  <c r="U272" i="17"/>
  <c r="V324" i="17"/>
  <c r="V326" i="17"/>
  <c r="S415" i="17"/>
  <c r="S198" i="17"/>
  <c r="V250" i="17"/>
  <c r="V252" i="17"/>
  <c r="U309" i="17"/>
  <c r="R371" i="17"/>
  <c r="R167" i="17"/>
  <c r="R267" i="17"/>
  <c r="R78" i="17"/>
  <c r="T302" i="17"/>
  <c r="U317" i="17"/>
  <c r="U319" i="17"/>
  <c r="R296" i="17"/>
  <c r="R298" i="17"/>
  <c r="V427" i="17"/>
  <c r="R221" i="17"/>
  <c r="S369" i="17"/>
  <c r="V287" i="17"/>
  <c r="V289" i="17"/>
  <c r="S265" i="17"/>
  <c r="S229" i="17"/>
  <c r="S231" i="17"/>
  <c r="U242" i="17"/>
  <c r="U354" i="17"/>
  <c r="U356" i="17"/>
  <c r="V391" i="17"/>
  <c r="V393" i="17"/>
  <c r="T383" i="17"/>
  <c r="T413" i="17"/>
  <c r="V435" i="17"/>
  <c r="V437" i="17"/>
  <c r="T421" i="17"/>
  <c r="T423" i="17"/>
  <c r="R332" i="17"/>
  <c r="R259" i="17"/>
  <c r="R261" i="17"/>
  <c r="U236" i="17"/>
  <c r="U238" i="17"/>
  <c r="S339" i="17"/>
  <c r="T244" i="17"/>
  <c r="T50" i="17"/>
  <c r="U280" i="17"/>
  <c r="U282" i="17"/>
  <c r="S385" i="17"/>
  <c r="S169" i="17"/>
  <c r="V361" i="17"/>
  <c r="V363" i="17"/>
  <c r="U347" i="17"/>
  <c r="U349" i="17"/>
  <c r="S376" i="17"/>
  <c r="Z242" i="12"/>
  <c r="Z231" i="12"/>
  <c r="Z193" i="12"/>
  <c r="Z194" i="12"/>
  <c r="X85" i="24"/>
  <c r="X181" i="24"/>
  <c r="W61" i="24"/>
  <c r="W180" i="24"/>
  <c r="G61" i="24"/>
  <c r="I109" i="24"/>
  <c r="J133" i="24"/>
  <c r="H85" i="24"/>
  <c r="O85" i="24"/>
  <c r="O181" i="24"/>
  <c r="N61" i="24"/>
  <c r="N180" i="24"/>
  <c r="R85" i="24"/>
  <c r="R181" i="24"/>
  <c r="Q61" i="24"/>
  <c r="Q180" i="24"/>
  <c r="U85" i="24"/>
  <c r="U181" i="24"/>
  <c r="T61" i="24"/>
  <c r="T180" i="24"/>
  <c r="W151" i="24"/>
  <c r="T79" i="24"/>
  <c r="U103" i="24"/>
  <c r="V127" i="24"/>
  <c r="K124" i="24"/>
  <c r="L148" i="24"/>
  <c r="I76" i="24"/>
  <c r="J100" i="24"/>
  <c r="Q145" i="24"/>
  <c r="P121" i="24"/>
  <c r="N73" i="24"/>
  <c r="O97" i="24"/>
  <c r="W66" i="24"/>
  <c r="Y90" i="24"/>
  <c r="V138" i="24"/>
  <c r="V114" i="24"/>
  <c r="V142" i="24"/>
  <c r="S70" i="24"/>
  <c r="T94" i="24"/>
  <c r="U118" i="24"/>
  <c r="R67" i="24"/>
  <c r="T91" i="24"/>
  <c r="Q139" i="24"/>
  <c r="Q115" i="24"/>
  <c r="R151" i="24"/>
  <c r="Q127" i="24"/>
  <c r="O79" i="24"/>
  <c r="P103" i="24"/>
  <c r="N147" i="24"/>
  <c r="M123" i="24"/>
  <c r="K75" i="24"/>
  <c r="L99" i="24"/>
  <c r="S121" i="24"/>
  <c r="T145" i="24"/>
  <c r="Q73" i="24"/>
  <c r="R97" i="24"/>
  <c r="W144" i="24"/>
  <c r="V120" i="24"/>
  <c r="T72" i="24"/>
  <c r="U96" i="24"/>
  <c r="S140" i="24"/>
  <c r="R116" i="24"/>
  <c r="P68" i="24"/>
  <c r="Q92" i="24"/>
  <c r="J134" i="24"/>
  <c r="G62" i="24"/>
  <c r="H86" i="24"/>
  <c r="I110" i="24"/>
  <c r="R65" i="24"/>
  <c r="T89" i="24"/>
  <c r="Q137" i="24"/>
  <c r="Q113" i="24"/>
  <c r="S64" i="24"/>
  <c r="U88" i="24"/>
  <c r="R136" i="24"/>
  <c r="R112" i="24"/>
  <c r="J144" i="24"/>
  <c r="I120" i="24"/>
  <c r="H120" i="24"/>
  <c r="G72" i="24"/>
  <c r="H96" i="24"/>
  <c r="X150" i="24"/>
  <c r="W126" i="24"/>
  <c r="U78" i="24"/>
  <c r="V102" i="24"/>
  <c r="K149" i="24"/>
  <c r="J125" i="24"/>
  <c r="H77" i="24"/>
  <c r="I101" i="24"/>
  <c r="Q147" i="24"/>
  <c r="P123" i="24"/>
  <c r="N75" i="24"/>
  <c r="O99" i="24"/>
  <c r="W145" i="24"/>
  <c r="V121" i="24"/>
  <c r="T73" i="24"/>
  <c r="U97" i="24"/>
  <c r="P142" i="24"/>
  <c r="O118" i="24"/>
  <c r="M70" i="24"/>
  <c r="N94" i="24"/>
  <c r="V140" i="24"/>
  <c r="U116" i="24"/>
  <c r="S68" i="24"/>
  <c r="T92" i="24"/>
  <c r="Q134" i="24"/>
  <c r="P110" i="24"/>
  <c r="N62" i="24"/>
  <c r="O86" i="24"/>
  <c r="U65" i="24"/>
  <c r="W89" i="24"/>
  <c r="T113" i="24"/>
  <c r="T137" i="24"/>
  <c r="X67" i="24"/>
  <c r="W139" i="24"/>
  <c r="W115" i="24"/>
  <c r="W127" i="24"/>
  <c r="X151" i="24"/>
  <c r="U79" i="24"/>
  <c r="V103" i="24"/>
  <c r="K150" i="24"/>
  <c r="H78" i="24"/>
  <c r="I102" i="24"/>
  <c r="J126" i="24"/>
  <c r="Q148" i="24"/>
  <c r="N76" i="24"/>
  <c r="O100" i="24"/>
  <c r="P124" i="24"/>
  <c r="L134" i="24"/>
  <c r="K110" i="24"/>
  <c r="I62" i="24"/>
  <c r="J86" i="24"/>
  <c r="O124" i="24"/>
  <c r="P148" i="24"/>
  <c r="M76" i="24"/>
  <c r="N100" i="24"/>
  <c r="K66" i="24"/>
  <c r="M90" i="24"/>
  <c r="N138" i="24"/>
  <c r="M114" i="24"/>
  <c r="K67" i="24"/>
  <c r="M91" i="24"/>
  <c r="N139" i="24"/>
  <c r="M115" i="24"/>
  <c r="J147" i="24"/>
  <c r="I123" i="24"/>
  <c r="H123" i="24"/>
  <c r="G75" i="24"/>
  <c r="H99" i="24"/>
  <c r="T126" i="24"/>
  <c r="U150" i="24"/>
  <c r="R78" i="24"/>
  <c r="S102" i="24"/>
  <c r="W125" i="24"/>
  <c r="X149" i="24"/>
  <c r="U77" i="24"/>
  <c r="V101" i="24"/>
  <c r="K148" i="24"/>
  <c r="H76" i="24"/>
  <c r="I100" i="24"/>
  <c r="J124" i="24"/>
  <c r="Q146" i="24"/>
  <c r="P122" i="24"/>
  <c r="N74" i="24"/>
  <c r="O98" i="24"/>
  <c r="W71" i="24"/>
  <c r="X95" i="24"/>
  <c r="Y119" i="24"/>
  <c r="M142" i="24"/>
  <c r="L118" i="24"/>
  <c r="J70" i="24"/>
  <c r="K94" i="24"/>
  <c r="I142" i="24"/>
  <c r="P141" i="24"/>
  <c r="O117" i="24"/>
  <c r="M69" i="24"/>
  <c r="N93" i="24"/>
  <c r="N134" i="24"/>
  <c r="M110" i="24"/>
  <c r="K62" i="24"/>
  <c r="L86" i="24"/>
  <c r="Q66" i="24"/>
  <c r="S90" i="24"/>
  <c r="P114" i="24"/>
  <c r="U67" i="24"/>
  <c r="W91" i="24"/>
  <c r="T115" i="24"/>
  <c r="T139" i="24"/>
  <c r="U151" i="24"/>
  <c r="T127" i="24"/>
  <c r="R79" i="24"/>
  <c r="S103" i="24"/>
  <c r="N148" i="24"/>
  <c r="M124" i="24"/>
  <c r="K76" i="24"/>
  <c r="L100" i="24"/>
  <c r="S122" i="24"/>
  <c r="T146" i="24"/>
  <c r="Q74" i="24"/>
  <c r="R98" i="24"/>
  <c r="Y120" i="24"/>
  <c r="W72" i="24"/>
  <c r="X96" i="24"/>
  <c r="M143" i="24"/>
  <c r="L119" i="24"/>
  <c r="J71" i="24"/>
  <c r="K95" i="24"/>
  <c r="I143" i="24"/>
  <c r="S141" i="24"/>
  <c r="R117" i="24"/>
  <c r="P69" i="24"/>
  <c r="Q93" i="24"/>
  <c r="P140" i="24"/>
  <c r="O116" i="24"/>
  <c r="M68" i="24"/>
  <c r="N92" i="24"/>
  <c r="T66" i="24"/>
  <c r="V90" i="24"/>
  <c r="S114" i="24"/>
  <c r="S138" i="24"/>
  <c r="V64" i="24"/>
  <c r="X88" i="24"/>
  <c r="U112" i="24"/>
  <c r="U136" i="24"/>
  <c r="J141" i="24"/>
  <c r="I117" i="24"/>
  <c r="G69" i="24"/>
  <c r="H93" i="24"/>
  <c r="H117" i="24"/>
  <c r="N149" i="24"/>
  <c r="M125" i="24"/>
  <c r="K77" i="24"/>
  <c r="L101" i="24"/>
  <c r="T147" i="24"/>
  <c r="S123" i="24"/>
  <c r="Q75" i="24"/>
  <c r="R99" i="24"/>
  <c r="W146" i="24"/>
  <c r="T74" i="24"/>
  <c r="U98" i="24"/>
  <c r="V122" i="24"/>
  <c r="Y121" i="24"/>
  <c r="W73" i="24"/>
  <c r="X97" i="24"/>
  <c r="M144" i="24"/>
  <c r="L120" i="24"/>
  <c r="J72" i="24"/>
  <c r="K96" i="24"/>
  <c r="I144" i="24"/>
  <c r="P143" i="24"/>
  <c r="M71" i="24"/>
  <c r="N95" i="24"/>
  <c r="O119" i="24"/>
  <c r="S142" i="24"/>
  <c r="R118" i="24"/>
  <c r="P70" i="24"/>
  <c r="Q94" i="24"/>
  <c r="V141" i="24"/>
  <c r="U117" i="24"/>
  <c r="S69" i="24"/>
  <c r="T93" i="24"/>
  <c r="Y140" i="24"/>
  <c r="V68" i="24"/>
  <c r="W92" i="24"/>
  <c r="X116" i="24"/>
  <c r="T85" i="24"/>
  <c r="T181" i="24"/>
  <c r="S61" i="24"/>
  <c r="S180" i="24"/>
  <c r="M133" i="24"/>
  <c r="M183" i="24"/>
  <c r="K85" i="24"/>
  <c r="K181" i="24"/>
  <c r="L109" i="24"/>
  <c r="L182" i="24"/>
  <c r="J61" i="24"/>
  <c r="J180" i="24"/>
  <c r="N85" i="24"/>
  <c r="N181" i="24"/>
  <c r="M61" i="24"/>
  <c r="M180" i="24"/>
  <c r="Q85" i="24"/>
  <c r="Q181" i="24"/>
  <c r="P61" i="24"/>
  <c r="P180" i="24"/>
  <c r="Q64" i="24"/>
  <c r="S88" i="24"/>
  <c r="P112" i="24"/>
  <c r="K143" i="24"/>
  <c r="J119" i="24"/>
  <c r="H71" i="24"/>
  <c r="I95" i="24"/>
  <c r="U64" i="24"/>
  <c r="W88" i="24"/>
  <c r="T136" i="24"/>
  <c r="T112" i="24"/>
  <c r="Y126" i="24"/>
  <c r="W78" i="24"/>
  <c r="X102" i="24"/>
  <c r="S147" i="24"/>
  <c r="R123" i="24"/>
  <c r="P75" i="24"/>
  <c r="Q99" i="24"/>
  <c r="K120" i="24"/>
  <c r="L144" i="24"/>
  <c r="I72" i="24"/>
  <c r="J96" i="24"/>
  <c r="N142" i="24"/>
  <c r="M118" i="24"/>
  <c r="K70" i="24"/>
  <c r="L94" i="24"/>
  <c r="L65" i="24"/>
  <c r="N89" i="24"/>
  <c r="O137" i="24"/>
  <c r="N113" i="24"/>
  <c r="O151" i="24"/>
  <c r="L79" i="24"/>
  <c r="M103" i="24"/>
  <c r="N127" i="24"/>
  <c r="T144" i="24"/>
  <c r="Q72" i="24"/>
  <c r="R96" i="24"/>
  <c r="S120" i="24"/>
  <c r="M141" i="24"/>
  <c r="L117" i="24"/>
  <c r="J69" i="24"/>
  <c r="K93" i="24"/>
  <c r="I141" i="24"/>
  <c r="Y149" i="24"/>
  <c r="X125" i="24"/>
  <c r="V77" i="24"/>
  <c r="W101" i="24"/>
  <c r="X65" i="24"/>
  <c r="W137" i="24"/>
  <c r="W113" i="24"/>
  <c r="S124" i="24"/>
  <c r="T148" i="24"/>
  <c r="Q76" i="24"/>
  <c r="R100" i="24"/>
  <c r="M145" i="24"/>
  <c r="L121" i="24"/>
  <c r="J73" i="24"/>
  <c r="K97" i="24"/>
  <c r="I145" i="24"/>
  <c r="X117" i="24"/>
  <c r="Y141" i="24"/>
  <c r="V69" i="24"/>
  <c r="W93" i="24"/>
  <c r="W134" i="24"/>
  <c r="V110" i="24"/>
  <c r="T62" i="24"/>
  <c r="U86" i="24"/>
  <c r="Y114" i="24"/>
  <c r="Y138" i="24"/>
  <c r="J66" i="24"/>
  <c r="L90" i="24"/>
  <c r="M138" i="24"/>
  <c r="L114" i="24"/>
  <c r="K65" i="24"/>
  <c r="M89" i="24"/>
  <c r="N137" i="24"/>
  <c r="M113" i="24"/>
  <c r="L64" i="24"/>
  <c r="N88" i="24"/>
  <c r="O136" i="24"/>
  <c r="N112" i="24"/>
  <c r="J151" i="24"/>
  <c r="I127" i="24"/>
  <c r="H127" i="24"/>
  <c r="G79" i="24"/>
  <c r="H103" i="24"/>
  <c r="N151" i="24"/>
  <c r="M127" i="24"/>
  <c r="K79" i="24"/>
  <c r="L103" i="24"/>
  <c r="P126" i="24"/>
  <c r="Q150" i="24"/>
  <c r="N78" i="24"/>
  <c r="O102" i="24"/>
  <c r="S125" i="24"/>
  <c r="T149" i="24"/>
  <c r="Q77" i="24"/>
  <c r="R101" i="24"/>
  <c r="W148" i="24"/>
  <c r="V124" i="24"/>
  <c r="T76" i="24"/>
  <c r="U100" i="24"/>
  <c r="Y123" i="24"/>
  <c r="W75" i="24"/>
  <c r="X99" i="24"/>
  <c r="M146" i="24"/>
  <c r="L122" i="24"/>
  <c r="J74" i="24"/>
  <c r="K98" i="24"/>
  <c r="I146" i="24"/>
  <c r="P145" i="24"/>
  <c r="O121" i="24"/>
  <c r="M73" i="24"/>
  <c r="N97" i="24"/>
  <c r="S144" i="24"/>
  <c r="R120" i="24"/>
  <c r="P72" i="24"/>
  <c r="Q96" i="24"/>
  <c r="V143" i="24"/>
  <c r="U119" i="24"/>
  <c r="S71" i="24"/>
  <c r="T95" i="24"/>
  <c r="Y142" i="24"/>
  <c r="X118" i="24"/>
  <c r="V70" i="24"/>
  <c r="W94" i="24"/>
  <c r="L141" i="24"/>
  <c r="K117" i="24"/>
  <c r="I69" i="24"/>
  <c r="J93" i="24"/>
  <c r="N116" i="24"/>
  <c r="L68" i="24"/>
  <c r="M92" i="24"/>
  <c r="O140" i="24"/>
  <c r="Y110" i="24"/>
  <c r="W62" i="24"/>
  <c r="X86" i="24"/>
  <c r="I64" i="24"/>
  <c r="K88" i="24"/>
  <c r="L136" i="24"/>
  <c r="K112" i="24"/>
  <c r="M66" i="24"/>
  <c r="O90" i="24"/>
  <c r="P138" i="24"/>
  <c r="O114" i="24"/>
  <c r="Q67" i="24"/>
  <c r="S91" i="24"/>
  <c r="P115" i="24"/>
  <c r="J148" i="24"/>
  <c r="I124" i="24"/>
  <c r="H124" i="24"/>
  <c r="G76" i="24"/>
  <c r="H100" i="24"/>
  <c r="Q151" i="24"/>
  <c r="P127" i="24"/>
  <c r="N79" i="24"/>
  <c r="O103" i="24"/>
  <c r="S126" i="24"/>
  <c r="T150" i="24"/>
  <c r="Q78" i="24"/>
  <c r="R102" i="24"/>
  <c r="W149" i="24"/>
  <c r="V125" i="24"/>
  <c r="T77" i="24"/>
  <c r="U101" i="24"/>
  <c r="Y124" i="24"/>
  <c r="W76" i="24"/>
  <c r="X100" i="24"/>
  <c r="M147" i="24"/>
  <c r="L123" i="24"/>
  <c r="J75" i="24"/>
  <c r="K99" i="24"/>
  <c r="I147" i="24"/>
  <c r="O122" i="24"/>
  <c r="P146" i="24"/>
  <c r="M74" i="24"/>
  <c r="N98" i="24"/>
  <c r="S145" i="24"/>
  <c r="P73" i="24"/>
  <c r="Q97" i="24"/>
  <c r="R121" i="24"/>
  <c r="V144" i="24"/>
  <c r="U120" i="24"/>
  <c r="S72" i="24"/>
  <c r="T96" i="24"/>
  <c r="Y143" i="24"/>
  <c r="X119" i="24"/>
  <c r="V71" i="24"/>
  <c r="W95" i="24"/>
  <c r="K118" i="24"/>
  <c r="L142" i="24"/>
  <c r="I70" i="24"/>
  <c r="J94" i="24"/>
  <c r="O141" i="24"/>
  <c r="N117" i="24"/>
  <c r="L69" i="24"/>
  <c r="M93" i="24"/>
  <c r="R140" i="24"/>
  <c r="Q116" i="24"/>
  <c r="O68" i="24"/>
  <c r="P92" i="24"/>
  <c r="M134" i="24"/>
  <c r="L110" i="24"/>
  <c r="J62" i="24"/>
  <c r="K86" i="24"/>
  <c r="Q65" i="24"/>
  <c r="S89" i="24"/>
  <c r="P113" i="24"/>
  <c r="R64" i="24"/>
  <c r="T88" i="24"/>
  <c r="Q112" i="24"/>
  <c r="Q136" i="24"/>
  <c r="T67" i="24"/>
  <c r="V91" i="24"/>
  <c r="S139" i="24"/>
  <c r="S115" i="24"/>
  <c r="J145" i="24"/>
  <c r="I121" i="24"/>
  <c r="H121" i="24"/>
  <c r="G73" i="24"/>
  <c r="H97" i="24"/>
  <c r="S127" i="24"/>
  <c r="T151" i="24"/>
  <c r="Q79" i="24"/>
  <c r="R103" i="24"/>
  <c r="W150" i="24"/>
  <c r="V126" i="24"/>
  <c r="T78" i="24"/>
  <c r="U102" i="24"/>
  <c r="Y125" i="24"/>
  <c r="W77" i="24"/>
  <c r="X101" i="24"/>
  <c r="M148" i="24"/>
  <c r="L124" i="24"/>
  <c r="J76" i="24"/>
  <c r="K100" i="24"/>
  <c r="I148" i="24"/>
  <c r="O123" i="24"/>
  <c r="P147" i="24"/>
  <c r="M75" i="24"/>
  <c r="N99" i="24"/>
  <c r="S146" i="24"/>
  <c r="R122" i="24"/>
  <c r="P74" i="24"/>
  <c r="Q98" i="24"/>
  <c r="V145" i="24"/>
  <c r="U121" i="24"/>
  <c r="S73" i="24"/>
  <c r="T97" i="24"/>
  <c r="Y144" i="24"/>
  <c r="X120" i="24"/>
  <c r="V72" i="24"/>
  <c r="W96" i="24"/>
  <c r="K119" i="24"/>
  <c r="L143" i="24"/>
  <c r="I71" i="24"/>
  <c r="J95" i="24"/>
  <c r="N118" i="24"/>
  <c r="L70" i="24"/>
  <c r="M94" i="24"/>
  <c r="O142" i="24"/>
  <c r="R141" i="24"/>
  <c r="O69" i="24"/>
  <c r="P93" i="24"/>
  <c r="Q117" i="24"/>
  <c r="U140" i="24"/>
  <c r="R68" i="24"/>
  <c r="S92" i="24"/>
  <c r="T116" i="24"/>
  <c r="R146" i="24"/>
  <c r="O74" i="24"/>
  <c r="P98" i="24"/>
  <c r="Q122" i="24"/>
  <c r="J150" i="24"/>
  <c r="I126" i="24"/>
  <c r="H126" i="24"/>
  <c r="G78" i="24"/>
  <c r="H102" i="24"/>
  <c r="X144" i="24"/>
  <c r="W120" i="24"/>
  <c r="U72" i="24"/>
  <c r="V96" i="24"/>
  <c r="Q149" i="24"/>
  <c r="P125" i="24"/>
  <c r="N77" i="24"/>
  <c r="O101" i="24"/>
  <c r="O61" i="24"/>
  <c r="P85" i="24"/>
  <c r="P181" i="24"/>
  <c r="W85" i="24"/>
  <c r="W181" i="24"/>
  <c r="V61" i="24"/>
  <c r="L133" i="24"/>
  <c r="L183" i="24"/>
  <c r="J85" i="24"/>
  <c r="J181" i="24"/>
  <c r="K109" i="24"/>
  <c r="K182" i="24"/>
  <c r="I61" i="24"/>
  <c r="I180" i="24"/>
  <c r="N109" i="24"/>
  <c r="N182" i="24"/>
  <c r="O133" i="24"/>
  <c r="O183" i="24"/>
  <c r="M85" i="24"/>
  <c r="M181" i="24"/>
  <c r="L61" i="24"/>
  <c r="L180" i="24"/>
  <c r="V150" i="24"/>
  <c r="U126" i="24"/>
  <c r="S78" i="24"/>
  <c r="T102" i="24"/>
  <c r="O110" i="24"/>
  <c r="M62" i="24"/>
  <c r="N86" i="24"/>
  <c r="P134" i="24"/>
  <c r="W67" i="24"/>
  <c r="Y91" i="24"/>
  <c r="V115" i="24"/>
  <c r="V139" i="24"/>
  <c r="V146" i="24"/>
  <c r="U122" i="24"/>
  <c r="S74" i="24"/>
  <c r="T98" i="24"/>
  <c r="O143" i="24"/>
  <c r="N119" i="24"/>
  <c r="L71" i="24"/>
  <c r="M95" i="24"/>
  <c r="W110" i="24"/>
  <c r="X134" i="24"/>
  <c r="U62" i="24"/>
  <c r="V86" i="24"/>
  <c r="M64" i="24"/>
  <c r="O88" i="24"/>
  <c r="P136" i="24"/>
  <c r="O112" i="24"/>
  <c r="R150" i="24"/>
  <c r="Q126" i="24"/>
  <c r="O78" i="24"/>
  <c r="P102" i="24"/>
  <c r="K147" i="24"/>
  <c r="J123" i="24"/>
  <c r="H75" i="24"/>
  <c r="I99" i="24"/>
  <c r="W143" i="24"/>
  <c r="V119" i="24"/>
  <c r="T71" i="24"/>
  <c r="U95" i="24"/>
  <c r="O147" i="24"/>
  <c r="N123" i="24"/>
  <c r="L75" i="24"/>
  <c r="M99" i="24"/>
  <c r="P117" i="24"/>
  <c r="Q141" i="24"/>
  <c r="N69" i="24"/>
  <c r="O93" i="24"/>
  <c r="Y64" i="24"/>
  <c r="X136" i="24"/>
  <c r="X112" i="24"/>
  <c r="K151" i="24"/>
  <c r="J127" i="24"/>
  <c r="H79" i="24"/>
  <c r="I103" i="24"/>
  <c r="W147" i="24"/>
  <c r="V123" i="24"/>
  <c r="T75" i="24"/>
  <c r="U99" i="24"/>
  <c r="P144" i="24"/>
  <c r="O120" i="24"/>
  <c r="M72" i="24"/>
  <c r="N96" i="24"/>
  <c r="X140" i="24"/>
  <c r="W116" i="24"/>
  <c r="U68" i="24"/>
  <c r="V92" i="24"/>
  <c r="S134" i="24"/>
  <c r="P62" i="24"/>
  <c r="Q86" i="24"/>
  <c r="R110" i="24"/>
  <c r="V66" i="24"/>
  <c r="X90" i="24"/>
  <c r="U114" i="24"/>
  <c r="U138" i="24"/>
  <c r="W65" i="24"/>
  <c r="Y89" i="24"/>
  <c r="V113" i="24"/>
  <c r="V137" i="24"/>
  <c r="X64" i="24"/>
  <c r="W112" i="24"/>
  <c r="W136" i="24"/>
  <c r="Y139" i="24"/>
  <c r="Y115" i="24"/>
  <c r="J67" i="24"/>
  <c r="L91" i="24"/>
  <c r="M139" i="24"/>
  <c r="L115" i="24"/>
  <c r="Y127" i="24"/>
  <c r="W79" i="24"/>
  <c r="X103" i="24"/>
  <c r="L126" i="24"/>
  <c r="M150" i="24"/>
  <c r="J78" i="24"/>
  <c r="K102" i="24"/>
  <c r="I150" i="24"/>
  <c r="P149" i="24"/>
  <c r="O125" i="24"/>
  <c r="M77" i="24"/>
  <c r="N101" i="24"/>
  <c r="S148" i="24"/>
  <c r="R124" i="24"/>
  <c r="P76" i="24"/>
  <c r="Q100" i="24"/>
  <c r="V147" i="24"/>
  <c r="U123" i="24"/>
  <c r="S75" i="24"/>
  <c r="T99" i="24"/>
  <c r="Y146" i="24"/>
  <c r="X122" i="24"/>
  <c r="V74" i="24"/>
  <c r="W98" i="24"/>
  <c r="K121" i="24"/>
  <c r="L145" i="24"/>
  <c r="I73" i="24"/>
  <c r="J97" i="24"/>
  <c r="O144" i="24"/>
  <c r="L72" i="24"/>
  <c r="M96" i="24"/>
  <c r="N120" i="24"/>
  <c r="R143" i="24"/>
  <c r="Q119" i="24"/>
  <c r="O71" i="24"/>
  <c r="P95" i="24"/>
  <c r="U142" i="24"/>
  <c r="T118" i="24"/>
  <c r="R70" i="24"/>
  <c r="S94" i="24"/>
  <c r="X141" i="24"/>
  <c r="W117" i="24"/>
  <c r="U69" i="24"/>
  <c r="V93" i="24"/>
  <c r="K140" i="24"/>
  <c r="J116" i="24"/>
  <c r="H68" i="24"/>
  <c r="I92" i="24"/>
  <c r="V134" i="24"/>
  <c r="U110" i="24"/>
  <c r="S62" i="24"/>
  <c r="T86" i="24"/>
  <c r="Y66" i="24"/>
  <c r="X138" i="24"/>
  <c r="X114" i="24"/>
  <c r="Y137" i="24"/>
  <c r="Y113" i="24"/>
  <c r="J65" i="24"/>
  <c r="L89" i="24"/>
  <c r="M137" i="24"/>
  <c r="L113" i="24"/>
  <c r="K64" i="24"/>
  <c r="M88" i="24"/>
  <c r="N136" i="24"/>
  <c r="M112" i="24"/>
  <c r="M67" i="24"/>
  <c r="O91" i="24"/>
  <c r="P139" i="24"/>
  <c r="O115" i="24"/>
  <c r="M151" i="24"/>
  <c r="L127" i="24"/>
  <c r="J79" i="24"/>
  <c r="K103" i="24"/>
  <c r="I151" i="24"/>
  <c r="O126" i="24"/>
  <c r="P150" i="24"/>
  <c r="M78" i="24"/>
  <c r="N102" i="24"/>
  <c r="S149" i="24"/>
  <c r="R125" i="24"/>
  <c r="P77" i="24"/>
  <c r="Q101" i="24"/>
  <c r="V148" i="24"/>
  <c r="U124" i="24"/>
  <c r="S76" i="24"/>
  <c r="T100" i="24"/>
  <c r="Y147" i="24"/>
  <c r="X123" i="24"/>
  <c r="V75" i="24"/>
  <c r="W99" i="24"/>
  <c r="K122" i="24"/>
  <c r="L146" i="24"/>
  <c r="I74" i="24"/>
  <c r="J98" i="24"/>
  <c r="O145" i="24"/>
  <c r="N121" i="24"/>
  <c r="L73" i="24"/>
  <c r="M97" i="24"/>
  <c r="R144" i="24"/>
  <c r="Q120" i="24"/>
  <c r="O72" i="24"/>
  <c r="P96" i="24"/>
  <c r="U143" i="24"/>
  <c r="T119" i="24"/>
  <c r="R71" i="24"/>
  <c r="S95" i="24"/>
  <c r="W118" i="24"/>
  <c r="X142" i="24"/>
  <c r="U70" i="24"/>
  <c r="V94" i="24"/>
  <c r="K141" i="24"/>
  <c r="J117" i="24"/>
  <c r="H69" i="24"/>
  <c r="I93" i="24"/>
  <c r="N140" i="24"/>
  <c r="M116" i="24"/>
  <c r="K68" i="24"/>
  <c r="L92" i="24"/>
  <c r="Y134" i="24"/>
  <c r="X110" i="24"/>
  <c r="V62" i="24"/>
  <c r="W86" i="24"/>
  <c r="I65" i="24"/>
  <c r="K89" i="24"/>
  <c r="L137" i="24"/>
  <c r="K113" i="24"/>
  <c r="L66" i="24"/>
  <c r="N90" i="24"/>
  <c r="N114" i="24"/>
  <c r="O138" i="24"/>
  <c r="M65" i="24"/>
  <c r="O89" i="24"/>
  <c r="P137" i="24"/>
  <c r="O113" i="24"/>
  <c r="J149" i="24"/>
  <c r="I125" i="24"/>
  <c r="H125" i="24"/>
  <c r="G77" i="24"/>
  <c r="H101" i="24"/>
  <c r="O127" i="24"/>
  <c r="P151" i="24"/>
  <c r="M79" i="24"/>
  <c r="N103" i="24"/>
  <c r="S150" i="24"/>
  <c r="P78" i="24"/>
  <c r="Q102" i="24"/>
  <c r="R126" i="24"/>
  <c r="V149" i="24"/>
  <c r="U125" i="24"/>
  <c r="S77" i="24"/>
  <c r="T101" i="24"/>
  <c r="Y148" i="24"/>
  <c r="X124" i="24"/>
  <c r="V76" i="24"/>
  <c r="W100" i="24"/>
  <c r="L147" i="24"/>
  <c r="I75" i="24"/>
  <c r="J99" i="24"/>
  <c r="K123" i="24"/>
  <c r="O146" i="24"/>
  <c r="N122" i="24"/>
  <c r="L74" i="24"/>
  <c r="M98" i="24"/>
  <c r="R145" i="24"/>
  <c r="Q121" i="24"/>
  <c r="O73" i="24"/>
  <c r="P97" i="24"/>
  <c r="U144" i="24"/>
  <c r="T120" i="24"/>
  <c r="R72" i="24"/>
  <c r="S96" i="24"/>
  <c r="X143" i="24"/>
  <c r="W119" i="24"/>
  <c r="U71" i="24"/>
  <c r="V95" i="24"/>
  <c r="K142" i="24"/>
  <c r="H70" i="24"/>
  <c r="I94" i="24"/>
  <c r="J118" i="24"/>
  <c r="N141" i="24"/>
  <c r="M117" i="24"/>
  <c r="K69" i="24"/>
  <c r="L93" i="24"/>
  <c r="Q140" i="24"/>
  <c r="N68" i="24"/>
  <c r="O92" i="24"/>
  <c r="P116" i="24"/>
  <c r="T65" i="24"/>
  <c r="V89" i="24"/>
  <c r="S137" i="24"/>
  <c r="S113" i="24"/>
  <c r="U141" i="24"/>
  <c r="T117" i="24"/>
  <c r="R69" i="24"/>
  <c r="S93" i="24"/>
  <c r="X148" i="24"/>
  <c r="W124" i="24"/>
  <c r="U76" i="24"/>
  <c r="V100" i="24"/>
  <c r="S151" i="24"/>
  <c r="R127" i="24"/>
  <c r="P79" i="24"/>
  <c r="Q103" i="24"/>
  <c r="K134" i="24"/>
  <c r="H62" i="24"/>
  <c r="I86" i="24"/>
  <c r="J110" i="24"/>
  <c r="F61" i="24"/>
  <c r="G85" i="24"/>
  <c r="G104" i="24"/>
  <c r="G105" i="24"/>
  <c r="H109" i="24"/>
  <c r="I133" i="24"/>
  <c r="M109" i="24"/>
  <c r="M182" i="24"/>
  <c r="N133" i="24"/>
  <c r="N183" i="24"/>
  <c r="L85" i="24"/>
  <c r="L181" i="24"/>
  <c r="K61" i="24"/>
  <c r="K180" i="24"/>
  <c r="S85" i="24"/>
  <c r="S181" i="24"/>
  <c r="R61" i="24"/>
  <c r="R180" i="24"/>
  <c r="V85" i="24"/>
  <c r="V181" i="24"/>
  <c r="U61" i="24"/>
  <c r="U180" i="24"/>
  <c r="Y85" i="24"/>
  <c r="Y181" i="24"/>
  <c r="X61" i="24"/>
  <c r="X180" i="24"/>
  <c r="J109" i="24"/>
  <c r="J182" i="24"/>
  <c r="K133" i="24"/>
  <c r="K183" i="24"/>
  <c r="I85" i="24"/>
  <c r="I181" i="24"/>
  <c r="H61" i="24"/>
  <c r="H180" i="24"/>
  <c r="S66" i="24"/>
  <c r="U90" i="24"/>
  <c r="R138" i="24"/>
  <c r="R114" i="24"/>
  <c r="J142" i="24"/>
  <c r="I118" i="24"/>
  <c r="H118" i="24"/>
  <c r="G70" i="24"/>
  <c r="H94" i="24"/>
  <c r="M149" i="24"/>
  <c r="L125" i="24"/>
  <c r="J77" i="24"/>
  <c r="K101" i="24"/>
  <c r="I149" i="24"/>
  <c r="Y145" i="24"/>
  <c r="X121" i="24"/>
  <c r="V73" i="24"/>
  <c r="W97" i="24"/>
  <c r="R142" i="24"/>
  <c r="Q118" i="24"/>
  <c r="O70" i="24"/>
  <c r="P94" i="24"/>
  <c r="J146" i="24"/>
  <c r="H122" i="24"/>
  <c r="I122" i="24"/>
  <c r="G74" i="24"/>
  <c r="H98" i="24"/>
  <c r="I66" i="24"/>
  <c r="K90" i="24"/>
  <c r="L138" i="24"/>
  <c r="K114" i="24"/>
  <c r="U149" i="24"/>
  <c r="T125" i="24"/>
  <c r="R77" i="24"/>
  <c r="S101" i="24"/>
  <c r="N146" i="24"/>
  <c r="M122" i="24"/>
  <c r="K74" i="24"/>
  <c r="L98" i="24"/>
  <c r="Y118" i="24"/>
  <c r="W70" i="24"/>
  <c r="X94" i="24"/>
  <c r="S67" i="24"/>
  <c r="U91" i="24"/>
  <c r="R115" i="24"/>
  <c r="R139" i="24"/>
  <c r="U145" i="24"/>
  <c r="T121" i="24"/>
  <c r="R73" i="24"/>
  <c r="S97" i="24"/>
  <c r="T134" i="24"/>
  <c r="S110" i="24"/>
  <c r="Q62" i="24"/>
  <c r="R86" i="24"/>
  <c r="I67" i="24"/>
  <c r="K91" i="24"/>
  <c r="L139" i="24"/>
  <c r="K115" i="24"/>
  <c r="N150" i="24"/>
  <c r="M126" i="24"/>
  <c r="K78" i="24"/>
  <c r="L102" i="24"/>
  <c r="Y122" i="24"/>
  <c r="W74" i="24"/>
  <c r="X98" i="24"/>
  <c r="S143" i="24"/>
  <c r="R119" i="24"/>
  <c r="P71" i="24"/>
  <c r="Q95" i="24"/>
  <c r="L140" i="24"/>
  <c r="K116" i="24"/>
  <c r="I68" i="24"/>
  <c r="J92" i="24"/>
  <c r="O134" i="24"/>
  <c r="N110" i="24"/>
  <c r="L62" i="24"/>
  <c r="M86" i="24"/>
  <c r="R66" i="24"/>
  <c r="T90" i="24"/>
  <c r="Q114" i="24"/>
  <c r="Q138" i="24"/>
  <c r="S65" i="24"/>
  <c r="U89" i="24"/>
  <c r="R113" i="24"/>
  <c r="R137" i="24"/>
  <c r="T64" i="24"/>
  <c r="V88" i="24"/>
  <c r="S112" i="24"/>
  <c r="S136" i="24"/>
  <c r="V67" i="24"/>
  <c r="X91" i="24"/>
  <c r="U115" i="24"/>
  <c r="U139" i="24"/>
  <c r="J143" i="24"/>
  <c r="H119" i="24"/>
  <c r="G71" i="24"/>
  <c r="H95" i="24"/>
  <c r="I119" i="24"/>
  <c r="V151" i="24"/>
  <c r="U127" i="24"/>
  <c r="S79" i="24"/>
  <c r="T103" i="24"/>
  <c r="X126" i="24"/>
  <c r="Y150" i="24"/>
  <c r="V78" i="24"/>
  <c r="W102" i="24"/>
  <c r="K125" i="24"/>
  <c r="L149" i="24"/>
  <c r="I77" i="24"/>
  <c r="J101" i="24"/>
  <c r="O148" i="24"/>
  <c r="N124" i="24"/>
  <c r="L76" i="24"/>
  <c r="M100" i="24"/>
  <c r="R147" i="24"/>
  <c r="Q123" i="24"/>
  <c r="O75" i="24"/>
  <c r="P99" i="24"/>
  <c r="U146" i="24"/>
  <c r="T122" i="24"/>
  <c r="R74" i="24"/>
  <c r="S98" i="24"/>
  <c r="X145" i="24"/>
  <c r="U73" i="24"/>
  <c r="V97" i="24"/>
  <c r="W121" i="24"/>
  <c r="K144" i="24"/>
  <c r="J120" i="24"/>
  <c r="H72" i="24"/>
  <c r="I96" i="24"/>
  <c r="N143" i="24"/>
  <c r="M119" i="24"/>
  <c r="K71" i="24"/>
  <c r="L95" i="24"/>
  <c r="Q142" i="24"/>
  <c r="P118" i="24"/>
  <c r="N70" i="24"/>
  <c r="O94" i="24"/>
  <c r="S117" i="24"/>
  <c r="T141" i="24"/>
  <c r="Q69" i="24"/>
  <c r="R93" i="24"/>
  <c r="W140" i="24"/>
  <c r="V116" i="24"/>
  <c r="T68" i="24"/>
  <c r="U92" i="24"/>
  <c r="S116" i="24"/>
  <c r="T140" i="24"/>
  <c r="Q68" i="24"/>
  <c r="R92" i="24"/>
  <c r="R134" i="24"/>
  <c r="Q110" i="24"/>
  <c r="O62" i="24"/>
  <c r="P86" i="24"/>
  <c r="U66" i="24"/>
  <c r="W90" i="24"/>
  <c r="T138" i="24"/>
  <c r="T114" i="24"/>
  <c r="V65" i="24"/>
  <c r="X89" i="24"/>
  <c r="U137" i="24"/>
  <c r="U113" i="24"/>
  <c r="W64" i="24"/>
  <c r="Y88" i="24"/>
  <c r="V136" i="24"/>
  <c r="V112" i="24"/>
  <c r="Y67" i="24"/>
  <c r="X115" i="24"/>
  <c r="X139" i="24"/>
  <c r="J140" i="24"/>
  <c r="I116" i="24"/>
  <c r="H116" i="24"/>
  <c r="G68" i="24"/>
  <c r="H92" i="24"/>
  <c r="Y151" i="24"/>
  <c r="X127" i="24"/>
  <c r="V79" i="24"/>
  <c r="W103" i="24"/>
  <c r="K126" i="24"/>
  <c r="L150" i="24"/>
  <c r="I78" i="24"/>
  <c r="J102" i="24"/>
  <c r="O149" i="24"/>
  <c r="L77" i="24"/>
  <c r="M101" i="24"/>
  <c r="N125" i="24"/>
  <c r="R148" i="24"/>
  <c r="Q124" i="24"/>
  <c r="O76" i="24"/>
  <c r="P100" i="24"/>
  <c r="U147" i="24"/>
  <c r="T123" i="24"/>
  <c r="R75" i="24"/>
  <c r="S99" i="24"/>
  <c r="W122" i="24"/>
  <c r="X146" i="24"/>
  <c r="U74" i="24"/>
  <c r="V98" i="24"/>
  <c r="K145" i="24"/>
  <c r="J121" i="24"/>
  <c r="H73" i="24"/>
  <c r="I97" i="24"/>
  <c r="N144" i="24"/>
  <c r="M120" i="24"/>
  <c r="K72" i="24"/>
  <c r="L96" i="24"/>
  <c r="Q143" i="24"/>
  <c r="P119" i="24"/>
  <c r="N71" i="24"/>
  <c r="O95" i="24"/>
  <c r="S118" i="24"/>
  <c r="T142" i="24"/>
  <c r="Q70" i="24"/>
  <c r="R94" i="24"/>
  <c r="W141" i="24"/>
  <c r="T69" i="24"/>
  <c r="U93" i="24"/>
  <c r="V117" i="24"/>
  <c r="Y116" i="24"/>
  <c r="W68" i="24"/>
  <c r="X92" i="24"/>
  <c r="U134" i="24"/>
  <c r="T110" i="24"/>
  <c r="R62" i="24"/>
  <c r="S86" i="24"/>
  <c r="X66" i="24"/>
  <c r="W114" i="24"/>
  <c r="W138" i="24"/>
  <c r="Y65" i="24"/>
  <c r="X113" i="24"/>
  <c r="X137" i="24"/>
  <c r="Y112" i="24"/>
  <c r="Y136" i="24"/>
  <c r="J64" i="24"/>
  <c r="L88" i="24"/>
  <c r="M136" i="24"/>
  <c r="L112" i="24"/>
  <c r="L67" i="24"/>
  <c r="N91" i="24"/>
  <c r="O139" i="24"/>
  <c r="N115" i="24"/>
  <c r="K127" i="24"/>
  <c r="L151" i="24"/>
  <c r="I79" i="24"/>
  <c r="J103" i="24"/>
  <c r="O150" i="24"/>
  <c r="N126" i="24"/>
  <c r="L78" i="24"/>
  <c r="M102" i="24"/>
  <c r="R149" i="24"/>
  <c r="Q125" i="24"/>
  <c r="O77" i="24"/>
  <c r="P101" i="24"/>
  <c r="U148" i="24"/>
  <c r="T124" i="24"/>
  <c r="R76" i="24"/>
  <c r="S100" i="24"/>
  <c r="X147" i="24"/>
  <c r="W123" i="24"/>
  <c r="U75" i="24"/>
  <c r="V99" i="24"/>
  <c r="K146" i="24"/>
  <c r="J122" i="24"/>
  <c r="H74" i="24"/>
  <c r="I98" i="24"/>
  <c r="N145" i="24"/>
  <c r="M121" i="24"/>
  <c r="K73" i="24"/>
  <c r="L97" i="24"/>
  <c r="Q144" i="24"/>
  <c r="P120" i="24"/>
  <c r="N72" i="24"/>
  <c r="O96" i="24"/>
  <c r="S119" i="24"/>
  <c r="T143" i="24"/>
  <c r="Q71" i="24"/>
  <c r="R95" i="24"/>
  <c r="W142" i="24"/>
  <c r="V118" i="24"/>
  <c r="T70" i="24"/>
  <c r="U94" i="24"/>
  <c r="Y117" i="24"/>
  <c r="W69" i="24"/>
  <c r="X93" i="24"/>
  <c r="M140" i="24"/>
  <c r="L116" i="24"/>
  <c r="J68" i="24"/>
  <c r="K92" i="24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/>
  <c r="D55" i="24"/>
  <c r="D54" i="24"/>
  <c r="D53" i="24"/>
  <c r="D52" i="24"/>
  <c r="D51" i="24"/>
  <c r="D50" i="24"/>
  <c r="E214" i="24"/>
  <c r="D49" i="24"/>
  <c r="E213" i="24"/>
  <c r="D48" i="24"/>
  <c r="E212" i="24"/>
  <c r="D47" i="24"/>
  <c r="E211" i="24"/>
  <c r="D46" i="24"/>
  <c r="E210" i="24"/>
  <c r="D44" i="24"/>
  <c r="E208" i="24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/>
  <c r="R178" i="17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/>
  <c r="F453" i="20"/>
  <c r="F454" i="20"/>
  <c r="F443" i="20"/>
  <c r="I242" i="12"/>
  <c r="Q231" i="12"/>
  <c r="Q193" i="12"/>
  <c r="Q194" i="12"/>
  <c r="I231" i="12"/>
  <c r="I193" i="12"/>
  <c r="I194" i="12"/>
  <c r="W231" i="12"/>
  <c r="W193" i="12"/>
  <c r="W194" i="12"/>
  <c r="O231" i="12"/>
  <c r="O193" i="12"/>
  <c r="O194" i="12"/>
  <c r="G231" i="12"/>
  <c r="G193" i="12"/>
  <c r="G194" i="12"/>
  <c r="Y242" i="12"/>
  <c r="U231" i="12"/>
  <c r="U193" i="12"/>
  <c r="U194" i="12"/>
  <c r="M231" i="12"/>
  <c r="M193" i="12"/>
  <c r="M194" i="12"/>
  <c r="E231" i="12"/>
  <c r="E193" i="12"/>
  <c r="E194" i="12"/>
  <c r="Q242" i="12"/>
  <c r="S231" i="12"/>
  <c r="S193" i="12"/>
  <c r="S194" i="12"/>
  <c r="K231" i="12"/>
  <c r="K193" i="12"/>
  <c r="K194" i="12"/>
  <c r="V242" i="12"/>
  <c r="F242" i="12"/>
  <c r="L231" i="12"/>
  <c r="L193" i="12"/>
  <c r="L194" i="12"/>
  <c r="P242" i="12"/>
  <c r="R231" i="12"/>
  <c r="R193" i="12"/>
  <c r="R194" i="12"/>
  <c r="W242" i="12"/>
  <c r="G242" i="12"/>
  <c r="U242" i="12"/>
  <c r="X231" i="12"/>
  <c r="X193" i="12"/>
  <c r="X194" i="12"/>
  <c r="H231" i="12"/>
  <c r="H193" i="12"/>
  <c r="H194" i="12"/>
  <c r="N231" i="12"/>
  <c r="N193" i="12"/>
  <c r="N194" i="12"/>
  <c r="E241" i="12"/>
  <c r="J231" i="12"/>
  <c r="J193" i="12"/>
  <c r="J194" i="12"/>
  <c r="J242" i="12"/>
  <c r="P231" i="12"/>
  <c r="P193" i="12"/>
  <c r="P194" i="12"/>
  <c r="T242" i="12"/>
  <c r="V231" i="12"/>
  <c r="V193" i="12"/>
  <c r="V194" i="12"/>
  <c r="F231" i="12"/>
  <c r="F193" i="12"/>
  <c r="F194" i="12"/>
  <c r="K242" i="12"/>
  <c r="E242" i="12"/>
  <c r="R242" i="12"/>
  <c r="L242" i="12"/>
  <c r="S242" i="12"/>
  <c r="M242" i="12"/>
  <c r="N242" i="12"/>
  <c r="T231" i="12"/>
  <c r="T193" i="12"/>
  <c r="T194" i="12"/>
  <c r="X242" i="12"/>
  <c r="H242" i="12"/>
  <c r="O242" i="12"/>
  <c r="Y231" i="12"/>
  <c r="Y193" i="12"/>
  <c r="Y194" i="12"/>
  <c r="G453" i="20"/>
  <c r="E228" i="20"/>
  <c r="E217" i="20"/>
  <c r="F227" i="20"/>
  <c r="V436" i="17"/>
  <c r="V201" i="17"/>
  <c r="T422" i="17"/>
  <c r="T199" i="17"/>
  <c r="U281" i="17"/>
  <c r="U80" i="17"/>
  <c r="U237" i="17"/>
  <c r="U49" i="17"/>
  <c r="R260" i="17"/>
  <c r="R77" i="17"/>
  <c r="R85" i="17"/>
  <c r="R87" i="17"/>
  <c r="R88" i="17"/>
  <c r="U318" i="17"/>
  <c r="U110" i="17"/>
  <c r="V251" i="17"/>
  <c r="V51" i="17"/>
  <c r="V325" i="17"/>
  <c r="V111" i="17"/>
  <c r="V288" i="17"/>
  <c r="V81" i="17"/>
  <c r="V399" i="17"/>
  <c r="V171" i="17"/>
  <c r="V353" i="17"/>
  <c r="S266" i="17"/>
  <c r="S268" i="17"/>
  <c r="U273" i="17"/>
  <c r="U275" i="17"/>
  <c r="V362" i="17"/>
  <c r="V141" i="17"/>
  <c r="S340" i="17"/>
  <c r="S342" i="17"/>
  <c r="V235" i="17"/>
  <c r="U420" i="17"/>
  <c r="W434" i="17"/>
  <c r="T384" i="17"/>
  <c r="T386" i="17"/>
  <c r="V392" i="17"/>
  <c r="V170" i="17"/>
  <c r="S230" i="17"/>
  <c r="S48" i="17"/>
  <c r="S370" i="17"/>
  <c r="S372" i="17"/>
  <c r="V428" i="17"/>
  <c r="V430" i="17"/>
  <c r="R297" i="17"/>
  <c r="R107" i="17"/>
  <c r="R115" i="17"/>
  <c r="R117" i="17"/>
  <c r="R118" i="17"/>
  <c r="V316" i="17"/>
  <c r="W323" i="17"/>
  <c r="R408" i="17"/>
  <c r="R197" i="17"/>
  <c r="R205" i="17"/>
  <c r="R207" i="17"/>
  <c r="R208" i="17"/>
  <c r="S377" i="17"/>
  <c r="S379" i="17"/>
  <c r="U355" i="17"/>
  <c r="U140" i="17"/>
  <c r="W286" i="17"/>
  <c r="S295" i="17"/>
  <c r="W397" i="17"/>
  <c r="S406" i="17"/>
  <c r="V346" i="17"/>
  <c r="U348" i="17"/>
  <c r="U139" i="17"/>
  <c r="W360" i="17"/>
  <c r="V279" i="17"/>
  <c r="S258" i="17"/>
  <c r="R333" i="17"/>
  <c r="R335" i="17"/>
  <c r="T414" i="17"/>
  <c r="T416" i="17"/>
  <c r="W390" i="17"/>
  <c r="U243" i="17"/>
  <c r="U245" i="17"/>
  <c r="T228" i="17"/>
  <c r="R222" i="17"/>
  <c r="R224" i="17"/>
  <c r="T303" i="17"/>
  <c r="T305" i="17"/>
  <c r="U310" i="17"/>
  <c r="U312" i="17"/>
  <c r="W249" i="17"/>
  <c r="D139" i="24"/>
  <c r="D115" i="24"/>
  <c r="D91" i="24"/>
  <c r="D67" i="24"/>
  <c r="D86" i="24"/>
  <c r="G206" i="24"/>
  <c r="D90" i="24"/>
  <c r="D89" i="24"/>
  <c r="D88" i="24"/>
  <c r="D65" i="24"/>
  <c r="D77" i="24"/>
  <c r="D117" i="24"/>
  <c r="H209" i="24"/>
  <c r="M80" i="24"/>
  <c r="M162" i="24"/>
  <c r="S128" i="24"/>
  <c r="Y80" i="24"/>
  <c r="Y81" i="24"/>
  <c r="Y171" i="24"/>
  <c r="K80" i="24"/>
  <c r="K81" i="24"/>
  <c r="K171" i="24"/>
  <c r="D75" i="24"/>
  <c r="D68" i="24"/>
  <c r="F208" i="24"/>
  <c r="Q80" i="24"/>
  <c r="Q162" i="24"/>
  <c r="U80" i="24"/>
  <c r="U81" i="24"/>
  <c r="U171" i="24"/>
  <c r="D70" i="24"/>
  <c r="F210" i="24"/>
  <c r="S80" i="24"/>
  <c r="S81" i="24"/>
  <c r="S171" i="24"/>
  <c r="R80" i="24"/>
  <c r="R162" i="24"/>
  <c r="D79" i="24"/>
  <c r="X80" i="24"/>
  <c r="X81" i="24"/>
  <c r="X171" i="24"/>
  <c r="D78" i="24"/>
  <c r="W80" i="24"/>
  <c r="W81" i="24"/>
  <c r="W171" i="24"/>
  <c r="D66" i="24"/>
  <c r="D71" i="24"/>
  <c r="F211" i="24"/>
  <c r="I80" i="24"/>
  <c r="I81" i="24"/>
  <c r="I171" i="24"/>
  <c r="D74" i="24"/>
  <c r="F214" i="24"/>
  <c r="D62" i="24"/>
  <c r="F206" i="24"/>
  <c r="V80" i="24"/>
  <c r="V81" i="24"/>
  <c r="V171" i="24"/>
  <c r="D73" i="24"/>
  <c r="F213" i="24"/>
  <c r="P80" i="24"/>
  <c r="P162" i="24"/>
  <c r="D72" i="24"/>
  <c r="F212" i="24"/>
  <c r="D76" i="24"/>
  <c r="O80" i="24"/>
  <c r="O81" i="24"/>
  <c r="O171" i="24"/>
  <c r="T80" i="24"/>
  <c r="T162" i="24"/>
  <c r="H80" i="24"/>
  <c r="H162" i="24"/>
  <c r="D64" i="24"/>
  <c r="N80" i="24"/>
  <c r="N81" i="24"/>
  <c r="N171" i="24"/>
  <c r="K152" i="24"/>
  <c r="D146" i="24"/>
  <c r="I214" i="24"/>
  <c r="T104" i="24"/>
  <c r="V104" i="24"/>
  <c r="L80" i="24"/>
  <c r="L162" i="24"/>
  <c r="D69" i="24"/>
  <c r="F209" i="24"/>
  <c r="D116" i="24"/>
  <c r="H208" i="24"/>
  <c r="D140" i="24"/>
  <c r="I208" i="24"/>
  <c r="D110" i="24"/>
  <c r="H206" i="24"/>
  <c r="R152" i="24"/>
  <c r="O104" i="24"/>
  <c r="Q104" i="24"/>
  <c r="Q128" i="24"/>
  <c r="Q129" i="24"/>
  <c r="V128" i="24"/>
  <c r="V129" i="24"/>
  <c r="O128" i="24"/>
  <c r="O129" i="24"/>
  <c r="J80" i="24"/>
  <c r="J162" i="24"/>
  <c r="D121" i="24"/>
  <c r="H213" i="24"/>
  <c r="X104" i="24"/>
  <c r="I104" i="24"/>
  <c r="Y104" i="24"/>
  <c r="J104" i="24"/>
  <c r="M128" i="24"/>
  <c r="M129" i="24"/>
  <c r="L152" i="24"/>
  <c r="Y152" i="24"/>
  <c r="K128" i="24"/>
  <c r="K129" i="24"/>
  <c r="L104" i="24"/>
  <c r="M104" i="24"/>
  <c r="N104" i="24"/>
  <c r="D137" i="24"/>
  <c r="D134" i="24"/>
  <c r="I206" i="24"/>
  <c r="D142" i="24"/>
  <c r="I210" i="24"/>
  <c r="D114" i="24"/>
  <c r="D103" i="24"/>
  <c r="P128" i="24"/>
  <c r="P129" i="24"/>
  <c r="D141" i="24"/>
  <c r="I209" i="24"/>
  <c r="D145" i="24"/>
  <c r="I213" i="24"/>
  <c r="D149" i="24"/>
  <c r="D97" i="24"/>
  <c r="G213" i="24"/>
  <c r="D122" i="24"/>
  <c r="H214" i="24"/>
  <c r="O152" i="24"/>
  <c r="N152" i="24"/>
  <c r="D113" i="24"/>
  <c r="T128" i="24"/>
  <c r="T129" i="24"/>
  <c r="D96" i="24"/>
  <c r="G212" i="24"/>
  <c r="X128" i="24"/>
  <c r="X129" i="24"/>
  <c r="R128" i="24"/>
  <c r="R129" i="24"/>
  <c r="D102" i="24"/>
  <c r="S104" i="24"/>
  <c r="U104" i="24"/>
  <c r="P152" i="24"/>
  <c r="D118" i="24"/>
  <c r="H210" i="24"/>
  <c r="D150" i="24"/>
  <c r="D126" i="24"/>
  <c r="T152" i="24"/>
  <c r="D99" i="24"/>
  <c r="D148" i="24"/>
  <c r="W104" i="24"/>
  <c r="M152" i="24"/>
  <c r="Y128" i="24"/>
  <c r="Y129" i="24"/>
  <c r="X152" i="24"/>
  <c r="K104" i="24"/>
  <c r="D136" i="24"/>
  <c r="P104" i="24"/>
  <c r="R104" i="24"/>
  <c r="D95" i="24"/>
  <c r="G211" i="24"/>
  <c r="D127" i="24"/>
  <c r="D93" i="24"/>
  <c r="G209" i="24"/>
  <c r="D101" i="24"/>
  <c r="U128" i="24"/>
  <c r="U129" i="24"/>
  <c r="D119" i="24"/>
  <c r="H211" i="24"/>
  <c r="N128" i="24"/>
  <c r="N129" i="24"/>
  <c r="D143" i="24"/>
  <c r="I211" i="24"/>
  <c r="D125" i="24"/>
  <c r="W128" i="24"/>
  <c r="W129" i="24"/>
  <c r="D144" i="24"/>
  <c r="I212" i="24"/>
  <c r="D100" i="24"/>
  <c r="D92" i="24"/>
  <c r="G208" i="24"/>
  <c r="S152" i="24"/>
  <c r="L128" i="24"/>
  <c r="L129" i="24"/>
  <c r="D94" i="24"/>
  <c r="G210" i="24"/>
  <c r="D123" i="24"/>
  <c r="D147" i="24"/>
  <c r="J128" i="24"/>
  <c r="J129" i="24"/>
  <c r="Q152" i="24"/>
  <c r="D112" i="24"/>
  <c r="V152" i="24"/>
  <c r="D124" i="24"/>
  <c r="U152" i="24"/>
  <c r="D98" i="24"/>
  <c r="G214" i="24"/>
  <c r="D151" i="24"/>
  <c r="D120" i="24"/>
  <c r="H212" i="24"/>
  <c r="D138" i="24"/>
  <c r="W152" i="24"/>
  <c r="H181" i="24"/>
  <c r="H104" i="24"/>
  <c r="J183" i="24"/>
  <c r="J152" i="24"/>
  <c r="G181" i="24"/>
  <c r="D85" i="24"/>
  <c r="G205" i="24"/>
  <c r="G80" i="24"/>
  <c r="G180" i="24"/>
  <c r="H182" i="24"/>
  <c r="D109" i="24"/>
  <c r="H205" i="24"/>
  <c r="H128" i="24"/>
  <c r="H129" i="24"/>
  <c r="F80" i="24"/>
  <c r="F81" i="24"/>
  <c r="F180" i="24"/>
  <c r="D61" i="24"/>
  <c r="F205" i="24"/>
  <c r="I182" i="24"/>
  <c r="I128" i="24"/>
  <c r="I129" i="24"/>
  <c r="I183" i="24"/>
  <c r="D133" i="24"/>
  <c r="I205" i="24"/>
  <c r="I152" i="24"/>
  <c r="E215" i="24"/>
  <c r="E207" i="24"/>
  <c r="X161" i="24"/>
  <c r="X57" i="24"/>
  <c r="X170" i="24"/>
  <c r="N57" i="24"/>
  <c r="N170" i="24"/>
  <c r="N161" i="24"/>
  <c r="I161" i="24"/>
  <c r="I57" i="24"/>
  <c r="I170" i="24"/>
  <c r="R161" i="24"/>
  <c r="R57" i="24"/>
  <c r="R170" i="24"/>
  <c r="K161" i="24"/>
  <c r="K57" i="24"/>
  <c r="K170" i="24"/>
  <c r="Q161" i="24"/>
  <c r="Q57" i="24"/>
  <c r="Q170" i="24"/>
  <c r="U161" i="24"/>
  <c r="U57" i="24"/>
  <c r="U170" i="24"/>
  <c r="P161" i="24"/>
  <c r="P57" i="24"/>
  <c r="P170" i="24"/>
  <c r="W161" i="24"/>
  <c r="W57" i="24"/>
  <c r="W170" i="24"/>
  <c r="H161" i="24"/>
  <c r="H57" i="24"/>
  <c r="H170" i="24"/>
  <c r="L161" i="24"/>
  <c r="L57" i="24"/>
  <c r="L170" i="24"/>
  <c r="Y57" i="24"/>
  <c r="Y170" i="24"/>
  <c r="Y161" i="24"/>
  <c r="O57" i="24"/>
  <c r="O170" i="24"/>
  <c r="O161" i="24"/>
  <c r="S161" i="24"/>
  <c r="S57" i="24"/>
  <c r="S170" i="24"/>
  <c r="M161" i="24"/>
  <c r="M57" i="24"/>
  <c r="M170" i="24"/>
  <c r="V161" i="24"/>
  <c r="V57" i="24"/>
  <c r="V170" i="24"/>
  <c r="T161" i="24"/>
  <c r="T57" i="24"/>
  <c r="T170" i="24"/>
  <c r="J161" i="24"/>
  <c r="J57" i="24"/>
  <c r="J170" i="24"/>
  <c r="G161" i="24"/>
  <c r="G57" i="24"/>
  <c r="G170" i="24"/>
  <c r="E161" i="24"/>
  <c r="E57" i="24"/>
  <c r="E189" i="12"/>
  <c r="E190" i="12"/>
  <c r="E243" i="12"/>
  <c r="E230" i="12"/>
  <c r="F240" i="12"/>
  <c r="F241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D198" i="12"/>
  <c r="F86" i="10"/>
  <c r="G454" i="20"/>
  <c r="G443" i="20"/>
  <c r="H453" i="20"/>
  <c r="G227" i="20"/>
  <c r="F228" i="20"/>
  <c r="F217" i="20"/>
  <c r="T415" i="17"/>
  <c r="T198" i="17"/>
  <c r="R334" i="17"/>
  <c r="R137" i="17"/>
  <c r="R145" i="17"/>
  <c r="R147" i="17"/>
  <c r="R148" i="17"/>
  <c r="S371" i="17"/>
  <c r="S167" i="17"/>
  <c r="T385" i="17"/>
  <c r="T169" i="17"/>
  <c r="U311" i="17"/>
  <c r="U109" i="17"/>
  <c r="S341" i="17"/>
  <c r="S138" i="17"/>
  <c r="S221" i="17"/>
  <c r="V280" i="17"/>
  <c r="V282" i="17"/>
  <c r="V317" i="17"/>
  <c r="V319" i="17"/>
  <c r="W427" i="17"/>
  <c r="U421" i="17"/>
  <c r="U423" i="17"/>
  <c r="V236" i="17"/>
  <c r="V238" i="17"/>
  <c r="V272" i="17"/>
  <c r="T265" i="17"/>
  <c r="T304" i="17"/>
  <c r="T108" i="17"/>
  <c r="R223" i="17"/>
  <c r="R47" i="17"/>
  <c r="R55" i="17"/>
  <c r="R57" i="17"/>
  <c r="R58" i="17"/>
  <c r="U244" i="17"/>
  <c r="U50" i="17"/>
  <c r="U413" i="17"/>
  <c r="V347" i="17"/>
  <c r="V349" i="17"/>
  <c r="W398" i="17"/>
  <c r="W400" i="17"/>
  <c r="W287" i="17"/>
  <c r="W289" i="17"/>
  <c r="U274" i="17"/>
  <c r="U79" i="17"/>
  <c r="U302" i="17"/>
  <c r="V242" i="17"/>
  <c r="S259" i="17"/>
  <c r="S261" i="17"/>
  <c r="S378" i="17"/>
  <c r="S168" i="17"/>
  <c r="W324" i="17"/>
  <c r="W326" i="17"/>
  <c r="T369" i="17"/>
  <c r="W435" i="17"/>
  <c r="W437" i="17"/>
  <c r="T339" i="17"/>
  <c r="V354" i="17"/>
  <c r="V356" i="17"/>
  <c r="W250" i="17"/>
  <c r="W252" i="17"/>
  <c r="T376" i="17"/>
  <c r="V309" i="17"/>
  <c r="W391" i="17"/>
  <c r="W393" i="17"/>
  <c r="W361" i="17"/>
  <c r="W363" i="17"/>
  <c r="T229" i="17"/>
  <c r="T231" i="17"/>
  <c r="S332" i="17"/>
  <c r="S407" i="17"/>
  <c r="S409" i="17"/>
  <c r="S296" i="17"/>
  <c r="S298" i="17"/>
  <c r="V429" i="17"/>
  <c r="V200" i="17"/>
  <c r="U383" i="17"/>
  <c r="S267" i="17"/>
  <c r="S78" i="17"/>
  <c r="S164" i="24"/>
  <c r="S129" i="24"/>
  <c r="S173" i="24"/>
  <c r="G207" i="24"/>
  <c r="Y162" i="24"/>
  <c r="S162" i="24"/>
  <c r="O162" i="24"/>
  <c r="N162" i="24"/>
  <c r="I162" i="24"/>
  <c r="W162" i="24"/>
  <c r="Q81" i="24"/>
  <c r="Q171" i="24"/>
  <c r="R81" i="24"/>
  <c r="R171" i="24"/>
  <c r="T81" i="24"/>
  <c r="T171" i="24"/>
  <c r="U162" i="24"/>
  <c r="V162" i="24"/>
  <c r="X162" i="24"/>
  <c r="M81" i="24"/>
  <c r="M171" i="24"/>
  <c r="K162" i="24"/>
  <c r="H81" i="24"/>
  <c r="H171" i="24"/>
  <c r="L81" i="24"/>
  <c r="L171" i="24"/>
  <c r="P81" i="24"/>
  <c r="P171" i="24"/>
  <c r="J81" i="24"/>
  <c r="J171" i="24"/>
  <c r="F207" i="24"/>
  <c r="F215" i="24"/>
  <c r="V165" i="24"/>
  <c r="V153" i="24"/>
  <c r="V174" i="24"/>
  <c r="I215" i="24"/>
  <c r="S165" i="24"/>
  <c r="S153" i="24"/>
  <c r="S174" i="24"/>
  <c r="W164" i="24"/>
  <c r="W173" i="24"/>
  <c r="I207" i="24"/>
  <c r="M165" i="24"/>
  <c r="M153" i="24"/>
  <c r="M174" i="24"/>
  <c r="T165" i="24"/>
  <c r="T153" i="24"/>
  <c r="T174" i="24"/>
  <c r="P153" i="24"/>
  <c r="P174" i="24"/>
  <c r="P165" i="24"/>
  <c r="R173" i="24"/>
  <c r="R164" i="24"/>
  <c r="O153" i="24"/>
  <c r="O174" i="24"/>
  <c r="O165" i="24"/>
  <c r="N105" i="24"/>
  <c r="N172" i="24"/>
  <c r="N163" i="24"/>
  <c r="Y165" i="24"/>
  <c r="Y153" i="24"/>
  <c r="Y174" i="24"/>
  <c r="Y163" i="24"/>
  <c r="Y105" i="24"/>
  <c r="Y172" i="24"/>
  <c r="Q163" i="24"/>
  <c r="Q105" i="24"/>
  <c r="Q172" i="24"/>
  <c r="V105" i="24"/>
  <c r="V172" i="24"/>
  <c r="V163" i="24"/>
  <c r="W165" i="24"/>
  <c r="W153" i="24"/>
  <c r="W174" i="24"/>
  <c r="H207" i="24"/>
  <c r="H215" i="24"/>
  <c r="U164" i="24"/>
  <c r="U173" i="24"/>
  <c r="K163" i="24"/>
  <c r="K105" i="24"/>
  <c r="K172" i="24"/>
  <c r="W105" i="24"/>
  <c r="W172" i="24"/>
  <c r="W163" i="24"/>
  <c r="U105" i="24"/>
  <c r="U172" i="24"/>
  <c r="U163" i="24"/>
  <c r="X173" i="24"/>
  <c r="X164" i="24"/>
  <c r="T173" i="24"/>
  <c r="T164" i="24"/>
  <c r="M163" i="24"/>
  <c r="M105" i="24"/>
  <c r="M172" i="24"/>
  <c r="L165" i="24"/>
  <c r="L153" i="24"/>
  <c r="L174" i="24"/>
  <c r="I163" i="24"/>
  <c r="I105" i="24"/>
  <c r="I172" i="24"/>
  <c r="O173" i="24"/>
  <c r="O164" i="24"/>
  <c r="O105" i="24"/>
  <c r="O172" i="24"/>
  <c r="O163" i="24"/>
  <c r="T105" i="24"/>
  <c r="T172" i="24"/>
  <c r="T163" i="24"/>
  <c r="U165" i="24"/>
  <c r="U153" i="24"/>
  <c r="U174" i="24"/>
  <c r="Q165" i="24"/>
  <c r="Q153" i="24"/>
  <c r="Q174" i="24"/>
  <c r="R163" i="24"/>
  <c r="R105" i="24"/>
  <c r="R172" i="24"/>
  <c r="X165" i="24"/>
  <c r="X153" i="24"/>
  <c r="X174" i="24"/>
  <c r="S163" i="24"/>
  <c r="S105" i="24"/>
  <c r="S172" i="24"/>
  <c r="P164" i="24"/>
  <c r="P173" i="24"/>
  <c r="L105" i="24"/>
  <c r="L172" i="24"/>
  <c r="L163" i="24"/>
  <c r="M164" i="24"/>
  <c r="M173" i="24"/>
  <c r="X163" i="24"/>
  <c r="X105" i="24"/>
  <c r="X172" i="24"/>
  <c r="V164" i="24"/>
  <c r="V173" i="24"/>
  <c r="R153" i="24"/>
  <c r="R174" i="24"/>
  <c r="R165" i="24"/>
  <c r="J173" i="24"/>
  <c r="J164" i="24"/>
  <c r="L173" i="24"/>
  <c r="L164" i="24"/>
  <c r="N164" i="24"/>
  <c r="N173" i="24"/>
  <c r="P163" i="24"/>
  <c r="P105" i="24"/>
  <c r="P172" i="24"/>
  <c r="Y164" i="24"/>
  <c r="Y173" i="24"/>
  <c r="G215" i="24"/>
  <c r="N165" i="24"/>
  <c r="N153" i="24"/>
  <c r="N174" i="24"/>
  <c r="K173" i="24"/>
  <c r="K164" i="24"/>
  <c r="J163" i="24"/>
  <c r="J105" i="24"/>
  <c r="J172" i="24"/>
  <c r="Q164" i="24"/>
  <c r="Q173" i="24"/>
  <c r="K165" i="24"/>
  <c r="K153" i="24"/>
  <c r="K174" i="24"/>
  <c r="J165" i="24"/>
  <c r="J153" i="24"/>
  <c r="J174" i="24"/>
  <c r="I173" i="24"/>
  <c r="I164" i="24"/>
  <c r="F162" i="24"/>
  <c r="D80" i="24"/>
  <c r="H164" i="24"/>
  <c r="D128" i="24"/>
  <c r="H163" i="24"/>
  <c r="H105" i="24"/>
  <c r="H172" i="24"/>
  <c r="G162" i="24"/>
  <c r="G81" i="24"/>
  <c r="G171" i="24"/>
  <c r="I165" i="24"/>
  <c r="D152" i="24"/>
  <c r="I153" i="24"/>
  <c r="G163" i="24"/>
  <c r="D104" i="24"/>
  <c r="E170" i="24"/>
  <c r="S175" i="17"/>
  <c r="S177" i="17"/>
  <c r="S178" i="17"/>
  <c r="D200" i="12"/>
  <c r="F89" i="10"/>
  <c r="F189" i="12"/>
  <c r="F190" i="12"/>
  <c r="G240" i="12"/>
  <c r="G241" i="12"/>
  <c r="F243" i="12"/>
  <c r="F230" i="12"/>
  <c r="H454" i="20"/>
  <c r="H443" i="20"/>
  <c r="I453" i="20"/>
  <c r="H227" i="20"/>
  <c r="G228" i="20"/>
  <c r="G217" i="20"/>
  <c r="U422" i="17"/>
  <c r="U199" i="17"/>
  <c r="T230" i="17"/>
  <c r="T48" i="17"/>
  <c r="W362" i="17"/>
  <c r="W141" i="17"/>
  <c r="W325" i="17"/>
  <c r="W111" i="17"/>
  <c r="S260" i="17"/>
  <c r="S77" i="17"/>
  <c r="S85" i="17"/>
  <c r="S87" i="17"/>
  <c r="S88" i="17"/>
  <c r="S297" i="17"/>
  <c r="S107" i="17"/>
  <c r="S115" i="17"/>
  <c r="S117" i="17"/>
  <c r="S118" i="17"/>
  <c r="V355" i="17"/>
  <c r="V140" i="17"/>
  <c r="T370" i="17"/>
  <c r="T372" i="17"/>
  <c r="W346" i="17"/>
  <c r="W316" i="17"/>
  <c r="T406" i="17"/>
  <c r="T377" i="17"/>
  <c r="T379" i="17"/>
  <c r="X249" i="17"/>
  <c r="T340" i="17"/>
  <c r="T342" i="17"/>
  <c r="X434" i="17"/>
  <c r="V243" i="17"/>
  <c r="V245" i="17"/>
  <c r="X397" i="17"/>
  <c r="V348" i="17"/>
  <c r="V139" i="17"/>
  <c r="V420" i="17"/>
  <c r="W279" i="17"/>
  <c r="X390" i="17"/>
  <c r="W428" i="17"/>
  <c r="W430" i="17"/>
  <c r="S408" i="17"/>
  <c r="S197" i="17"/>
  <c r="S205" i="17"/>
  <c r="S207" i="17"/>
  <c r="S208" i="17"/>
  <c r="W392" i="17"/>
  <c r="W170" i="17"/>
  <c r="W353" i="17"/>
  <c r="W436" i="17"/>
  <c r="W201" i="17"/>
  <c r="X286" i="17"/>
  <c r="T266" i="17"/>
  <c r="T268" i="17"/>
  <c r="W235" i="17"/>
  <c r="V318" i="17"/>
  <c r="V110" i="17"/>
  <c r="S222" i="17"/>
  <c r="S224" i="17"/>
  <c r="S333" i="17"/>
  <c r="S335" i="17"/>
  <c r="U414" i="17"/>
  <c r="U416" i="17"/>
  <c r="V273" i="17"/>
  <c r="V275" i="17"/>
  <c r="U384" i="17"/>
  <c r="U386" i="17"/>
  <c r="T295" i="17"/>
  <c r="U228" i="17"/>
  <c r="X360" i="17"/>
  <c r="V310" i="17"/>
  <c r="V312" i="17"/>
  <c r="W251" i="17"/>
  <c r="W51" i="17"/>
  <c r="X323" i="17"/>
  <c r="T258" i="17"/>
  <c r="U303" i="17"/>
  <c r="U305" i="17"/>
  <c r="W288" i="17"/>
  <c r="W81" i="17"/>
  <c r="W399" i="17"/>
  <c r="W171" i="17"/>
  <c r="V237" i="17"/>
  <c r="V49" i="17"/>
  <c r="V281" i="17"/>
  <c r="V80" i="17"/>
  <c r="G216" i="24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/>
  <c r="H240" i="12"/>
  <c r="H241" i="12"/>
  <c r="G243" i="12"/>
  <c r="G230" i="12"/>
  <c r="I454" i="20"/>
  <c r="I443" i="20"/>
  <c r="J453" i="20"/>
  <c r="I227" i="20"/>
  <c r="H228" i="20"/>
  <c r="H217" i="20"/>
  <c r="W429" i="17"/>
  <c r="W200" i="17"/>
  <c r="V311" i="17"/>
  <c r="V109" i="17"/>
  <c r="V274" i="17"/>
  <c r="V79" i="17"/>
  <c r="S223" i="17"/>
  <c r="S47" i="17"/>
  <c r="S55" i="17"/>
  <c r="S57" i="17"/>
  <c r="S58" i="17"/>
  <c r="U415" i="17"/>
  <c r="U198" i="17"/>
  <c r="S334" i="17"/>
  <c r="S137" i="17"/>
  <c r="S145" i="17"/>
  <c r="S147" i="17"/>
  <c r="S148" i="17"/>
  <c r="T341" i="17"/>
  <c r="T138" i="17"/>
  <c r="V302" i="17"/>
  <c r="U229" i="17"/>
  <c r="U231" i="17"/>
  <c r="U265" i="17"/>
  <c r="U385" i="17"/>
  <c r="U169" i="17"/>
  <c r="W280" i="17"/>
  <c r="W282" i="17"/>
  <c r="V421" i="17"/>
  <c r="V423" i="17"/>
  <c r="X435" i="17"/>
  <c r="X437" i="17"/>
  <c r="U376" i="17"/>
  <c r="W317" i="17"/>
  <c r="W319" i="17"/>
  <c r="U369" i="17"/>
  <c r="T259" i="17"/>
  <c r="T261" i="17"/>
  <c r="X361" i="17"/>
  <c r="X363" i="17"/>
  <c r="T296" i="17"/>
  <c r="T298" i="17"/>
  <c r="T221" i="17"/>
  <c r="T267" i="17"/>
  <c r="T78" i="17"/>
  <c r="W354" i="17"/>
  <c r="W356" i="17"/>
  <c r="W242" i="17"/>
  <c r="X250" i="17"/>
  <c r="X252" i="17"/>
  <c r="T378" i="17"/>
  <c r="T168" i="17"/>
  <c r="X324" i="17"/>
  <c r="X326" i="17"/>
  <c r="V383" i="17"/>
  <c r="W236" i="17"/>
  <c r="W238" i="17"/>
  <c r="X398" i="17"/>
  <c r="X400" i="17"/>
  <c r="W347" i="17"/>
  <c r="W349" i="17"/>
  <c r="U304" i="17"/>
  <c r="U108" i="17"/>
  <c r="W309" i="17"/>
  <c r="W272" i="17"/>
  <c r="V413" i="17"/>
  <c r="T332" i="17"/>
  <c r="X287" i="17"/>
  <c r="X289" i="17"/>
  <c r="X427" i="17"/>
  <c r="X391" i="17"/>
  <c r="X393" i="17"/>
  <c r="V244" i="17"/>
  <c r="V50" i="17"/>
  <c r="U339" i="17"/>
  <c r="T407" i="17"/>
  <c r="T409" i="17"/>
  <c r="T371" i="17"/>
  <c r="T167" i="17"/>
  <c r="G218" i="24"/>
  <c r="F218" i="24"/>
  <c r="I218" i="24"/>
  <c r="H218" i="24"/>
  <c r="T175" i="17"/>
  <c r="T177" i="17"/>
  <c r="T178" i="17"/>
  <c r="H189" i="12"/>
  <c r="H190" i="12"/>
  <c r="I240" i="12"/>
  <c r="I241" i="12"/>
  <c r="H243" i="12"/>
  <c r="H230" i="12"/>
  <c r="K453" i="20"/>
  <c r="J454" i="20"/>
  <c r="J443" i="20"/>
  <c r="J227" i="20"/>
  <c r="I228" i="20"/>
  <c r="I217" i="20"/>
  <c r="W281" i="17"/>
  <c r="W80" i="17"/>
  <c r="X325" i="17"/>
  <c r="X111" i="17"/>
  <c r="D111" i="17"/>
  <c r="X288" i="17"/>
  <c r="X81" i="17"/>
  <c r="D81" i="17"/>
  <c r="X235" i="17"/>
  <c r="W420" i="17"/>
  <c r="T333" i="17"/>
  <c r="T335" i="17"/>
  <c r="W273" i="17"/>
  <c r="W275" i="17"/>
  <c r="W243" i="17"/>
  <c r="W245" i="17"/>
  <c r="X353" i="17"/>
  <c r="U295" i="17"/>
  <c r="U258" i="17"/>
  <c r="W318" i="17"/>
  <c r="W110" i="17"/>
  <c r="X279" i="17"/>
  <c r="U266" i="17"/>
  <c r="U268" i="17"/>
  <c r="V228" i="17"/>
  <c r="X428" i="17"/>
  <c r="X430" i="17"/>
  <c r="U340" i="17"/>
  <c r="U342" i="17"/>
  <c r="X346" i="17"/>
  <c r="W237" i="17"/>
  <c r="W49" i="17"/>
  <c r="X251" i="17"/>
  <c r="X51" i="17"/>
  <c r="D51" i="17"/>
  <c r="W355" i="17"/>
  <c r="W140" i="17"/>
  <c r="T297" i="17"/>
  <c r="T107" i="17"/>
  <c r="T115" i="17"/>
  <c r="T117" i="17"/>
  <c r="T118" i="17"/>
  <c r="X362" i="17"/>
  <c r="X141" i="17"/>
  <c r="D141" i="17"/>
  <c r="U370" i="17"/>
  <c r="U372" i="17"/>
  <c r="X436" i="17"/>
  <c r="X201" i="17"/>
  <c r="D201" i="17"/>
  <c r="V422" i="17"/>
  <c r="V199" i="17"/>
  <c r="V303" i="17"/>
  <c r="V305" i="17"/>
  <c r="U406" i="17"/>
  <c r="X316" i="17"/>
  <c r="T408" i="17"/>
  <c r="T197" i="17"/>
  <c r="T205" i="17"/>
  <c r="T207" i="17"/>
  <c r="T208" i="17"/>
  <c r="X392" i="17"/>
  <c r="X170" i="17"/>
  <c r="D170" i="17"/>
  <c r="V414" i="17"/>
  <c r="V416" i="17"/>
  <c r="W310" i="17"/>
  <c r="W312" i="17"/>
  <c r="W348" i="17"/>
  <c r="W139" i="17"/>
  <c r="X399" i="17"/>
  <c r="X171" i="17"/>
  <c r="D171" i="17"/>
  <c r="V384" i="17"/>
  <c r="V386" i="17"/>
  <c r="Y249" i="17"/>
  <c r="T222" i="17"/>
  <c r="T224" i="17"/>
  <c r="T260" i="17"/>
  <c r="T77" i="17"/>
  <c r="T85" i="17"/>
  <c r="T87" i="17"/>
  <c r="T88" i="17"/>
  <c r="U377" i="17"/>
  <c r="U379" i="17"/>
  <c r="U230" i="17"/>
  <c r="U48" i="17"/>
  <c r="I189" i="12"/>
  <c r="I190" i="12"/>
  <c r="J240" i="12"/>
  <c r="J241" i="12"/>
  <c r="I243" i="12"/>
  <c r="I230" i="12"/>
  <c r="K227" i="20"/>
  <c r="J228" i="20"/>
  <c r="J217" i="20"/>
  <c r="L453" i="20"/>
  <c r="K454" i="20"/>
  <c r="K443" i="20"/>
  <c r="X429" i="17"/>
  <c r="X200" i="17"/>
  <c r="D200" i="17"/>
  <c r="U378" i="17"/>
  <c r="U168" i="17"/>
  <c r="V304" i="17"/>
  <c r="V108" i="17"/>
  <c r="W244" i="17"/>
  <c r="W50" i="17"/>
  <c r="W274" i="17"/>
  <c r="W79" i="17"/>
  <c r="V385" i="17"/>
  <c r="V169" i="17"/>
  <c r="U267" i="17"/>
  <c r="U78" i="17"/>
  <c r="T334" i="17"/>
  <c r="T137" i="17"/>
  <c r="T145" i="17"/>
  <c r="T147" i="17"/>
  <c r="T148" i="17"/>
  <c r="W413" i="17"/>
  <c r="V376" i="17"/>
  <c r="T223" i="17"/>
  <c r="T47" i="17"/>
  <c r="T55" i="17"/>
  <c r="T57" i="17"/>
  <c r="T58" i="17"/>
  <c r="Y250" i="17"/>
  <c r="Y252" i="17"/>
  <c r="W311" i="17"/>
  <c r="W109" i="17"/>
  <c r="W302" i="17"/>
  <c r="V369" i="17"/>
  <c r="X347" i="17"/>
  <c r="X349" i="17"/>
  <c r="U296" i="17"/>
  <c r="U298" i="17"/>
  <c r="X354" i="17"/>
  <c r="X356" i="17"/>
  <c r="V339" i="17"/>
  <c r="X280" i="17"/>
  <c r="X282" i="17"/>
  <c r="U221" i="17"/>
  <c r="U407" i="17"/>
  <c r="U409" i="17"/>
  <c r="X272" i="17"/>
  <c r="X236" i="17"/>
  <c r="X238" i="17"/>
  <c r="X309" i="17"/>
  <c r="X317" i="17"/>
  <c r="X319" i="17"/>
  <c r="W421" i="17"/>
  <c r="W423" i="17"/>
  <c r="W383" i="17"/>
  <c r="V415" i="17"/>
  <c r="V198" i="17"/>
  <c r="U371" i="17"/>
  <c r="U167" i="17"/>
  <c r="U341" i="17"/>
  <c r="U138" i="17"/>
  <c r="V229" i="17"/>
  <c r="V231" i="17"/>
  <c r="V265" i="17"/>
  <c r="U259" i="17"/>
  <c r="U261" i="17"/>
  <c r="X242" i="17"/>
  <c r="U332" i="17"/>
  <c r="U175" i="17"/>
  <c r="U177" i="17"/>
  <c r="U178" i="17"/>
  <c r="U297" i="17"/>
  <c r="U107" i="17"/>
  <c r="U115" i="17"/>
  <c r="U117" i="17"/>
  <c r="U118" i="17"/>
  <c r="J189" i="12"/>
  <c r="J190" i="12"/>
  <c r="K240" i="12"/>
  <c r="K241" i="12"/>
  <c r="J243" i="12"/>
  <c r="J230" i="12"/>
  <c r="M453" i="20"/>
  <c r="L454" i="20"/>
  <c r="L443" i="20"/>
  <c r="L227" i="20"/>
  <c r="K228" i="20"/>
  <c r="K217" i="20"/>
  <c r="X355" i="17"/>
  <c r="X140" i="17"/>
  <c r="D140" i="17"/>
  <c r="V230" i="17"/>
  <c r="V48" i="17"/>
  <c r="U260" i="17"/>
  <c r="U77" i="17"/>
  <c r="U85" i="17"/>
  <c r="U87" i="17"/>
  <c r="U88" i="17"/>
  <c r="U408" i="17"/>
  <c r="U197" i="17"/>
  <c r="U205" i="17"/>
  <c r="U207" i="17"/>
  <c r="U208" i="17"/>
  <c r="X348" i="17"/>
  <c r="X139" i="17"/>
  <c r="D139" i="17"/>
  <c r="V258" i="17"/>
  <c r="W384" i="17"/>
  <c r="W386" i="17"/>
  <c r="X420" i="17"/>
  <c r="Y235" i="17"/>
  <c r="V295" i="17"/>
  <c r="U333" i="17"/>
  <c r="U335" i="17"/>
  <c r="W303" i="17"/>
  <c r="W305" i="17"/>
  <c r="W228" i="17"/>
  <c r="W422" i="17"/>
  <c r="W199" i="17"/>
  <c r="X318" i="17"/>
  <c r="X110" i="17"/>
  <c r="D110" i="17"/>
  <c r="U222" i="17"/>
  <c r="U224" i="17"/>
  <c r="X281" i="17"/>
  <c r="X80" i="17"/>
  <c r="D80" i="17"/>
  <c r="V370" i="17"/>
  <c r="V372" i="17"/>
  <c r="V377" i="17"/>
  <c r="V379" i="17"/>
  <c r="W414" i="17"/>
  <c r="W416" i="17"/>
  <c r="X273" i="17"/>
  <c r="X275" i="17"/>
  <c r="X243" i="17"/>
  <c r="X245" i="17"/>
  <c r="V266" i="17"/>
  <c r="V268" i="17"/>
  <c r="X310" i="17"/>
  <c r="X312" i="17"/>
  <c r="X237" i="17"/>
  <c r="X49" i="17"/>
  <c r="D49" i="17"/>
  <c r="V406" i="17"/>
  <c r="V340" i="17"/>
  <c r="V342" i="17"/>
  <c r="Y251" i="17"/>
  <c r="K189" i="12"/>
  <c r="K190" i="12"/>
  <c r="K243" i="12"/>
  <c r="K230" i="12"/>
  <c r="L240" i="12"/>
  <c r="L241" i="12"/>
  <c r="N453" i="20"/>
  <c r="M454" i="20"/>
  <c r="M443" i="20"/>
  <c r="M227" i="20"/>
  <c r="L228" i="20"/>
  <c r="L217" i="20"/>
  <c r="X311" i="17"/>
  <c r="X109" i="17"/>
  <c r="D109" i="17"/>
  <c r="W415" i="17"/>
  <c r="W198" i="17"/>
  <c r="U223" i="17"/>
  <c r="U47" i="17"/>
  <c r="U55" i="17"/>
  <c r="U57" i="17"/>
  <c r="U58" i="17"/>
  <c r="X274" i="17"/>
  <c r="X79" i="17"/>
  <c r="D79" i="17"/>
  <c r="V267" i="17"/>
  <c r="V78" i="17"/>
  <c r="X244" i="17"/>
  <c r="X50" i="17"/>
  <c r="D50" i="17"/>
  <c r="V407" i="17"/>
  <c r="V409" i="17"/>
  <c r="X413" i="17"/>
  <c r="W376" i="17"/>
  <c r="W304" i="17"/>
  <c r="W108" i="17"/>
  <c r="U334" i="17"/>
  <c r="U137" i="17"/>
  <c r="U145" i="17"/>
  <c r="U147" i="17"/>
  <c r="U148" i="17"/>
  <c r="V296" i="17"/>
  <c r="V298" i="17"/>
  <c r="X421" i="17"/>
  <c r="X423" i="17"/>
  <c r="W339" i="17"/>
  <c r="W369" i="17"/>
  <c r="X302" i="17"/>
  <c r="V332" i="17"/>
  <c r="V259" i="17"/>
  <c r="V261" i="17"/>
  <c r="X383" i="17"/>
  <c r="V341" i="17"/>
  <c r="V138" i="17"/>
  <c r="W265" i="17"/>
  <c r="Y242" i="17"/>
  <c r="V378" i="17"/>
  <c r="V168" i="17"/>
  <c r="V371" i="17"/>
  <c r="V167" i="17"/>
  <c r="V221" i="17"/>
  <c r="W229" i="17"/>
  <c r="W231" i="17"/>
  <c r="Y236" i="17"/>
  <c r="Y238" i="17"/>
  <c r="W385" i="17"/>
  <c r="W169" i="17"/>
  <c r="V175" i="17"/>
  <c r="V177" i="17"/>
  <c r="V178" i="17"/>
  <c r="L189" i="12"/>
  <c r="L190" i="12"/>
  <c r="L243" i="12"/>
  <c r="L230" i="12"/>
  <c r="M240" i="12"/>
  <c r="M241" i="12"/>
  <c r="N227" i="20"/>
  <c r="M228" i="20"/>
  <c r="M217" i="20"/>
  <c r="N454" i="20"/>
  <c r="N443" i="20"/>
  <c r="O453" i="20"/>
  <c r="V297" i="17"/>
  <c r="V107" i="17"/>
  <c r="V115" i="17"/>
  <c r="V117" i="17"/>
  <c r="V118" i="17"/>
  <c r="W230" i="17"/>
  <c r="W48" i="17"/>
  <c r="W266" i="17"/>
  <c r="W268" i="17"/>
  <c r="V333" i="17"/>
  <c r="V335" i="17"/>
  <c r="W370" i="17"/>
  <c r="W372" i="17"/>
  <c r="X422" i="17"/>
  <c r="X199" i="17"/>
  <c r="D199" i="17"/>
  <c r="W295" i="17"/>
  <c r="W377" i="17"/>
  <c r="W379" i="17"/>
  <c r="V222" i="17"/>
  <c r="V224" i="17"/>
  <c r="W258" i="17"/>
  <c r="W406" i="17"/>
  <c r="Y237" i="17"/>
  <c r="X228" i="17"/>
  <c r="Y243" i="17"/>
  <c r="Y245" i="17"/>
  <c r="X384" i="17"/>
  <c r="X386" i="17"/>
  <c r="V260" i="17"/>
  <c r="V77" i="17"/>
  <c r="V85" i="17"/>
  <c r="V87" i="17"/>
  <c r="V88" i="17"/>
  <c r="X303" i="17"/>
  <c r="X305" i="17"/>
  <c r="W340" i="17"/>
  <c r="W342" i="17"/>
  <c r="X414" i="17"/>
  <c r="X416" i="17"/>
  <c r="V408" i="17"/>
  <c r="V197" i="17"/>
  <c r="V205" i="17"/>
  <c r="V207" i="17"/>
  <c r="V208" i="17"/>
  <c r="M189" i="12"/>
  <c r="M190" i="12"/>
  <c r="M243" i="12"/>
  <c r="M230" i="12"/>
  <c r="N240" i="12"/>
  <c r="N241" i="12"/>
  <c r="O227" i="20"/>
  <c r="N228" i="20"/>
  <c r="N217" i="20"/>
  <c r="P453" i="20"/>
  <c r="O454" i="20"/>
  <c r="O443" i="20"/>
  <c r="Y244" i="17"/>
  <c r="X415" i="17"/>
  <c r="X198" i="17"/>
  <c r="D198" i="17"/>
  <c r="W341" i="17"/>
  <c r="W138" i="17"/>
  <c r="X385" i="17"/>
  <c r="X169" i="17"/>
  <c r="D169" i="17"/>
  <c r="V223" i="17"/>
  <c r="V47" i="17"/>
  <c r="V55" i="17"/>
  <c r="V57" i="17"/>
  <c r="V58" i="17"/>
  <c r="W332" i="17"/>
  <c r="X369" i="17"/>
  <c r="X265" i="17"/>
  <c r="W407" i="17"/>
  <c r="W409" i="17"/>
  <c r="W296" i="17"/>
  <c r="W298" i="17"/>
  <c r="V334" i="17"/>
  <c r="V137" i="17"/>
  <c r="V145" i="17"/>
  <c r="V147" i="17"/>
  <c r="V148" i="17"/>
  <c r="W267" i="17"/>
  <c r="W78" i="17"/>
  <c r="W259" i="17"/>
  <c r="W261" i="17"/>
  <c r="X376" i="17"/>
  <c r="X339" i="17"/>
  <c r="X304" i="17"/>
  <c r="X108" i="17"/>
  <c r="D108" i="17"/>
  <c r="X229" i="17"/>
  <c r="X231" i="17"/>
  <c r="W221" i="17"/>
  <c r="W378" i="17"/>
  <c r="W168" i="17"/>
  <c r="W371" i="17"/>
  <c r="W167" i="17"/>
  <c r="W175" i="17"/>
  <c r="W177" i="17"/>
  <c r="W178" i="17"/>
  <c r="N189" i="12"/>
  <c r="N190" i="12"/>
  <c r="N243" i="12"/>
  <c r="N230" i="12"/>
  <c r="O240" i="12"/>
  <c r="O241" i="12"/>
  <c r="Q453" i="20"/>
  <c r="P454" i="20"/>
  <c r="P443" i="20"/>
  <c r="O228" i="20"/>
  <c r="O217" i="20"/>
  <c r="P227" i="20"/>
  <c r="W297" i="17"/>
  <c r="W107" i="17"/>
  <c r="W115" i="17"/>
  <c r="W117" i="17"/>
  <c r="W118" i="17"/>
  <c r="W260" i="17"/>
  <c r="W77" i="17"/>
  <c r="W85" i="17"/>
  <c r="W87" i="17"/>
  <c r="W88" i="17"/>
  <c r="Y228" i="17"/>
  <c r="X377" i="17"/>
  <c r="X379" i="17"/>
  <c r="X230" i="17"/>
  <c r="X48" i="17"/>
  <c r="D48" i="17"/>
  <c r="X295" i="17"/>
  <c r="X340" i="17"/>
  <c r="X342" i="17"/>
  <c r="X406" i="17"/>
  <c r="W222" i="17"/>
  <c r="W224" i="17"/>
  <c r="X370" i="17"/>
  <c r="X372" i="17"/>
  <c r="W333" i="17"/>
  <c r="W335" i="17"/>
  <c r="X266" i="17"/>
  <c r="X268" i="17"/>
  <c r="X258" i="17"/>
  <c r="W408" i="17"/>
  <c r="W197" i="17"/>
  <c r="W205" i="17"/>
  <c r="W207" i="17"/>
  <c r="W208" i="17"/>
  <c r="O189" i="12"/>
  <c r="O190" i="12"/>
  <c r="O243" i="12"/>
  <c r="O230" i="12"/>
  <c r="P240" i="12"/>
  <c r="P241" i="12"/>
  <c r="P228" i="20"/>
  <c r="P217" i="20"/>
  <c r="Q227" i="20"/>
  <c r="Q454" i="20"/>
  <c r="Q443" i="20"/>
  <c r="R453" i="20"/>
  <c r="X267" i="17"/>
  <c r="X78" i="17"/>
  <c r="D78" i="17"/>
  <c r="W334" i="17"/>
  <c r="W137" i="17"/>
  <c r="W145" i="17"/>
  <c r="W147" i="17"/>
  <c r="W148" i="17"/>
  <c r="X221" i="17"/>
  <c r="X296" i="17"/>
  <c r="X298" i="17"/>
  <c r="X259" i="17"/>
  <c r="X261" i="17"/>
  <c r="X407" i="17"/>
  <c r="X409" i="17"/>
  <c r="X378" i="17"/>
  <c r="X168" i="17"/>
  <c r="D168" i="17"/>
  <c r="X332" i="17"/>
  <c r="X371" i="17"/>
  <c r="X167" i="17"/>
  <c r="D167" i="17"/>
  <c r="W223" i="17"/>
  <c r="W47" i="17"/>
  <c r="W55" i="17"/>
  <c r="W57" i="17"/>
  <c r="W58" i="17"/>
  <c r="X341" i="17"/>
  <c r="X138" i="17"/>
  <c r="D138" i="17"/>
  <c r="Y229" i="17"/>
  <c r="Y231" i="17"/>
  <c r="D175" i="17"/>
  <c r="D177" i="17"/>
  <c r="D14" i="17"/>
  <c r="E14" i="17"/>
  <c r="I125" i="10"/>
  <c r="X175" i="17"/>
  <c r="X177" i="17"/>
  <c r="X178" i="17"/>
  <c r="D178" i="17"/>
  <c r="P189" i="12"/>
  <c r="P190" i="12"/>
  <c r="P243" i="12"/>
  <c r="P230" i="12"/>
  <c r="Q240" i="12"/>
  <c r="Q241" i="12"/>
  <c r="R227" i="20"/>
  <c r="Q228" i="20"/>
  <c r="Q217" i="20"/>
  <c r="S453" i="20"/>
  <c r="R454" i="20"/>
  <c r="R443" i="20"/>
  <c r="Y230" i="17"/>
  <c r="X333" i="17"/>
  <c r="X335" i="17"/>
  <c r="X260" i="17"/>
  <c r="X77" i="17"/>
  <c r="X85" i="17"/>
  <c r="X87" i="17"/>
  <c r="X88" i="17"/>
  <c r="D88" i="17"/>
  <c r="X408" i="17"/>
  <c r="X197" i="17"/>
  <c r="X205" i="17"/>
  <c r="X207" i="17"/>
  <c r="X208" i="17"/>
  <c r="D208" i="17"/>
  <c r="X297" i="17"/>
  <c r="X107" i="17"/>
  <c r="X115" i="17"/>
  <c r="X117" i="17"/>
  <c r="X118" i="17"/>
  <c r="D118" i="17"/>
  <c r="X222" i="17"/>
  <c r="X224" i="17"/>
  <c r="I123" i="10"/>
  <c r="D197" i="17"/>
  <c r="D205" i="17"/>
  <c r="D207" i="17"/>
  <c r="D15" i="17"/>
  <c r="E15" i="17"/>
  <c r="J125" i="10"/>
  <c r="D107" i="17"/>
  <c r="D115" i="17"/>
  <c r="D117" i="17"/>
  <c r="D12" i="17"/>
  <c r="E12" i="17"/>
  <c r="G125" i="10"/>
  <c r="D77" i="17"/>
  <c r="D85" i="17"/>
  <c r="D87" i="17"/>
  <c r="D11" i="17"/>
  <c r="F123" i="10"/>
  <c r="Q189" i="12"/>
  <c r="Q190" i="12"/>
  <c r="Q243" i="12"/>
  <c r="Q230" i="12"/>
  <c r="R240" i="12"/>
  <c r="R241" i="12"/>
  <c r="S454" i="20"/>
  <c r="S443" i="20"/>
  <c r="T453" i="20"/>
  <c r="S227" i="20"/>
  <c r="R228" i="20"/>
  <c r="R217" i="20"/>
  <c r="X223" i="17"/>
  <c r="X47" i="17"/>
  <c r="D47" i="17"/>
  <c r="D55" i="17"/>
  <c r="D57" i="17"/>
  <c r="X334" i="17"/>
  <c r="X137" i="17"/>
  <c r="X145" i="17"/>
  <c r="X147" i="17"/>
  <c r="X148" i="17"/>
  <c r="D148" i="17"/>
  <c r="X55" i="17"/>
  <c r="X57" i="17"/>
  <c r="X58" i="17"/>
  <c r="D58" i="17"/>
  <c r="D10" i="17"/>
  <c r="E123" i="10"/>
  <c r="G123" i="10"/>
  <c r="J123" i="10"/>
  <c r="D137" i="17"/>
  <c r="D145" i="17"/>
  <c r="D147" i="17"/>
  <c r="D13" i="17"/>
  <c r="E11" i="17"/>
  <c r="F125" i="10"/>
  <c r="R189" i="12"/>
  <c r="R190" i="12"/>
  <c r="R243" i="12"/>
  <c r="R230" i="12"/>
  <c r="S240" i="12"/>
  <c r="S241" i="12"/>
  <c r="T454" i="20"/>
  <c r="T443" i="20"/>
  <c r="U453" i="20"/>
  <c r="S228" i="20"/>
  <c r="S217" i="20"/>
  <c r="T227" i="20"/>
  <c r="E10" i="17"/>
  <c r="E125" i="10"/>
  <c r="E13" i="17"/>
  <c r="H125" i="10"/>
  <c r="H123" i="10"/>
  <c r="S189" i="12"/>
  <c r="S190" i="12"/>
  <c r="T240" i="12"/>
  <c r="T241" i="12"/>
  <c r="S243" i="12"/>
  <c r="S230" i="12"/>
  <c r="V453" i="20"/>
  <c r="U454" i="20"/>
  <c r="U443" i="20"/>
  <c r="T228" i="20"/>
  <c r="T217" i="20"/>
  <c r="U227" i="20"/>
  <c r="T189" i="12"/>
  <c r="T190" i="12"/>
  <c r="T243" i="12"/>
  <c r="T230" i="12"/>
  <c r="U240" i="12"/>
  <c r="U241" i="12"/>
  <c r="V227" i="20"/>
  <c r="U228" i="20"/>
  <c r="U217" i="20"/>
  <c r="W453" i="20"/>
  <c r="V454" i="20"/>
  <c r="V443" i="20"/>
  <c r="U189" i="12"/>
  <c r="U190" i="12"/>
  <c r="U243" i="12"/>
  <c r="U230" i="12"/>
  <c r="V240" i="12"/>
  <c r="V241" i="12"/>
  <c r="W454" i="20"/>
  <c r="W443" i="20"/>
  <c r="X453" i="20"/>
  <c r="W227" i="20"/>
  <c r="V228" i="20"/>
  <c r="V217" i="20"/>
  <c r="V189" i="12"/>
  <c r="V190" i="12"/>
  <c r="V243" i="12"/>
  <c r="V230" i="12"/>
  <c r="W240" i="12"/>
  <c r="W241" i="12"/>
  <c r="X454" i="20"/>
  <c r="X443" i="20"/>
  <c r="Y453" i="20"/>
  <c r="Y454" i="20"/>
  <c r="Y443" i="20"/>
  <c r="X227" i="20"/>
  <c r="W228" i="20"/>
  <c r="W217" i="20"/>
  <c r="W189" i="12"/>
  <c r="W190" i="12"/>
  <c r="X240" i="12"/>
  <c r="X241" i="12"/>
  <c r="W243" i="12"/>
  <c r="W230" i="12"/>
  <c r="X228" i="20"/>
  <c r="X217" i="20"/>
  <c r="Y227" i="20"/>
  <c r="Y228" i="20"/>
  <c r="Y217" i="20"/>
  <c r="X189" i="12"/>
  <c r="X190" i="12"/>
  <c r="X243" i="12"/>
  <c r="X230" i="12"/>
  <c r="Y240" i="12"/>
  <c r="Y241" i="12"/>
  <c r="Y243" i="12"/>
  <c r="Y230" i="12"/>
  <c r="Z240" i="12"/>
  <c r="Y189" i="12"/>
  <c r="Y190" i="12"/>
  <c r="D199" i="12"/>
  <c r="F88" i="10"/>
  <c r="Z189" i="12"/>
  <c r="Z190" i="12"/>
  <c r="Z241" i="12"/>
  <c r="Z243" i="12"/>
  <c r="Z230" i="12"/>
  <c r="F56" i="24"/>
  <c r="D56" i="24"/>
  <c r="D38" i="24"/>
  <c r="E206" i="24"/>
  <c r="E216" i="24"/>
  <c r="F161" i="24"/>
  <c r="F57" i="24"/>
  <c r="F170" i="24"/>
  <c r="D57" i="24"/>
  <c r="E218" i="24"/>
  <c r="D220" i="24"/>
  <c r="H220" i="24"/>
  <c r="G220" i="24"/>
  <c r="F220" i="24"/>
  <c r="D221" i="24"/>
  <c r="I220" i="24"/>
  <c r="C192" i="24"/>
  <c r="C188" i="24"/>
  <c r="D230" i="24"/>
  <c r="B238" i="24"/>
  <c r="B185" i="24"/>
  <c r="D238" i="24"/>
  <c r="D229" i="24"/>
  <c r="T241" i="24"/>
  <c r="L241" i="24"/>
  <c r="M241" i="24"/>
  <c r="I230" i="24"/>
  <c r="I192" i="24"/>
  <c r="I193" i="24"/>
  <c r="U241" i="24"/>
  <c r="M230" i="24"/>
  <c r="M192" i="24"/>
  <c r="M193" i="24"/>
  <c r="P241" i="24"/>
  <c r="H230" i="24"/>
  <c r="H192" i="24"/>
  <c r="H193" i="24"/>
  <c r="Y230" i="24"/>
  <c r="Y192" i="24"/>
  <c r="Y193" i="24"/>
  <c r="H241" i="24"/>
  <c r="Q230" i="24"/>
  <c r="Q192" i="24"/>
  <c r="Q193" i="24"/>
  <c r="O230" i="24"/>
  <c r="O192" i="24"/>
  <c r="O193" i="24"/>
  <c r="K230" i="24"/>
  <c r="K192" i="24"/>
  <c r="K193" i="24"/>
  <c r="E239" i="24"/>
  <c r="G230" i="24"/>
  <c r="G192" i="24"/>
  <c r="G193" i="24"/>
  <c r="S241" i="24"/>
  <c r="F241" i="24"/>
  <c r="S230" i="24"/>
  <c r="S192" i="24"/>
  <c r="S193" i="24"/>
  <c r="Q241" i="24"/>
  <c r="J241" i="24"/>
  <c r="F230" i="24"/>
  <c r="F192" i="24"/>
  <c r="F193" i="24"/>
  <c r="U230" i="24"/>
  <c r="U192" i="24"/>
  <c r="U193" i="24"/>
  <c r="G241" i="24"/>
  <c r="N241" i="24"/>
  <c r="E230" i="24"/>
  <c r="E192" i="24"/>
  <c r="E193" i="24"/>
  <c r="X230" i="24"/>
  <c r="X192" i="24"/>
  <c r="X193" i="24"/>
  <c r="I241" i="24"/>
  <c r="W230" i="24"/>
  <c r="W192" i="24"/>
  <c r="W193" i="24"/>
  <c r="Y241" i="24"/>
  <c r="X241" i="24"/>
  <c r="V230" i="24"/>
  <c r="V192" i="24"/>
  <c r="V193" i="24"/>
  <c r="P230" i="24"/>
  <c r="P192" i="24"/>
  <c r="P193" i="24"/>
  <c r="W241" i="24"/>
  <c r="E241" i="24"/>
  <c r="O241" i="24"/>
  <c r="V241" i="24"/>
  <c r="R230" i="24"/>
  <c r="R192" i="24"/>
  <c r="R193" i="24"/>
  <c r="N230" i="24"/>
  <c r="N192" i="24"/>
  <c r="N193" i="24"/>
  <c r="L230" i="24"/>
  <c r="L192" i="24"/>
  <c r="L193" i="24"/>
  <c r="K241" i="24"/>
  <c r="J230" i="24"/>
  <c r="J192" i="24"/>
  <c r="J193" i="24"/>
  <c r="T230" i="24"/>
  <c r="T192" i="24"/>
  <c r="T193" i="24"/>
  <c r="R241" i="24"/>
  <c r="E188" i="24"/>
  <c r="E189" i="24"/>
  <c r="F239" i="24"/>
  <c r="E240" i="24"/>
  <c r="E242" i="24"/>
  <c r="E229" i="24"/>
  <c r="D197" i="24"/>
  <c r="E194" i="24"/>
  <c r="F194" i="24"/>
  <c r="G194" i="24"/>
  <c r="H194" i="24"/>
  <c r="I194" i="24"/>
  <c r="J194" i="24"/>
  <c r="K194" i="24"/>
  <c r="L194" i="24"/>
  <c r="M194" i="24"/>
  <c r="N194" i="24"/>
  <c r="O194" i="24"/>
  <c r="P194" i="24"/>
  <c r="Q194" i="24"/>
  <c r="R194" i="24"/>
  <c r="S194" i="24"/>
  <c r="T194" i="24"/>
  <c r="U194" i="24"/>
  <c r="V194" i="24"/>
  <c r="W194" i="24"/>
  <c r="X194" i="24"/>
  <c r="Y194" i="24"/>
  <c r="D199" i="24"/>
  <c r="G239" i="24"/>
  <c r="F240" i="24"/>
  <c r="F242" i="24"/>
  <c r="F229" i="24"/>
  <c r="F188" i="24"/>
  <c r="F189" i="24"/>
  <c r="G188" i="24"/>
  <c r="G189" i="24"/>
  <c r="H239" i="24"/>
  <c r="G240" i="24"/>
  <c r="G242" i="24"/>
  <c r="G229" i="24"/>
  <c r="I239" i="24"/>
  <c r="H188" i="24"/>
  <c r="H189" i="24"/>
  <c r="H240" i="24"/>
  <c r="H242" i="24"/>
  <c r="H229" i="24"/>
  <c r="I240" i="24"/>
  <c r="I242" i="24"/>
  <c r="I229" i="24"/>
  <c r="J239" i="24"/>
  <c r="I188" i="24"/>
  <c r="I189" i="24"/>
  <c r="J240" i="24"/>
  <c r="J242" i="24"/>
  <c r="J229" i="24"/>
  <c r="J188" i="24"/>
  <c r="J189" i="24"/>
  <c r="K239" i="24"/>
  <c r="L239" i="24"/>
  <c r="K188" i="24"/>
  <c r="K189" i="24"/>
  <c r="K240" i="24"/>
  <c r="K242" i="24"/>
  <c r="K229" i="24"/>
  <c r="L240" i="24"/>
  <c r="L242" i="24"/>
  <c r="L229" i="24"/>
  <c r="L188" i="24"/>
  <c r="L189" i="24"/>
  <c r="M239" i="24"/>
  <c r="M240" i="24"/>
  <c r="M242" i="24"/>
  <c r="M229" i="24"/>
  <c r="N239" i="24"/>
  <c r="M188" i="24"/>
  <c r="M189" i="24"/>
  <c r="N188" i="24"/>
  <c r="N189" i="24"/>
  <c r="O239" i="24"/>
  <c r="N240" i="24"/>
  <c r="N242" i="24"/>
  <c r="N229" i="24"/>
  <c r="O240" i="24"/>
  <c r="O242" i="24"/>
  <c r="O229" i="24"/>
  <c r="P239" i="24"/>
  <c r="O188" i="24"/>
  <c r="O189" i="24"/>
  <c r="P240" i="24"/>
  <c r="P242" i="24"/>
  <c r="P229" i="24"/>
  <c r="Q239" i="24"/>
  <c r="P188" i="24"/>
  <c r="P189" i="24"/>
  <c r="Q240" i="24"/>
  <c r="Q242" i="24"/>
  <c r="Q229" i="24"/>
  <c r="R239" i="24"/>
  <c r="Q188" i="24"/>
  <c r="Q189" i="24"/>
  <c r="S239" i="24"/>
  <c r="R240" i="24"/>
  <c r="R242" i="24"/>
  <c r="R229" i="24"/>
  <c r="R188" i="24"/>
  <c r="R189" i="24"/>
  <c r="S240" i="24"/>
  <c r="S242" i="24"/>
  <c r="S229" i="24"/>
  <c r="S188" i="24"/>
  <c r="S189" i="24"/>
  <c r="T239" i="24"/>
  <c r="U239" i="24"/>
  <c r="T188" i="24"/>
  <c r="T189" i="24"/>
  <c r="T240" i="24"/>
  <c r="T242" i="24"/>
  <c r="T229" i="24"/>
  <c r="V239" i="24"/>
  <c r="U188" i="24"/>
  <c r="U189" i="24"/>
  <c r="U240" i="24"/>
  <c r="U242" i="24"/>
  <c r="U229" i="24"/>
  <c r="V188" i="24"/>
  <c r="V189" i="24"/>
  <c r="V240" i="24"/>
  <c r="V242" i="24"/>
  <c r="V229" i="24"/>
  <c r="W239" i="24"/>
  <c r="W240" i="24"/>
  <c r="W242" i="24"/>
  <c r="W229" i="24"/>
  <c r="W188" i="24"/>
  <c r="W189" i="24"/>
  <c r="X239" i="24"/>
  <c r="Y239" i="24"/>
  <c r="X188" i="24"/>
  <c r="X189" i="24"/>
  <c r="X240" i="24"/>
  <c r="X242" i="24"/>
  <c r="X229" i="24"/>
  <c r="Y240" i="24"/>
  <c r="Y242" i="24"/>
  <c r="Y229" i="24"/>
  <c r="Y188" i="24"/>
  <c r="Y189" i="24"/>
  <c r="D198" i="24"/>
</calcChain>
</file>

<file path=xl/comments1.xml><?xml version="1.0" encoding="utf-8"?>
<comments xmlns="http://schemas.openxmlformats.org/spreadsheetml/2006/main">
  <authors>
    <author>owner</author>
  </authors>
  <commentList>
    <comment ref="D214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<sst xmlns="http://schemas.openxmlformats.org/spreadsheetml/2006/main" count="1016" uniqueCount="334">
  <si>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</si>
  <si>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</si>
  <si>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</si>
  <si>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</si>
  <si>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</si>
  <si>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</si>
  <si>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</si>
  <si>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</si>
  <si>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</si>
  <si>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</si>
  <si>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</si>
  <si>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</si>
  <si>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</si>
  <si>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</si>
  <si>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</si>
  <si>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</si>
  <si>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</si>
  <si>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</si>
  <si>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</si>
  <si>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</si>
  <si>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</si>
  <si>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</si>
  <si>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</si>
  <si>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</si>
  <si>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</si>
  <si>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</si>
  <si>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</si>
  <si>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</si>
  <si>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</si>
  <si>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</si>
  <si>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</si>
  <si>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</si>
  <si>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</si>
  <si>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</si>
  <si>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</si>
  <si>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</si>
  <si>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</si>
  <si>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</si>
  <si>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</si>
  <si>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</si>
  <si>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</si>
  <si>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</si>
  <si>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</si>
  <si>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</si>
  <si>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</si>
  <si>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</si>
  <si>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</si>
  <si>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</si>
  <si>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</si>
  <si>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</si>
  <si>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</si>
  <si>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</si>
  <si>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</si>
  <si>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</si>
  <si>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</si>
  <si>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</si>
  <si>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</si>
  <si>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</si>
  <si>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</si>
  <si>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</si>
  <si>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</si>
  <si>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</si>
  <si>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</si>
  <si>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</si>
  <si>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</si>
  <si>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</si>
  <si>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</si>
  <si>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</si>
  <si>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</si>
  <si>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</si>
  <si>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</si>
  <si>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</si>
  <si>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</si>
  <si>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</si>
  <si>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</si>
  <si>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</si>
  <si>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</si>
  <si>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</si>
  <si>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</si>
  <si>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</si>
  <si>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</si>
  <si>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</si>
  <si>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</si>
  <si>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</si>
  <si>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</si>
  <si>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</si>
  <si>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</si>
  <si>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</si>
  <si>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</si>
  <si>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</si>
  <si>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</si>
  <si>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</si>
  <si>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</si>
  <si>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</si>
  <si>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</si>
  <si>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</si>
  <si>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</si>
  <si>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</si>
  <si>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</si>
  <si>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</si>
  <si>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</si>
  <si>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</si>
  <si>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</si>
  <si>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</si>
  <si>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</si>
  <si>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</si>
  <si>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</si>
  <si>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</si>
  <si>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</si>
  <si>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</si>
  <si>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</si>
  <si>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</si>
  <si>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</si>
  <si>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</si>
  <si>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</si>
  <si>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</si>
  <si>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</si>
  <si>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</si>
  <si>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</si>
  <si>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</si>
  <si>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</si>
  <si>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</si>
  <si>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</si>
  <si>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</si>
  <si>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</si>
  <si>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</si>
  <si>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</si>
  <si>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</si>
  <si>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</si>
  <si>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</si>
  <si>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</si>
  <si>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</si>
  <si>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</si>
  <si>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</si>
  <si>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</si>
  <si>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</si>
  <si>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</si>
  <si>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</si>
  <si>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</si>
  <si>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</si>
  <si>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</si>
  <si>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</si>
  <si>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</si>
  <si>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</si>
  <si>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</si>
  <si>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</si>
  <si>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</si>
  <si>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</si>
  <si>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</si>
  <si>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</si>
  <si>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</si>
  <si>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</si>
  <si>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</si>
  <si>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</si>
  <si>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</si>
  <si>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</si>
  <si>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</si>
  <si>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</si>
  <si>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</si>
  <si>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</si>
  <si>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</si>
  <si>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</si>
  <si>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</si>
  <si>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</si>
  <si>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</si>
  <si>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</si>
  <si>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</si>
  <si>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</si>
  <si>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</si>
  <si>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</si>
  <si>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</si>
  <si>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</si>
  <si>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</si>
  <si>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</si>
  <si>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</si>
  <si>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</si>
  <si>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</si>
  <si>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</si>
  <si>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</si>
  <si>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</si>
  <si>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</si>
  <si>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</si>
  <si>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</si>
  <si>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</si>
  <si>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</si>
  <si>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</si>
  <si>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</si>
  <si>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</si>
  <si>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</si>
  <si>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</si>
  <si>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</si>
  <si>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</si>
  <si>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</si>
  <si>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</si>
  <si>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</si>
  <si>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</si>
  <si>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</si>
  <si>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</si>
  <si>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</si>
  <si>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</si>
  <si>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</si>
  <si>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</si>
  <si>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</si>
  <si>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</si>
  <si>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</si>
  <si>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</si>
  <si>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</si>
  <si>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</si>
  <si>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</si>
  <si>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</si>
  <si>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</si>
  <si>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</si>
  <si>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</si>
  <si>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</si>
  <si>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</si>
  <si>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</si>
  <si>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</si>
  <si>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</si>
  <si>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</si>
  <si>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</si>
  <si>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</si>
  <si>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</si>
  <si>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</si>
  <si>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</si>
  <si>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</si>
  <si>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</si>
  <si>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</si>
  <si>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</si>
  <si>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</si>
  <si>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</si>
  <si>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</si>
  <si>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</si>
  <si>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</si>
  <si>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</si>
  <si>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</si>
  <si>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</si>
  <si>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</si>
  <si>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</si>
  <si>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</si>
  <si>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</si>
  <si>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</si>
  <si>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</si>
  <si>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</si>
  <si>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</si>
  <si>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</si>
  <si>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</si>
  <si>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</si>
  <si>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</si>
  <si>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</si>
  <si>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</si>
  <si>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</si>
  <si>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</si>
  <si>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</si>
  <si>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</si>
  <si>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</si>
  <si>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</si>
  <si>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</si>
  <si>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</si>
  <si>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</si>
  <si>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</si>
  <si>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</si>
  <si>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</si>
  <si>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</si>
  <si>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</si>
  <si>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</si>
  <si>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</si>
  <si>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</si>
  <si>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</si>
  <si>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</si>
  <si>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</si>
  <si>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</si>
  <si>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</si>
  <si>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</si>
  <si>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</si>
  <si>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</si>
  <si>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</si>
  <si>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</si>
  <si>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</si>
  <si>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</si>
  <si>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</si>
  <si>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</si>
  <si>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</si>
  <si>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</si>
  <si>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</si>
  <si>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</si>
  <si>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</si>
  <si>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</si>
  <si>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</si>
  <si>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</si>
  <si>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</si>
  <si>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</si>
  <si>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</si>
  <si>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</si>
  <si>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</si>
  <si>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</si>
  <si>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</si>
  <si>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</si>
  <si>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</si>
  <si>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</si>
  <si>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</si>
  <si>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</si>
  <si>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</si>
  <si>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</si>
  <si>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</si>
  <si>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</si>
  <si>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</si>
  <si>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</si>
  <si>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</si>
  <si>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</si>
  <si>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</si>
  <si>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</si>
  <si>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</si>
  <si>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</si>
  <si>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</si>
  <si>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</si>
  <si>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</si>
  <si>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</si>
  <si>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</si>
  <si>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</si>
  <si>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</si>
  <si>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Cost 1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</si>
  <si>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</si>
  <si>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</si>
  <si>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</si>
  <si>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</si>
  <si>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</si>
  <si>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</si>
  <si>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Perform Manual Neutral Integrity where UE Meters are Removed</t>
  </si>
  <si>
    <t>Replace / Install Network Devices</t>
  </si>
  <si>
    <t>Replace / Install 80% Network Devices, Purchase the Remaining 20% of the AMI data and Control Functionality</t>
  </si>
  <si>
    <t>Neutral integrity Testing (NIT) reverted to Manual Testing 10 years after 1 December 2017 - Assume  start manual NIT in 2027.</t>
  </si>
  <si>
    <t>Ping Real Time confirmation Customer Power is on/off - Avoided LV Truck Roll Outs = $20M over 10 years, Therefore $2M p.a. Therefore utilise % to work out cost e.g. 2017 implies 499 * 2000/ (650,000 + 499).</t>
  </si>
  <si>
    <t>Need to Neutral Inegrity Test 1/5 of the services where data is 
acquired from non-UE  Meter Data Provider</t>
  </si>
  <si>
    <t>DNSP Intelligent Network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</si>
</sst>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auto="1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7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3" fontId="2" fillId="0" borderId="67" xfId="0" applyNumberFormat="1" applyFont="1" applyFill="1" applyBorder="1" applyAlignment="1">
      <alignment horizontal="center"/>
    </xf>
    <xf numFmtId="176" fontId="2" fillId="0" borderId="65" xfId="0" applyNumberFormat="1" applyFont="1" applyFill="1" applyBorder="1" applyAlignment="1">
      <alignment horizontal="center"/>
    </xf>
    <xf numFmtId="0" fontId="2" fillId="8" borderId="67" xfId="0" applyFont="1" applyFill="1" applyBorder="1" applyAlignment="1">
      <alignment horizontal="center" wrapText="1"/>
    </xf>
    <xf numFmtId="4" fontId="2" fillId="9" borderId="67" xfId="0" applyNumberFormat="1" applyFont="1" applyFill="1" applyBorder="1" applyAlignment="1">
      <alignment horizontal="center"/>
    </xf>
    <xf numFmtId="3" fontId="2" fillId="0" borderId="74" xfId="0" applyNumberFormat="1" applyFont="1" applyFill="1" applyBorder="1" applyAlignment="1">
      <alignment horizontal="center"/>
    </xf>
    <xf numFmtId="3" fontId="0" fillId="0" borderId="74" xfId="0" applyNumberFormat="1" applyBorder="1"/>
    <xf numFmtId="1" fontId="2" fillId="0" borderId="18" xfId="0" applyNumberFormat="1" applyFont="1" applyFill="1" applyBorder="1"/>
    <xf numFmtId="1" fontId="0" fillId="0" borderId="18" xfId="0" applyNumberFormat="1" applyFill="1" applyBorder="1"/>
    <xf numFmtId="180" fontId="13" fillId="8" borderId="18" xfId="0" applyNumberFormat="1" applyFont="1" applyFill="1" applyBorder="1" applyAlignment="1">
      <alignment horizontal="right"/>
    </xf>
    <xf numFmtId="0" fontId="63" fillId="10" borderId="18" xfId="0" applyFont="1" applyFill="1" applyBorder="1" applyAlignment="1">
      <alignment horizontal="center" vertical="center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4561.4938261201778</c:v>
                </c:pt>
                <c:pt idx="1">
                  <c:v>4278.9977052976074</c:v>
                </c:pt>
                <c:pt idx="2">
                  <c:v>4013.9967431493333</c:v>
                </c:pt>
                <c:pt idx="3">
                  <c:v>3765.4074537281958</c:v>
                </c:pt>
                <c:pt idx="4">
                  <c:v>3532.2134520387622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870620608"/>
        <c:axId val="420868784"/>
      </c:lineChart>
      <c:catAx>
        <c:axId val="87062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868784"/>
        <c:crosses val="autoZero"/>
        <c:auto val="1"/>
        <c:lblAlgn val="ctr"/>
        <c:lblOffset val="100"/>
        <c:noMultiLvlLbl val="0"/>
      </c:catAx>
      <c:valAx>
        <c:axId val="42086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6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95" r="0.70000000000000095" t="0.750000000000001" header="0.3" footer="0.3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2"/>
          <c:y val="8.13253012048194E-2"/>
          <c:w val="0.88548145677708101"/>
          <c:h val="0.68072289156626498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2: Replace / Install Network Devices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40.761805076068427</c:v>
                </c:pt>
                <c:pt idx="1">
                  <c:v>181.35434479095358</c:v>
                </c:pt>
                <c:pt idx="2">
                  <c:v>326.98187166797294</c:v>
                </c:pt>
                <c:pt idx="3">
                  <c:v>477.79586173315255</c:v>
                </c:pt>
                <c:pt idx="4">
                  <c:v>477.79586173315255</c:v>
                </c:pt>
                <c:pt idx="5">
                  <c:v>477.79586173315255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871584"/>
        <c:axId val="420872144"/>
      </c:lineChart>
      <c:catAx>
        <c:axId val="42087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087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872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E-2"/>
              <c:y val="0.132530120481928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0871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01"/>
          <c:y val="0.89759036144578297"/>
          <c:w val="0.74028703776744398"/>
          <c:h val="7.831325301204840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01"/>
          <c:w val="0.889393647222669"/>
          <c:h val="0.68441777047788899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4561.4938261201778</c:v>
                </c:pt>
                <c:pt idx="1">
                  <c:v>4278.9977052976074</c:v>
                </c:pt>
                <c:pt idx="2">
                  <c:v>4013.9967431493333</c:v>
                </c:pt>
                <c:pt idx="3">
                  <c:v>3765.4074537281958</c:v>
                </c:pt>
                <c:pt idx="4">
                  <c:v>3532.2134520387622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739581488"/>
        <c:axId val="739582048"/>
      </c:lineChart>
      <c:catAx>
        <c:axId val="73958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82048"/>
        <c:crosses val="autoZero"/>
        <c:auto val="1"/>
        <c:lblAlgn val="ctr"/>
        <c:lblOffset val="100"/>
        <c:noMultiLvlLbl val="0"/>
      </c:catAx>
      <c:valAx>
        <c:axId val="73958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8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5095"/>
          <c:y val="4.4479004370551703E-2"/>
          <c:w val="0.20412994804220899"/>
          <c:h val="6.4054307290798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95" r="0.70000000000000095" t="0.750000000000001" header="0.3" footer="0.3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4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2524125</xdr:colOff>
          <xdr:row>6</xdr:row>
          <xdr:rowOff>152400</xdr:rowOff>
        </xdr:from>
        <xdr:to>
          <xdr:col>4</xdr:col>
          <xdr:colOff>714375</xdr:colOff>
          <xdr:row>7</xdr:row>
          <xdr:rowOff>200025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142875</xdr:rowOff>
        </xdr:from>
        <xdr:to>
          <xdr:col>9</xdr:col>
          <xdr:colOff>314325</xdr:colOff>
          <xdr:row>7</xdr:row>
          <xdr:rowOff>190500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9525</xdr:rowOff>
        </xdr:from>
        <xdr:to>
          <xdr:col>4</xdr:col>
          <xdr:colOff>2524125</xdr:colOff>
          <xdr:row>28</xdr:row>
          <xdr:rowOff>200025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57</xdr:row>
          <xdr:rowOff>9525</xdr:rowOff>
        </xdr:from>
        <xdr:to>
          <xdr:col>4</xdr:col>
          <xdr:colOff>2524125</xdr:colOff>
          <xdr:row>57</xdr:row>
          <xdr:rowOff>200025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2524125</xdr:colOff>
          <xdr:row>86</xdr:row>
          <xdr:rowOff>200025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2524125</xdr:colOff>
          <xdr:row>115</xdr:row>
          <xdr:rowOff>200025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2524125</xdr:colOff>
          <xdr:row>144</xdr:row>
          <xdr:rowOff>200025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2524125</xdr:colOff>
          <xdr:row>173</xdr:row>
          <xdr:rowOff>200025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1514475</xdr:colOff>
          <xdr:row>200</xdr:row>
          <xdr:rowOff>152400</xdr:rowOff>
        </xdr:from>
        <xdr:to>
          <xdr:col>5</xdr:col>
          <xdr:colOff>352425</xdr:colOff>
          <xdr:row>201</xdr:row>
          <xdr:rowOff>200025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1514475</xdr:colOff>
          <xdr:row>202</xdr:row>
          <xdr:rowOff>152400</xdr:rowOff>
        </xdr:from>
        <xdr:to>
          <xdr:col>5</xdr:col>
          <xdr:colOff>352425</xdr:colOff>
          <xdr:row>203</xdr:row>
          <xdr:rowOff>200025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346</xdr:row>
          <xdr:rowOff>152400</xdr:rowOff>
        </xdr:from>
        <xdr:to>
          <xdr:col>4</xdr:col>
          <xdr:colOff>2524125</xdr:colOff>
          <xdr:row>347</xdr:row>
          <xdr:rowOff>190500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1514475</xdr:colOff>
          <xdr:row>204</xdr:row>
          <xdr:rowOff>142875</xdr:rowOff>
        </xdr:from>
        <xdr:to>
          <xdr:col>5</xdr:col>
          <xdr:colOff>352425</xdr:colOff>
          <xdr:row>205</xdr:row>
          <xdr:rowOff>190500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1790700</xdr:colOff>
          <xdr:row>4</xdr:row>
          <xdr:rowOff>114300</xdr:rowOff>
        </xdr:from>
        <xdr:to>
          <xdr:col>4</xdr:col>
          <xdr:colOff>28575</xdr:colOff>
          <xdr:row>5</xdr:row>
          <xdr:rowOff>161925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1219200</xdr:colOff>
          <xdr:row>62</xdr:row>
          <xdr:rowOff>180975</xdr:rowOff>
        </xdr:from>
        <xdr:to>
          <xdr:col>5</xdr:col>
          <xdr:colOff>28575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ColWidth="8.85546875"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8.8554687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313</v>
      </c>
      <c r="E16" s="463"/>
      <c r="F16" s="452" t="s">
        <v>314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274</v>
      </c>
      <c r="E21" s="463"/>
      <c r="F21" s="452" t="s">
        <v>275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3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workbookViewId="0">
      <selection activeCell="F19" sqref="F19"/>
    </sheetView>
  </sheetViews>
  <sheetFormatPr defaultColWidth="8.85546875"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8.85546875" style="433"/>
    <col min="128" max="16384" width="8.85546875" style="1"/>
  </cols>
  <sheetData>
    <row r="1" spans="2:28" s="433" customFormat="1" ht="13.5" thickBot="1" x14ac:dyDescent="0.25"/>
    <row r="2" spans="2:28" ht="16.5" thickBot="1" x14ac:dyDescent="0.3">
      <c r="B2" s="437"/>
      <c r="C2" s="497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8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1" t="s">
        <v>0</v>
      </c>
      <c r="E4" s="491" t="s">
        <v>333</v>
      </c>
      <c r="F4" s="446"/>
      <c r="G4" s="493"/>
      <c r="H4" s="494" t="s">
        <v>33</v>
      </c>
      <c r="I4" s="480"/>
      <c r="J4" s="493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326</v>
      </c>
      <c r="E6" s="703">
        <v>2017</v>
      </c>
      <c r="F6" s="446"/>
      <c r="G6" s="493"/>
      <c r="H6" s="494" t="s">
        <v>34</v>
      </c>
      <c r="I6" s="493" t="s">
        <v>318</v>
      </c>
      <c r="J6" s="493"/>
      <c r="K6" s="493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1" t="s">
        <v>30</v>
      </c>
      <c r="E8" s="492">
        <v>3</v>
      </c>
      <c r="F8" s="446"/>
      <c r="G8" s="493"/>
      <c r="H8" s="491" t="s">
        <v>27</v>
      </c>
      <c r="I8" s="492">
        <v>1</v>
      </c>
      <c r="J8" s="493"/>
      <c r="K8" s="446"/>
      <c r="L8" s="493"/>
      <c r="M8" s="494" t="s">
        <v>32</v>
      </c>
      <c r="N8" s="495"/>
      <c r="O8" s="496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7" t="str">
        <f>"All costs to be entered in real ($"&amp;E9&amp;")"</f>
        <v>All costs to be entered in real ($2015)</v>
      </c>
      <c r="E9" s="696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499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446"/>
      <c r="AA11" s="446"/>
      <c r="AB11" s="447"/>
    </row>
    <row r="12" spans="2:28" x14ac:dyDescent="0.2">
      <c r="B12" s="445"/>
      <c r="C12" s="446"/>
      <c r="D12" s="500" t="str">
        <f>"Capital Costs ($"&amp;E9&amp;")"</f>
        <v>Capital Costs ($2015)</v>
      </c>
      <c r="E12" s="504"/>
      <c r="F12" s="505">
        <f>E6</f>
        <v>2017</v>
      </c>
      <c r="G12" s="505">
        <f>F12+1</f>
        <v>2018</v>
      </c>
      <c r="H12" s="505">
        <f>G12+1</f>
        <v>2019</v>
      </c>
      <c r="I12" s="505">
        <f>H12+1</f>
        <v>2020</v>
      </c>
      <c r="J12" s="505">
        <f t="shared" ref="J12:S12" si="0">I12+1</f>
        <v>2021</v>
      </c>
      <c r="K12" s="505">
        <f t="shared" si="0"/>
        <v>2022</v>
      </c>
      <c r="L12" s="505">
        <f t="shared" si="0"/>
        <v>2023</v>
      </c>
      <c r="M12" s="505">
        <f t="shared" si="0"/>
        <v>2024</v>
      </c>
      <c r="N12" s="505">
        <f t="shared" si="0"/>
        <v>2025</v>
      </c>
      <c r="O12" s="505">
        <f t="shared" si="0"/>
        <v>2026</v>
      </c>
      <c r="P12" s="505">
        <f t="shared" si="0"/>
        <v>2027</v>
      </c>
      <c r="Q12" s="505">
        <f t="shared" si="0"/>
        <v>2028</v>
      </c>
      <c r="R12" s="505">
        <f t="shared" si="0"/>
        <v>2029</v>
      </c>
      <c r="S12" s="505">
        <f t="shared" si="0"/>
        <v>2030</v>
      </c>
      <c r="T12" s="505">
        <f>S12+1</f>
        <v>2031</v>
      </c>
      <c r="U12" s="505">
        <f t="shared" ref="U12:Z12" si="1">T12+1</f>
        <v>2032</v>
      </c>
      <c r="V12" s="505">
        <f t="shared" si="1"/>
        <v>2033</v>
      </c>
      <c r="W12" s="505">
        <f t="shared" si="1"/>
        <v>2034</v>
      </c>
      <c r="X12" s="505">
        <f t="shared" si="1"/>
        <v>2035</v>
      </c>
      <c r="Y12" s="505">
        <f t="shared" si="1"/>
        <v>2036</v>
      </c>
      <c r="Z12" s="505">
        <f t="shared" si="1"/>
        <v>2037</v>
      </c>
      <c r="AA12" s="446"/>
      <c r="AB12" s="447"/>
    </row>
    <row r="13" spans="2:28" x14ac:dyDescent="0.2">
      <c r="B13" s="445"/>
      <c r="C13" s="446"/>
      <c r="D13" s="501"/>
      <c r="E13" s="504"/>
      <c r="F13" s="506" t="s">
        <v>78</v>
      </c>
      <c r="G13" s="506" t="s">
        <v>78</v>
      </c>
      <c r="H13" s="506" t="s">
        <v>78</v>
      </c>
      <c r="I13" s="506" t="s">
        <v>78</v>
      </c>
      <c r="J13" s="506" t="s">
        <v>78</v>
      </c>
      <c r="K13" s="506" t="s">
        <v>78</v>
      </c>
      <c r="L13" s="506" t="s">
        <v>78</v>
      </c>
      <c r="M13" s="506" t="s">
        <v>78</v>
      </c>
      <c r="N13" s="506" t="s">
        <v>78</v>
      </c>
      <c r="O13" s="506" t="s">
        <v>78</v>
      </c>
      <c r="P13" s="506" t="s">
        <v>78</v>
      </c>
      <c r="Q13" s="506" t="s">
        <v>78</v>
      </c>
      <c r="R13" s="506" t="s">
        <v>78</v>
      </c>
      <c r="S13" s="506" t="s">
        <v>78</v>
      </c>
      <c r="T13" s="506" t="s">
        <v>78</v>
      </c>
      <c r="U13" s="506" t="s">
        <v>78</v>
      </c>
      <c r="V13" s="506" t="s">
        <v>78</v>
      </c>
      <c r="W13" s="506" t="s">
        <v>78</v>
      </c>
      <c r="X13" s="506" t="s">
        <v>78</v>
      </c>
      <c r="Y13" s="506" t="s">
        <v>78</v>
      </c>
      <c r="Z13" s="506" t="s">
        <v>78</v>
      </c>
      <c r="AA13" s="446"/>
      <c r="AB13" s="447"/>
    </row>
    <row r="14" spans="2:28" x14ac:dyDescent="0.2">
      <c r="B14" s="445"/>
      <c r="C14" s="446"/>
      <c r="D14" s="502"/>
      <c r="E14" s="517" t="s">
        <v>56</v>
      </c>
      <c r="F14" s="507"/>
      <c r="G14" s="507"/>
      <c r="H14" s="507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  <c r="AA14" s="446"/>
      <c r="AB14" s="447"/>
    </row>
    <row r="15" spans="2:28" x14ac:dyDescent="0.2">
      <c r="B15" s="445"/>
      <c r="C15" s="446"/>
      <c r="D15" s="503" t="s">
        <v>77</v>
      </c>
      <c r="E15" s="546" t="s">
        <v>121</v>
      </c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446"/>
      <c r="AB15" s="447"/>
    </row>
    <row r="16" spans="2:28" ht="25.5" x14ac:dyDescent="0.2">
      <c r="B16" s="445"/>
      <c r="C16" s="688" t="str">
        <f>CONCATENATE(D16,": ",E16)</f>
        <v>Option 1: Perform Manual Neutral Integrity where UE Meters are Removed</v>
      </c>
      <c r="D16" s="503" t="s">
        <v>51</v>
      </c>
      <c r="E16" s="704" t="s">
        <v>327</v>
      </c>
      <c r="F16" s="702"/>
      <c r="G16" s="705">
        <v>100</v>
      </c>
      <c r="H16" s="705">
        <f>G16+10</f>
        <v>110</v>
      </c>
      <c r="I16" s="705">
        <f t="shared" ref="I16:Z16" si="2">H16+10</f>
        <v>120</v>
      </c>
      <c r="J16" s="705">
        <f t="shared" si="2"/>
        <v>130</v>
      </c>
      <c r="K16" s="705">
        <f t="shared" si="2"/>
        <v>140</v>
      </c>
      <c r="L16" s="705">
        <f t="shared" si="2"/>
        <v>150</v>
      </c>
      <c r="M16" s="705">
        <f t="shared" si="2"/>
        <v>160</v>
      </c>
      <c r="N16" s="705">
        <f t="shared" si="2"/>
        <v>170</v>
      </c>
      <c r="O16" s="705">
        <f t="shared" si="2"/>
        <v>180</v>
      </c>
      <c r="P16" s="705">
        <f t="shared" si="2"/>
        <v>190</v>
      </c>
      <c r="Q16" s="705">
        <f t="shared" si="2"/>
        <v>200</v>
      </c>
      <c r="R16" s="705">
        <f t="shared" si="2"/>
        <v>210</v>
      </c>
      <c r="S16" s="705">
        <f t="shared" si="2"/>
        <v>220</v>
      </c>
      <c r="T16" s="705">
        <f t="shared" si="2"/>
        <v>230</v>
      </c>
      <c r="U16" s="705">
        <f t="shared" si="2"/>
        <v>240</v>
      </c>
      <c r="V16" s="705">
        <f t="shared" si="2"/>
        <v>250</v>
      </c>
      <c r="W16" s="705">
        <f t="shared" si="2"/>
        <v>260</v>
      </c>
      <c r="X16" s="705">
        <f t="shared" si="2"/>
        <v>270</v>
      </c>
      <c r="Y16" s="705">
        <f t="shared" si="2"/>
        <v>280</v>
      </c>
      <c r="Z16" s="705">
        <f t="shared" si="2"/>
        <v>290</v>
      </c>
      <c r="AA16" s="446"/>
      <c r="AB16" s="447"/>
    </row>
    <row r="17" spans="2:28" x14ac:dyDescent="0.2">
      <c r="B17" s="445"/>
      <c r="C17" s="688" t="str">
        <f>CONCATENATE(D17,": ",E17)</f>
        <v>Option 2: Replace / Install Network Devices</v>
      </c>
      <c r="D17" s="503" t="s">
        <v>52</v>
      </c>
      <c r="E17" s="704" t="s">
        <v>328</v>
      </c>
      <c r="F17" s="509">
        <v>452.42339238</v>
      </c>
      <c r="G17" s="509">
        <v>1530.7677042756975</v>
      </c>
      <c r="H17" s="509">
        <v>1555.4134843719728</v>
      </c>
      <c r="I17" s="509">
        <v>1580.1538965586867</v>
      </c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446"/>
      <c r="AB17" s="447"/>
    </row>
    <row r="18" spans="2:28" ht="51" x14ac:dyDescent="0.2">
      <c r="B18" s="445"/>
      <c r="C18" s="688" t="str">
        <f>CONCATENATE(D18,": ",E18)</f>
        <v>Option 3: Replace / Install 80% Network Devices, Purchase the Remaining 20% of the AMI data and Control Functionality</v>
      </c>
      <c r="D18" s="503" t="s">
        <v>53</v>
      </c>
      <c r="E18" s="704" t="s">
        <v>329</v>
      </c>
      <c r="F18" s="702">
        <f>3142</f>
        <v>3142</v>
      </c>
      <c r="G18" s="702">
        <f>2347+20</f>
        <v>2367</v>
      </c>
      <c r="H18" s="702">
        <f>1277+22</f>
        <v>1299</v>
      </c>
      <c r="I18" s="702">
        <f>1297+24</f>
        <v>1321</v>
      </c>
      <c r="J18" s="509">
        <v>26</v>
      </c>
      <c r="K18" s="509">
        <f>+J18+2</f>
        <v>28</v>
      </c>
      <c r="L18" s="509">
        <f t="shared" ref="L18:Z18" si="3">+K18+2</f>
        <v>30</v>
      </c>
      <c r="M18" s="509">
        <f t="shared" si="3"/>
        <v>32</v>
      </c>
      <c r="N18" s="509">
        <f t="shared" si="3"/>
        <v>34</v>
      </c>
      <c r="O18" s="509">
        <f t="shared" si="3"/>
        <v>36</v>
      </c>
      <c r="P18" s="509">
        <f t="shared" si="3"/>
        <v>38</v>
      </c>
      <c r="Q18" s="509">
        <f t="shared" si="3"/>
        <v>40</v>
      </c>
      <c r="R18" s="509">
        <f t="shared" si="3"/>
        <v>42</v>
      </c>
      <c r="S18" s="509">
        <f t="shared" si="3"/>
        <v>44</v>
      </c>
      <c r="T18" s="509">
        <f t="shared" si="3"/>
        <v>46</v>
      </c>
      <c r="U18" s="509">
        <f t="shared" si="3"/>
        <v>48</v>
      </c>
      <c r="V18" s="509">
        <f t="shared" si="3"/>
        <v>50</v>
      </c>
      <c r="W18" s="509">
        <f t="shared" si="3"/>
        <v>52</v>
      </c>
      <c r="X18" s="509">
        <f t="shared" si="3"/>
        <v>54</v>
      </c>
      <c r="Y18" s="509">
        <f t="shared" si="3"/>
        <v>56</v>
      </c>
      <c r="Z18" s="509">
        <f t="shared" si="3"/>
        <v>58</v>
      </c>
      <c r="AA18" s="446"/>
      <c r="AB18" s="447"/>
    </row>
    <row r="19" spans="2:28" x14ac:dyDescent="0.2">
      <c r="B19" s="445"/>
      <c r="C19" s="688" t="str">
        <f>CONCATENATE(D19,": ",E19)</f>
        <v xml:space="preserve">Option 4: </v>
      </c>
      <c r="D19" s="503" t="s">
        <v>54</v>
      </c>
      <c r="E19" s="517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446"/>
      <c r="AB19" s="447"/>
    </row>
    <row r="20" spans="2:28" x14ac:dyDescent="0.2">
      <c r="B20" s="445"/>
      <c r="C20" s="688" t="str">
        <f>CONCATENATE(D20,": ",E20)</f>
        <v xml:space="preserve">Option 5: </v>
      </c>
      <c r="D20" s="503" t="s">
        <v>55</v>
      </c>
      <c r="E20" s="517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1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499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5"/>
      <c r="D23" s="487"/>
      <c r="E23" s="516"/>
      <c r="F23" s="446"/>
      <c r="G23" s="446"/>
      <c r="H23" s="446"/>
      <c r="I23" s="446"/>
      <c r="J23" s="446"/>
      <c r="K23" s="511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1" t="s">
        <v>122</v>
      </c>
      <c r="E24" s="487"/>
      <c r="F24" s="446"/>
      <c r="G24" s="446"/>
      <c r="H24" s="446"/>
      <c r="I24" s="446"/>
      <c r="J24" s="446"/>
      <c r="K24" s="511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1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19"/>
      <c r="E26" s="520" t="s">
        <v>151</v>
      </c>
      <c r="F26" s="522">
        <f>G12</f>
        <v>2018</v>
      </c>
      <c r="G26" s="522">
        <f t="shared" ref="G26:M26" si="4">F26+1</f>
        <v>2019</v>
      </c>
      <c r="H26" s="522">
        <f t="shared" si="4"/>
        <v>2020</v>
      </c>
      <c r="I26" s="522">
        <f t="shared" si="4"/>
        <v>2021</v>
      </c>
      <c r="J26" s="522">
        <f t="shared" si="4"/>
        <v>2022</v>
      </c>
      <c r="K26" s="522">
        <f t="shared" si="4"/>
        <v>2023</v>
      </c>
      <c r="L26" s="522">
        <f t="shared" si="4"/>
        <v>2024</v>
      </c>
      <c r="M26" s="522">
        <f t="shared" si="4"/>
        <v>2025</v>
      </c>
      <c r="N26" s="522">
        <f t="shared" ref="N26:Y26" si="5">M26+1</f>
        <v>2026</v>
      </c>
      <c r="O26" s="522">
        <f t="shared" si="5"/>
        <v>2027</v>
      </c>
      <c r="P26" s="522">
        <f t="shared" si="5"/>
        <v>2028</v>
      </c>
      <c r="Q26" s="522">
        <f t="shared" si="5"/>
        <v>2029</v>
      </c>
      <c r="R26" s="522">
        <f t="shared" si="5"/>
        <v>2030</v>
      </c>
      <c r="S26" s="522">
        <f t="shared" si="5"/>
        <v>2031</v>
      </c>
      <c r="T26" s="522">
        <f>S26+1</f>
        <v>2032</v>
      </c>
      <c r="U26" s="522">
        <f t="shared" si="5"/>
        <v>2033</v>
      </c>
      <c r="V26" s="522">
        <f t="shared" si="5"/>
        <v>2034</v>
      </c>
      <c r="W26" s="522">
        <f t="shared" si="5"/>
        <v>2035</v>
      </c>
      <c r="X26" s="522">
        <f t="shared" si="5"/>
        <v>2036</v>
      </c>
      <c r="Y26" s="522">
        <f t="shared" si="5"/>
        <v>2037</v>
      </c>
      <c r="Z26" s="522">
        <f>Y26+1</f>
        <v>2038</v>
      </c>
      <c r="AA26" s="446"/>
      <c r="AB26" s="447"/>
    </row>
    <row r="27" spans="2:28" x14ac:dyDescent="0.2">
      <c r="B27" s="445"/>
      <c r="C27" s="446"/>
      <c r="D27" s="693" t="s">
        <v>319</v>
      </c>
      <c r="E27" s="518" t="s">
        <v>104</v>
      </c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6"/>
      <c r="AA27" s="446"/>
      <c r="AB27" s="447"/>
    </row>
    <row r="28" spans="2:28" x14ac:dyDescent="0.2">
      <c r="B28" s="445"/>
      <c r="C28" s="446"/>
      <c r="D28" s="542"/>
      <c r="E28" s="532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1" t="str">
        <f>IF($I$8=1,"Negative Impact on Revenue (STPIS)",0)</f>
        <v>Negative Impact on Revenue (STPIS)</v>
      </c>
      <c r="E29" s="527">
        <v>4</v>
      </c>
      <c r="F29" s="521">
        <f>F26</f>
        <v>2018</v>
      </c>
      <c r="G29" s="521">
        <f t="shared" ref="G29:Z29" si="6">G26</f>
        <v>2019</v>
      </c>
      <c r="H29" s="521">
        <f t="shared" si="6"/>
        <v>2020</v>
      </c>
      <c r="I29" s="521">
        <f t="shared" si="6"/>
        <v>2021</v>
      </c>
      <c r="J29" s="521">
        <f t="shared" si="6"/>
        <v>2022</v>
      </c>
      <c r="K29" s="521">
        <f t="shared" si="6"/>
        <v>2023</v>
      </c>
      <c r="L29" s="521">
        <f t="shared" si="6"/>
        <v>2024</v>
      </c>
      <c r="M29" s="521">
        <f t="shared" si="6"/>
        <v>2025</v>
      </c>
      <c r="N29" s="521">
        <f t="shared" si="6"/>
        <v>2026</v>
      </c>
      <c r="O29" s="521">
        <f t="shared" si="6"/>
        <v>2027</v>
      </c>
      <c r="P29" s="521">
        <f t="shared" si="6"/>
        <v>2028</v>
      </c>
      <c r="Q29" s="521">
        <f t="shared" si="6"/>
        <v>2029</v>
      </c>
      <c r="R29" s="521">
        <f t="shared" si="6"/>
        <v>2030</v>
      </c>
      <c r="S29" s="521">
        <f t="shared" si="6"/>
        <v>2031</v>
      </c>
      <c r="T29" s="521">
        <f t="shared" si="6"/>
        <v>2032</v>
      </c>
      <c r="U29" s="521">
        <f t="shared" si="6"/>
        <v>2033</v>
      </c>
      <c r="V29" s="521">
        <f t="shared" si="6"/>
        <v>2034</v>
      </c>
      <c r="W29" s="521">
        <f t="shared" si="6"/>
        <v>2035</v>
      </c>
      <c r="X29" s="521">
        <f t="shared" si="6"/>
        <v>2036</v>
      </c>
      <c r="Y29" s="521">
        <f t="shared" si="6"/>
        <v>2037</v>
      </c>
      <c r="Z29" s="521">
        <f t="shared" si="6"/>
        <v>2038</v>
      </c>
      <c r="AA29" s="446"/>
      <c r="AB29" s="447"/>
    </row>
    <row r="30" spans="2:28" x14ac:dyDescent="0.2">
      <c r="B30" s="445"/>
      <c r="C30" s="446"/>
      <c r="D30" s="543" t="str">
        <f>IF($I$8=1,"SAIFI sustained",0)</f>
        <v>SAIFI sustained</v>
      </c>
      <c r="E30" s="528" t="s">
        <v>148</v>
      </c>
      <c r="F30" s="674"/>
      <c r="G30" s="529">
        <f>IF($E$29=1,0,IF(OR($E$29=2,$E$29=3,$E$29=4,$E$29=5),$F$30))</f>
        <v>0</v>
      </c>
      <c r="H30" s="529">
        <f>IF($E$29=1,0,IF(OR($E$29=2,$E$29=3,$E$29=4,$E$29=5),$F$30))</f>
        <v>0</v>
      </c>
      <c r="I30" s="529">
        <f>IF($E$29=1,0,IF(OR($E$29=2,$E$29=3,$E$29=4,$E$29=5),$F$30))</f>
        <v>0</v>
      </c>
      <c r="J30" s="529">
        <f>IF($E$29=1,0,IF(OR($E$29=2,$E$29=3,$E$29=4,$E$29=5),$F$30))</f>
        <v>0</v>
      </c>
      <c r="K30" s="529">
        <f>IF($E$29=1,0,IF(OR($E$29=2,$E$29=3,$E$29=4,$E$29=5),$F$30))</f>
        <v>0</v>
      </c>
      <c r="L30" s="524"/>
      <c r="M30" s="529">
        <f>IF(OR($E$29=1,$E$29=2),0,$L$30)</f>
        <v>0</v>
      </c>
      <c r="N30" s="529">
        <f>IF(OR($E$29=1,$E$29=2),0,$L$30)</f>
        <v>0</v>
      </c>
      <c r="O30" s="529">
        <f>IF(OR($E$29=1,$E$29=2),0,$L$30)</f>
        <v>0</v>
      </c>
      <c r="P30" s="529">
        <f>IF(OR($E$29=1,$E$29=2),0,$L$30)</f>
        <v>0</v>
      </c>
      <c r="Q30" s="529">
        <f>IF(OR($E$29=1,$E$29=2),0,$L$30)</f>
        <v>0</v>
      </c>
      <c r="R30" s="524"/>
      <c r="S30" s="529">
        <f>IF(OR($E$29=1,$E$29=2,$E$29=3),0,$R$30)</f>
        <v>0</v>
      </c>
      <c r="T30" s="529">
        <f>IF(OR($E$29=1,$E$29=2,$E$29=3),0,$R$30)</f>
        <v>0</v>
      </c>
      <c r="U30" s="529">
        <f>IF(OR($E$29=1,$E$29=2,$E$29=3),0,$R$30)</f>
        <v>0</v>
      </c>
      <c r="V30" s="529">
        <f>IF(OR($E$29=1,$E$29=2,$E$29=3),0,$R$30)</f>
        <v>0</v>
      </c>
      <c r="W30" s="529">
        <f>IF(OR($E$29=1,$E$29=2,$E$29=3),0,$R$30)</f>
        <v>0</v>
      </c>
      <c r="X30" s="524"/>
      <c r="Y30" s="529">
        <f>IF($E$29=5,$X$30,0)</f>
        <v>0</v>
      </c>
      <c r="Z30" s="529">
        <f>IF($E$29=5,$X$30,0)</f>
        <v>0</v>
      </c>
      <c r="AA30" s="446"/>
      <c r="AB30" s="447"/>
    </row>
    <row r="31" spans="2:28" x14ac:dyDescent="0.2">
      <c r="B31" s="445"/>
      <c r="C31" s="446"/>
      <c r="D31" s="543" t="str">
        <f>IF($I$8=1,"SAIDI accidental",0)</f>
        <v>SAIDI accidental</v>
      </c>
      <c r="E31" s="528" t="s">
        <v>149</v>
      </c>
      <c r="F31" s="523"/>
      <c r="G31" s="529">
        <f>IF($E$29=1,0,IF(OR($E$29=2,$E$29=3,$E$29=4,$E$29=5),$F$31))</f>
        <v>0</v>
      </c>
      <c r="H31" s="529">
        <f>IF($E$29=1,0,IF(OR($E$29=2,$E$29=3,$E$29=4,$E$29=5),$F$31))</f>
        <v>0</v>
      </c>
      <c r="I31" s="529">
        <f>IF($E$29=1,0,IF(OR($E$29=2,$E$29=3,$E$29=4,$E$29=5),$F$31))</f>
        <v>0</v>
      </c>
      <c r="J31" s="529">
        <f>IF($E$29=1,0,IF(OR($E$29=2,$E$29=3,$E$29=4,$E$29=5),$F$31))</f>
        <v>0</v>
      </c>
      <c r="K31" s="529">
        <f>IF($E$29=1,0,IF(OR($E$29=2,$E$29=3,$E$29=4,$E$29=5),$F$31))</f>
        <v>0</v>
      </c>
      <c r="L31" s="524"/>
      <c r="M31" s="529">
        <f>IF(OR($E$29=1,$E$29=2),0,$L$31)</f>
        <v>0</v>
      </c>
      <c r="N31" s="529">
        <f>IF(OR($E$29=1,$E$29=2),0,$L$31)</f>
        <v>0</v>
      </c>
      <c r="O31" s="529">
        <f>IF(OR($E$29=1,$E$29=2),0,$L$31)</f>
        <v>0</v>
      </c>
      <c r="P31" s="529">
        <f>IF(OR($E$29=1,$E$29=2),0,$L$31)</f>
        <v>0</v>
      </c>
      <c r="Q31" s="529">
        <f>IF(OR($E$29=1,$E$29=2),0,$L$31)</f>
        <v>0</v>
      </c>
      <c r="R31" s="524"/>
      <c r="S31" s="529">
        <f>IF(OR($E$29=1,$E$29=2,$E$29=3),0,$R$31)</f>
        <v>0</v>
      </c>
      <c r="T31" s="529">
        <f>IF(OR($E$29=1,$E$29=2,$E$29=3),0,$R$31)</f>
        <v>0</v>
      </c>
      <c r="U31" s="529">
        <f>IF(OR($E$29=1,$E$29=2,$E$29=3),0,$R$31)</f>
        <v>0</v>
      </c>
      <c r="V31" s="529">
        <f>IF(OR($E$29=1,$E$29=2,$E$29=3),0,$R$31)</f>
        <v>0</v>
      </c>
      <c r="W31" s="529">
        <f>IF(OR($E$29=1,$E$29=2,$E$29=3),0,$R$31)</f>
        <v>0</v>
      </c>
      <c r="X31" s="524"/>
      <c r="Y31" s="529">
        <f>IF($E$29=5,$X$31,0)</f>
        <v>0</v>
      </c>
      <c r="Z31" s="529">
        <f>IF($E$29=5,$X$31,0)</f>
        <v>0</v>
      </c>
      <c r="AA31" s="446"/>
      <c r="AB31" s="447"/>
    </row>
    <row r="32" spans="2:28" x14ac:dyDescent="0.2">
      <c r="B32" s="445"/>
      <c r="C32" s="446"/>
      <c r="D32" s="543" t="str">
        <f>IF($I$8=1,"MAIFI momentary",0)</f>
        <v>MAIFI momentary</v>
      </c>
      <c r="E32" s="528" t="s">
        <v>148</v>
      </c>
      <c r="F32" s="524"/>
      <c r="G32" s="529">
        <f>IF($E$29=1,0,IF(OR($E$29=2,$E$29=3,$E$29=4,$E$29=5),$F$32))</f>
        <v>0</v>
      </c>
      <c r="H32" s="529">
        <f>IF($E$29=1,0,IF(OR($E$29=2,$E$29=3,$E$29=4,$E$29=5),$F$32))</f>
        <v>0</v>
      </c>
      <c r="I32" s="529">
        <f>IF($E$29=1,0,IF(OR($E$29=2,$E$29=3,$E$29=4,$E$29=5),$F$32))</f>
        <v>0</v>
      </c>
      <c r="J32" s="529">
        <f>IF($E$29=1,0,IF(OR($E$29=2,$E$29=3,$E$29=4,$E$29=5),$F$32))</f>
        <v>0</v>
      </c>
      <c r="K32" s="529">
        <f>IF($E$29=1,0,IF(OR($E$29=2,$E$29=3,$E$29=4,$E$29=5),$F$32))</f>
        <v>0</v>
      </c>
      <c r="L32" s="524"/>
      <c r="M32" s="529">
        <f>IF(OR($E$29=1,$E$29=2),0,$L$32)</f>
        <v>0</v>
      </c>
      <c r="N32" s="529">
        <f>IF(OR($E$29=1,$E$29=2),0,$L$32)</f>
        <v>0</v>
      </c>
      <c r="O32" s="529">
        <f>IF(OR($E$29=1,$E$29=2),0,$L$32)</f>
        <v>0</v>
      </c>
      <c r="P32" s="529">
        <f>IF(OR($E$29=1,$E$29=2),0,$L$32)</f>
        <v>0</v>
      </c>
      <c r="Q32" s="529">
        <f>IF(OR($E$29=1,$E$29=2),0,$L$32)</f>
        <v>0</v>
      </c>
      <c r="R32" s="524"/>
      <c r="S32" s="529">
        <f>IF(OR($E$29=1,$E$29=2,$E$29=3),0,$R$32)</f>
        <v>0</v>
      </c>
      <c r="T32" s="529">
        <f>IF(OR($E$29=1,$E$29=2,$E$29=3),0,$R$32)</f>
        <v>0</v>
      </c>
      <c r="U32" s="529">
        <f>IF(OR($E$29=1,$E$29=2,$E$29=3),0,$R$32)</f>
        <v>0</v>
      </c>
      <c r="V32" s="529">
        <f>IF(OR($E$29=1,$E$29=2,$E$29=3),0,$R$32)</f>
        <v>0</v>
      </c>
      <c r="W32" s="529">
        <f>IF(OR($E$29=1,$E$29=2,$E$29=3),0,$R$32)</f>
        <v>0</v>
      </c>
      <c r="X32" s="524"/>
      <c r="Y32" s="529">
        <f>IF($E$29=5,$X$32,0)</f>
        <v>0</v>
      </c>
      <c r="Z32" s="529">
        <f>IF($E$29=5,$X$32,0)</f>
        <v>0</v>
      </c>
      <c r="AA32" s="446"/>
      <c r="AB32" s="447"/>
    </row>
    <row r="33" spans="2:28" x14ac:dyDescent="0.2">
      <c r="B33" s="445"/>
      <c r="C33" s="446"/>
      <c r="D33" s="543" t="str">
        <f>IF($I$8=1,"Call centre response",0)</f>
        <v>Call centre response</v>
      </c>
      <c r="E33" s="528" t="s">
        <v>150</v>
      </c>
      <c r="F33" s="525"/>
      <c r="G33" s="530">
        <f>IF($E$29=1,0,IF(OR($E$29=2,$E$29=3,$E$29=4,$E$29=5),$F$33))</f>
        <v>0</v>
      </c>
      <c r="H33" s="530">
        <f>IF($E$29=1,0,IF(OR($E$29=2,$E$29=3,$E$29=4,$E$29=5),$F$33))</f>
        <v>0</v>
      </c>
      <c r="I33" s="530">
        <f>IF($E$29=1,0,IF(OR($E$29=2,$E$29=3,$E$29=4,$E$29=5),$F$33))</f>
        <v>0</v>
      </c>
      <c r="J33" s="530">
        <f>IF($E$29=1,0,IF(OR($E$29=2,$E$29=3,$E$29=4,$E$29=5),$F$33))</f>
        <v>0</v>
      </c>
      <c r="K33" s="530">
        <f>IF($E$29=1,0,IF(OR($E$29=2,$E$29=3,$E$29=4,$E$29=5),$F$33))</f>
        <v>0</v>
      </c>
      <c r="L33" s="525"/>
      <c r="M33" s="530">
        <f>IF(OR($E$29=1,$E$29=2),0,$L$33)</f>
        <v>0</v>
      </c>
      <c r="N33" s="530">
        <f>IF(OR($E$29=1,$E$29=2),0,$L$33)</f>
        <v>0</v>
      </c>
      <c r="O33" s="530">
        <f>IF(OR($E$29=1,$E$29=2),0,$L$33)</f>
        <v>0</v>
      </c>
      <c r="P33" s="530">
        <f>IF(OR($E$29=1,$E$29=2),0,$L$33)</f>
        <v>0</v>
      </c>
      <c r="Q33" s="530">
        <f>IF(OR($E$29=1,$E$29=2),0,$L$33)</f>
        <v>0</v>
      </c>
      <c r="R33" s="525"/>
      <c r="S33" s="530">
        <f>IF(OR($E$29=1,$E$29=2,$E$29=3),0,$R$33)</f>
        <v>0</v>
      </c>
      <c r="T33" s="530">
        <f>IF(OR($E$29=1,$E$29=2,$E$29=3),0,$R$33)</f>
        <v>0</v>
      </c>
      <c r="U33" s="530">
        <f>IF(OR($E$29=1,$E$29=2,$E$29=3),0,$R$33)</f>
        <v>0</v>
      </c>
      <c r="V33" s="530">
        <f>IF(OR($E$29=1,$E$29=2,$E$29=3),0,$R$33)</f>
        <v>0</v>
      </c>
      <c r="W33" s="530">
        <f>IF(OR($E$29=1,$E$29=2,$E$29=3),0,$R$33)</f>
        <v>0</v>
      </c>
      <c r="X33" s="525"/>
      <c r="Y33" s="530">
        <f>IF($E$29=5,$X$33,0)</f>
        <v>0</v>
      </c>
      <c r="Z33" s="530">
        <f>IF($E$29=5,$X$33,0)</f>
        <v>0</v>
      </c>
      <c r="AA33" s="446"/>
      <c r="AB33" s="447"/>
    </row>
    <row r="34" spans="2:28" x14ac:dyDescent="0.2">
      <c r="B34" s="445"/>
      <c r="C34" s="446"/>
      <c r="D34" s="544"/>
      <c r="E34" s="533"/>
      <c r="F34" s="534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446"/>
      <c r="AB34" s="447"/>
    </row>
    <row r="35" spans="2:28" x14ac:dyDescent="0.2">
      <c r="B35" s="445"/>
      <c r="C35" s="446"/>
      <c r="D35" s="541" t="str">
        <f>IF(I8=1,"Network Outage Costs",0)</f>
        <v>Network Outage Costs</v>
      </c>
      <c r="E35" s="527"/>
      <c r="F35" s="521">
        <f>F29</f>
        <v>2018</v>
      </c>
      <c r="G35" s="521">
        <f t="shared" ref="G35:Z35" si="7">G29</f>
        <v>2019</v>
      </c>
      <c r="H35" s="521">
        <f t="shared" si="7"/>
        <v>2020</v>
      </c>
      <c r="I35" s="521">
        <f t="shared" si="7"/>
        <v>2021</v>
      </c>
      <c r="J35" s="521">
        <f t="shared" si="7"/>
        <v>2022</v>
      </c>
      <c r="K35" s="521">
        <f t="shared" si="7"/>
        <v>2023</v>
      </c>
      <c r="L35" s="521">
        <f t="shared" si="7"/>
        <v>2024</v>
      </c>
      <c r="M35" s="521">
        <f t="shared" si="7"/>
        <v>2025</v>
      </c>
      <c r="N35" s="521">
        <f t="shared" si="7"/>
        <v>2026</v>
      </c>
      <c r="O35" s="521">
        <f t="shared" si="7"/>
        <v>2027</v>
      </c>
      <c r="P35" s="521">
        <f t="shared" si="7"/>
        <v>2028</v>
      </c>
      <c r="Q35" s="521">
        <f t="shared" si="7"/>
        <v>2029</v>
      </c>
      <c r="R35" s="521">
        <f t="shared" si="7"/>
        <v>2030</v>
      </c>
      <c r="S35" s="521">
        <f t="shared" si="7"/>
        <v>2031</v>
      </c>
      <c r="T35" s="521">
        <f t="shared" si="7"/>
        <v>2032</v>
      </c>
      <c r="U35" s="521">
        <f t="shared" si="7"/>
        <v>2033</v>
      </c>
      <c r="V35" s="521">
        <f t="shared" si="7"/>
        <v>2034</v>
      </c>
      <c r="W35" s="521">
        <f t="shared" si="7"/>
        <v>2035</v>
      </c>
      <c r="X35" s="521">
        <f t="shared" si="7"/>
        <v>2036</v>
      </c>
      <c r="Y35" s="521">
        <f t="shared" si="7"/>
        <v>2037</v>
      </c>
      <c r="Z35" s="521">
        <f t="shared" si="7"/>
        <v>2038</v>
      </c>
      <c r="AA35" s="446"/>
      <c r="AB35" s="447"/>
    </row>
    <row r="36" spans="2:28" x14ac:dyDescent="0.2">
      <c r="B36" s="445"/>
      <c r="C36" s="446"/>
      <c r="D36" s="543" t="str">
        <f>IF(I8=1,"Customer off supply",0)</f>
        <v>Customer off supply</v>
      </c>
      <c r="E36" s="528" t="s">
        <v>149</v>
      </c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36"/>
      <c r="V36" s="536"/>
      <c r="W36" s="536"/>
      <c r="X36" s="536"/>
      <c r="Y36" s="536"/>
      <c r="Z36" s="536"/>
      <c r="AA36" s="446"/>
      <c r="AB36" s="447"/>
    </row>
    <row r="37" spans="2:28" x14ac:dyDescent="0.2">
      <c r="B37" s="445"/>
      <c r="C37" s="446"/>
      <c r="D37" s="542"/>
      <c r="E37" s="533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446"/>
      <c r="AB37" s="447"/>
    </row>
    <row r="38" spans="2:28" x14ac:dyDescent="0.2">
      <c r="B38" s="445"/>
      <c r="C38" s="446"/>
      <c r="D38" s="541" t="str">
        <f>IF(I8=1,"Loss of F Factor Benefit",0)</f>
        <v>Loss of F Factor Benefit</v>
      </c>
      <c r="E38" s="526"/>
      <c r="F38" s="521">
        <f>F35</f>
        <v>2018</v>
      </c>
      <c r="G38" s="521">
        <f t="shared" ref="G38:Z38" si="8">G35</f>
        <v>2019</v>
      </c>
      <c r="H38" s="521">
        <f t="shared" si="8"/>
        <v>2020</v>
      </c>
      <c r="I38" s="521">
        <f t="shared" si="8"/>
        <v>2021</v>
      </c>
      <c r="J38" s="521">
        <f t="shared" si="8"/>
        <v>2022</v>
      </c>
      <c r="K38" s="521">
        <f t="shared" si="8"/>
        <v>2023</v>
      </c>
      <c r="L38" s="521">
        <f t="shared" si="8"/>
        <v>2024</v>
      </c>
      <c r="M38" s="521">
        <f t="shared" si="8"/>
        <v>2025</v>
      </c>
      <c r="N38" s="521">
        <f t="shared" si="8"/>
        <v>2026</v>
      </c>
      <c r="O38" s="521">
        <f t="shared" si="8"/>
        <v>2027</v>
      </c>
      <c r="P38" s="521">
        <f t="shared" si="8"/>
        <v>2028</v>
      </c>
      <c r="Q38" s="521">
        <f t="shared" si="8"/>
        <v>2029</v>
      </c>
      <c r="R38" s="521">
        <f t="shared" si="8"/>
        <v>2030</v>
      </c>
      <c r="S38" s="521">
        <f t="shared" si="8"/>
        <v>2031</v>
      </c>
      <c r="T38" s="521">
        <f t="shared" si="8"/>
        <v>2032</v>
      </c>
      <c r="U38" s="521">
        <f t="shared" si="8"/>
        <v>2033</v>
      </c>
      <c r="V38" s="521">
        <f t="shared" si="8"/>
        <v>2034</v>
      </c>
      <c r="W38" s="521">
        <f t="shared" si="8"/>
        <v>2035</v>
      </c>
      <c r="X38" s="521">
        <f t="shared" si="8"/>
        <v>2036</v>
      </c>
      <c r="Y38" s="521">
        <f t="shared" si="8"/>
        <v>2037</v>
      </c>
      <c r="Z38" s="521">
        <f t="shared" si="8"/>
        <v>2038</v>
      </c>
      <c r="AA38" s="446"/>
      <c r="AB38" s="447"/>
    </row>
    <row r="39" spans="2:28" x14ac:dyDescent="0.2">
      <c r="B39" s="445"/>
      <c r="C39" s="533"/>
      <c r="D39" s="545" t="str">
        <f>IF(I8=1,"Loss of F Factor Benefit",0)</f>
        <v>Loss of F Factor Benefit</v>
      </c>
      <c r="E39" s="540" t="s">
        <v>240</v>
      </c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446"/>
      <c r="AB39" s="447"/>
    </row>
    <row r="40" spans="2:28" x14ac:dyDescent="0.2">
      <c r="B40" s="445"/>
      <c r="C40" s="446"/>
      <c r="D40" s="537"/>
      <c r="E40" s="533"/>
      <c r="F40" s="538"/>
      <c r="G40" s="538"/>
      <c r="H40" s="538"/>
      <c r="I40" s="538"/>
      <c r="J40" s="538"/>
      <c r="K40" s="538"/>
      <c r="L40" s="538"/>
      <c r="M40" s="538"/>
      <c r="N40" s="538"/>
      <c r="O40" s="538"/>
      <c r="P40" s="538"/>
      <c r="Q40" s="538"/>
      <c r="R40" s="538"/>
      <c r="S40" s="538"/>
      <c r="T40" s="538"/>
      <c r="U40" s="538"/>
      <c r="V40" s="538"/>
      <c r="W40" s="538"/>
      <c r="X40" s="538"/>
      <c r="Y40" s="538"/>
      <c r="Z40" s="538"/>
      <c r="AA40" s="446"/>
      <c r="AB40" s="447"/>
    </row>
    <row r="41" spans="2:28" x14ac:dyDescent="0.2">
      <c r="B41" s="445"/>
      <c r="C41" s="446"/>
      <c r="D41" s="541" t="s">
        <v>116</v>
      </c>
      <c r="E41" s="526"/>
      <c r="F41" s="521">
        <f>F38</f>
        <v>2018</v>
      </c>
      <c r="G41" s="521">
        <f t="shared" ref="G41:Z41" si="9">G38</f>
        <v>2019</v>
      </c>
      <c r="H41" s="521">
        <f t="shared" si="9"/>
        <v>2020</v>
      </c>
      <c r="I41" s="521">
        <f t="shared" si="9"/>
        <v>2021</v>
      </c>
      <c r="J41" s="521">
        <f t="shared" si="9"/>
        <v>2022</v>
      </c>
      <c r="K41" s="521">
        <f t="shared" si="9"/>
        <v>2023</v>
      </c>
      <c r="L41" s="521">
        <f t="shared" si="9"/>
        <v>2024</v>
      </c>
      <c r="M41" s="521">
        <f t="shared" si="9"/>
        <v>2025</v>
      </c>
      <c r="N41" s="521">
        <f t="shared" si="9"/>
        <v>2026</v>
      </c>
      <c r="O41" s="521">
        <f t="shared" si="9"/>
        <v>2027</v>
      </c>
      <c r="P41" s="521">
        <f t="shared" si="9"/>
        <v>2028</v>
      </c>
      <c r="Q41" s="521">
        <f t="shared" si="9"/>
        <v>2029</v>
      </c>
      <c r="R41" s="521">
        <f t="shared" si="9"/>
        <v>2030</v>
      </c>
      <c r="S41" s="521">
        <f t="shared" si="9"/>
        <v>2031</v>
      </c>
      <c r="T41" s="521">
        <f t="shared" si="9"/>
        <v>2032</v>
      </c>
      <c r="U41" s="521">
        <f t="shared" si="9"/>
        <v>2033</v>
      </c>
      <c r="V41" s="521">
        <f t="shared" si="9"/>
        <v>2034</v>
      </c>
      <c r="W41" s="521">
        <f t="shared" si="9"/>
        <v>2035</v>
      </c>
      <c r="X41" s="521">
        <f t="shared" si="9"/>
        <v>2036</v>
      </c>
      <c r="Y41" s="521">
        <f t="shared" si="9"/>
        <v>2037</v>
      </c>
      <c r="Z41" s="521">
        <f t="shared" si="9"/>
        <v>2038</v>
      </c>
      <c r="AA41" s="446"/>
      <c r="AB41" s="447"/>
    </row>
    <row r="42" spans="2:28" x14ac:dyDescent="0.2">
      <c r="B42" s="445"/>
      <c r="C42" s="446"/>
      <c r="D42" s="693" t="s">
        <v>320</v>
      </c>
      <c r="E42" s="518" t="s">
        <v>104</v>
      </c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446"/>
      <c r="AB42" s="447"/>
    </row>
    <row r="43" spans="2:28" x14ac:dyDescent="0.2">
      <c r="B43" s="445"/>
      <c r="C43" s="446"/>
      <c r="D43" s="541" t="s">
        <v>315</v>
      </c>
      <c r="E43" s="518" t="s">
        <v>104</v>
      </c>
      <c r="F43" s="509"/>
      <c r="G43" s="509"/>
      <c r="H43" s="509"/>
      <c r="I43" s="509"/>
      <c r="J43" s="509"/>
      <c r="K43" s="509"/>
      <c r="L43" s="509"/>
      <c r="M43" s="509"/>
      <c r="N43" s="509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446"/>
      <c r="AB43" s="447"/>
    </row>
    <row r="44" spans="2:28" x14ac:dyDescent="0.2">
      <c r="B44" s="445"/>
      <c r="C44" s="446"/>
      <c r="D44" s="541" t="s">
        <v>316</v>
      </c>
      <c r="E44" s="518" t="s">
        <v>104</v>
      </c>
      <c r="F44" s="509"/>
      <c r="G44" s="509"/>
      <c r="H44" s="509"/>
      <c r="I44" s="509"/>
      <c r="J44" s="509"/>
      <c r="K44" s="509"/>
      <c r="L44" s="509"/>
      <c r="M44" s="509"/>
      <c r="N44" s="509"/>
      <c r="O44" s="661"/>
      <c r="P44" s="661"/>
      <c r="Q44" s="661"/>
      <c r="R44" s="661"/>
      <c r="S44" s="661"/>
      <c r="T44" s="661"/>
      <c r="U44" s="661"/>
      <c r="V44" s="661"/>
      <c r="W44" s="661"/>
      <c r="X44" s="661"/>
      <c r="Y44" s="661"/>
      <c r="Z44" s="661"/>
      <c r="AA44" s="446"/>
      <c r="AB44" s="447"/>
    </row>
    <row r="45" spans="2:28" x14ac:dyDescent="0.2">
      <c r="B45" s="445"/>
      <c r="C45" s="446"/>
      <c r="D45" s="541" t="s">
        <v>48</v>
      </c>
      <c r="E45" s="518" t="s">
        <v>104</v>
      </c>
      <c r="F45" s="661"/>
      <c r="G45" s="661"/>
      <c r="H45" s="661"/>
      <c r="I45" s="661"/>
      <c r="J45" s="661"/>
      <c r="K45" s="661"/>
      <c r="L45" s="661"/>
      <c r="M45" s="661"/>
      <c r="N45" s="661"/>
      <c r="O45" s="661"/>
      <c r="P45" s="661"/>
      <c r="Q45" s="661"/>
      <c r="R45" s="661"/>
      <c r="S45" s="661"/>
      <c r="T45" s="661"/>
      <c r="U45" s="661"/>
      <c r="V45" s="661"/>
      <c r="W45" s="661"/>
      <c r="X45" s="661"/>
      <c r="Y45" s="661"/>
      <c r="Z45" s="661"/>
      <c r="AA45" s="446"/>
      <c r="AB45" s="447"/>
    </row>
    <row r="46" spans="2:28" x14ac:dyDescent="0.2">
      <c r="B46" s="445"/>
      <c r="C46" s="446"/>
      <c r="D46" s="541" t="s">
        <v>49</v>
      </c>
      <c r="E46" s="518" t="s">
        <v>104</v>
      </c>
      <c r="F46" s="661"/>
      <c r="G46" s="661"/>
      <c r="H46" s="661"/>
      <c r="I46" s="661"/>
      <c r="J46" s="661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661"/>
      <c r="V46" s="661"/>
      <c r="W46" s="661"/>
      <c r="X46" s="661"/>
      <c r="Y46" s="661"/>
      <c r="Z46" s="661"/>
      <c r="AA46" s="446"/>
      <c r="AB46" s="447"/>
    </row>
    <row r="47" spans="2:28" x14ac:dyDescent="0.2">
      <c r="B47" s="445"/>
      <c r="C47" s="446"/>
      <c r="D47" s="541" t="s">
        <v>278</v>
      </c>
      <c r="E47" s="518" t="s">
        <v>104</v>
      </c>
      <c r="F47" s="661"/>
      <c r="G47" s="661"/>
      <c r="H47" s="661"/>
      <c r="I47" s="661"/>
      <c r="J47" s="661"/>
      <c r="K47" s="661"/>
      <c r="L47" s="661"/>
      <c r="M47" s="661"/>
      <c r="N47" s="661"/>
      <c r="O47" s="661"/>
      <c r="P47" s="661"/>
      <c r="Q47" s="661"/>
      <c r="R47" s="661"/>
      <c r="S47" s="661"/>
      <c r="T47" s="661"/>
      <c r="U47" s="661"/>
      <c r="V47" s="661"/>
      <c r="W47" s="661"/>
      <c r="X47" s="661"/>
      <c r="Y47" s="661"/>
      <c r="Z47" s="661"/>
      <c r="AA47" s="446"/>
      <c r="AB47" s="447"/>
    </row>
    <row r="48" spans="2:28" x14ac:dyDescent="0.2">
      <c r="B48" s="445"/>
      <c r="C48" s="446"/>
      <c r="D48" s="541" t="s">
        <v>279</v>
      </c>
      <c r="E48" s="518" t="s">
        <v>104</v>
      </c>
      <c r="F48" s="661"/>
      <c r="G48" s="661"/>
      <c r="H48" s="661"/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661"/>
      <c r="AA48" s="446"/>
      <c r="AB48" s="447"/>
    </row>
    <row r="49" spans="2:28" x14ac:dyDescent="0.2">
      <c r="B49" s="445"/>
      <c r="C49" s="446"/>
      <c r="D49" s="541" t="s">
        <v>280</v>
      </c>
      <c r="E49" s="518" t="s">
        <v>104</v>
      </c>
      <c r="F49" s="661"/>
      <c r="G49" s="661"/>
      <c r="H49" s="661"/>
      <c r="I49" s="661"/>
      <c r="J49" s="661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  <c r="W49" s="661"/>
      <c r="X49" s="661"/>
      <c r="Y49" s="661"/>
      <c r="Z49" s="661"/>
      <c r="AA49" s="446"/>
      <c r="AB49" s="447"/>
    </row>
    <row r="50" spans="2:28" x14ac:dyDescent="0.2">
      <c r="B50" s="445"/>
      <c r="C50" s="446"/>
      <c r="D50" s="541" t="s">
        <v>281</v>
      </c>
      <c r="E50" s="518" t="s">
        <v>104</v>
      </c>
      <c r="F50" s="661"/>
      <c r="G50" s="661"/>
      <c r="H50" s="661"/>
      <c r="I50" s="661"/>
      <c r="J50" s="661"/>
      <c r="K50" s="661"/>
      <c r="L50" s="661"/>
      <c r="M50" s="661"/>
      <c r="N50" s="661"/>
      <c r="O50" s="661"/>
      <c r="P50" s="661"/>
      <c r="Q50" s="661"/>
      <c r="R50" s="661"/>
      <c r="S50" s="661"/>
      <c r="T50" s="661"/>
      <c r="U50" s="661"/>
      <c r="V50" s="661"/>
      <c r="W50" s="661"/>
      <c r="X50" s="661"/>
      <c r="Y50" s="661"/>
      <c r="Z50" s="661"/>
      <c r="AA50" s="446"/>
      <c r="AB50" s="447"/>
    </row>
    <row r="51" spans="2:28" x14ac:dyDescent="0.2">
      <c r="B51" s="445"/>
      <c r="C51" s="446"/>
      <c r="D51" s="541" t="s">
        <v>282</v>
      </c>
      <c r="E51" s="518" t="s">
        <v>104</v>
      </c>
      <c r="F51" s="661"/>
      <c r="G51" s="661"/>
      <c r="H51" s="661"/>
      <c r="I51" s="661"/>
      <c r="J51" s="661"/>
      <c r="K51" s="661"/>
      <c r="L51" s="661"/>
      <c r="M51" s="661"/>
      <c r="N51" s="661"/>
      <c r="O51" s="661"/>
      <c r="P51" s="661"/>
      <c r="Q51" s="661"/>
      <c r="R51" s="661"/>
      <c r="S51" s="661"/>
      <c r="T51" s="661"/>
      <c r="U51" s="661"/>
      <c r="V51" s="661"/>
      <c r="W51" s="661"/>
      <c r="X51" s="661"/>
      <c r="Y51" s="661"/>
      <c r="Z51" s="661"/>
      <c r="AA51" s="446"/>
      <c r="AB51" s="447"/>
    </row>
    <row r="52" spans="2:28" x14ac:dyDescent="0.2">
      <c r="B52" s="445"/>
      <c r="C52" s="446"/>
      <c r="D52" s="487"/>
      <c r="E52" s="550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446"/>
      <c r="AA52" s="446"/>
      <c r="AB52" s="447"/>
    </row>
    <row r="53" spans="2:28" ht="13.5" thickBot="1" x14ac:dyDescent="0.25">
      <c r="B53" s="445"/>
      <c r="C53" s="446"/>
      <c r="D53" s="491" t="str">
        <f>"Option 1: "&amp;+E16</f>
        <v>Option 1: Perform Manual Neutral Integrity where UE Meters are Removed</v>
      </c>
      <c r="E53" s="487"/>
      <c r="F53" s="446"/>
      <c r="G53" s="446"/>
      <c r="H53" s="446"/>
      <c r="I53" s="446"/>
      <c r="J53" s="446"/>
      <c r="K53" s="511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1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19"/>
      <c r="E55" s="520"/>
      <c r="F55" s="521">
        <f>G12</f>
        <v>2018</v>
      </c>
      <c r="G55" s="522">
        <f>F55+1</f>
        <v>2019</v>
      </c>
      <c r="H55" s="522">
        <f t="shared" ref="H55:Z55" si="10">G55+1</f>
        <v>2020</v>
      </c>
      <c r="I55" s="522">
        <f t="shared" si="10"/>
        <v>2021</v>
      </c>
      <c r="J55" s="522">
        <f t="shared" si="10"/>
        <v>2022</v>
      </c>
      <c r="K55" s="522">
        <f t="shared" si="10"/>
        <v>2023</v>
      </c>
      <c r="L55" s="522">
        <f t="shared" si="10"/>
        <v>2024</v>
      </c>
      <c r="M55" s="522">
        <f t="shared" si="10"/>
        <v>2025</v>
      </c>
      <c r="N55" s="522">
        <f t="shared" si="10"/>
        <v>2026</v>
      </c>
      <c r="O55" s="522">
        <f t="shared" si="10"/>
        <v>2027</v>
      </c>
      <c r="P55" s="522">
        <f t="shared" si="10"/>
        <v>2028</v>
      </c>
      <c r="Q55" s="522">
        <f t="shared" si="10"/>
        <v>2029</v>
      </c>
      <c r="R55" s="522">
        <f t="shared" si="10"/>
        <v>2030</v>
      </c>
      <c r="S55" s="522">
        <f t="shared" si="10"/>
        <v>2031</v>
      </c>
      <c r="T55" s="522">
        <f t="shared" si="10"/>
        <v>2032</v>
      </c>
      <c r="U55" s="522">
        <f t="shared" si="10"/>
        <v>2033</v>
      </c>
      <c r="V55" s="522">
        <f t="shared" si="10"/>
        <v>2034</v>
      </c>
      <c r="W55" s="522">
        <f t="shared" si="10"/>
        <v>2035</v>
      </c>
      <c r="X55" s="522">
        <f t="shared" si="10"/>
        <v>2036</v>
      </c>
      <c r="Y55" s="522">
        <f t="shared" si="10"/>
        <v>2037</v>
      </c>
      <c r="Z55" s="522">
        <f t="shared" si="10"/>
        <v>2038</v>
      </c>
      <c r="AA55" s="446"/>
      <c r="AB55" s="447"/>
    </row>
    <row r="56" spans="2:28" x14ac:dyDescent="0.2">
      <c r="B56" s="445"/>
      <c r="C56" s="688" t="str">
        <f>$C$16</f>
        <v>Option 1: Perform Manual Neutral Integrity where UE Meters are Removed</v>
      </c>
      <c r="D56" s="541" t="str">
        <f>$D$27</f>
        <v>Maintenance Costs</v>
      </c>
      <c r="E56" s="518" t="s">
        <v>104</v>
      </c>
      <c r="F56" s="536"/>
      <c r="G56" s="536"/>
      <c r="H56" s="536"/>
      <c r="I56" s="536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2"/>
      <c r="E57" s="532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1" t="str">
        <f>IF($I$8=1,"Negative Impact on Revenue (STPIS)",0)</f>
        <v>Negative Impact on Revenue (STPIS)</v>
      </c>
      <c r="E58" s="527">
        <v>5</v>
      </c>
      <c r="F58" s="521">
        <f>F55</f>
        <v>2018</v>
      </c>
      <c r="G58" s="521">
        <f t="shared" ref="G58:Z58" si="11">G55</f>
        <v>2019</v>
      </c>
      <c r="H58" s="521">
        <f t="shared" si="11"/>
        <v>2020</v>
      </c>
      <c r="I58" s="521">
        <f t="shared" si="11"/>
        <v>2021</v>
      </c>
      <c r="J58" s="521">
        <f t="shared" si="11"/>
        <v>2022</v>
      </c>
      <c r="K58" s="521">
        <f t="shared" si="11"/>
        <v>2023</v>
      </c>
      <c r="L58" s="521">
        <f t="shared" si="11"/>
        <v>2024</v>
      </c>
      <c r="M58" s="521">
        <f t="shared" si="11"/>
        <v>2025</v>
      </c>
      <c r="N58" s="521">
        <f t="shared" si="11"/>
        <v>2026</v>
      </c>
      <c r="O58" s="521">
        <f t="shared" si="11"/>
        <v>2027</v>
      </c>
      <c r="P58" s="521">
        <f t="shared" si="11"/>
        <v>2028</v>
      </c>
      <c r="Q58" s="521">
        <f t="shared" si="11"/>
        <v>2029</v>
      </c>
      <c r="R58" s="521">
        <f t="shared" si="11"/>
        <v>2030</v>
      </c>
      <c r="S58" s="521">
        <f t="shared" si="11"/>
        <v>2031</v>
      </c>
      <c r="T58" s="521">
        <f t="shared" si="11"/>
        <v>2032</v>
      </c>
      <c r="U58" s="521">
        <f t="shared" si="11"/>
        <v>2033</v>
      </c>
      <c r="V58" s="521">
        <f t="shared" si="11"/>
        <v>2034</v>
      </c>
      <c r="W58" s="521">
        <f t="shared" si="11"/>
        <v>2035</v>
      </c>
      <c r="X58" s="521">
        <f t="shared" si="11"/>
        <v>2036</v>
      </c>
      <c r="Y58" s="521">
        <f t="shared" si="11"/>
        <v>2037</v>
      </c>
      <c r="Z58" s="521">
        <f t="shared" si="11"/>
        <v>2038</v>
      </c>
      <c r="AA58" s="446"/>
      <c r="AB58" s="447"/>
    </row>
    <row r="59" spans="2:28" x14ac:dyDescent="0.2">
      <c r="B59" s="445"/>
      <c r="C59" s="688" t="str">
        <f>$C$16</f>
        <v>Option 1: Perform Manual Neutral Integrity where UE Meters are Removed</v>
      </c>
      <c r="D59" s="543" t="str">
        <f>IF($I$8=1,"SAIFI sustained",0)</f>
        <v>SAIFI sustained</v>
      </c>
      <c r="E59" s="528" t="s">
        <v>148</v>
      </c>
      <c r="F59" s="674">
        <v>0</v>
      </c>
      <c r="G59" s="529">
        <f>IF($E$58=1,0,IF(OR($E$58=2,$E$58=3,$E$58=4,$E$58=5),$F$59))</f>
        <v>0</v>
      </c>
      <c r="H59" s="529">
        <f>IF($E$58=1,0,IF(OR($E$58=2,$E$58=3,$E$58=4,$E$58=5),$F$59))</f>
        <v>0</v>
      </c>
      <c r="I59" s="529">
        <f>IF($E$58=1,0,IF(OR($E$58=2,$E$58=3,$E$58=4,$E$58=5),$F$59))</f>
        <v>0</v>
      </c>
      <c r="J59" s="529">
        <f>IF($E$58=1,0,IF(OR($E$58=2,$E$58=3,$E$58=4,$E$58=5),$F$59))</f>
        <v>0</v>
      </c>
      <c r="K59" s="529">
        <f>IF($E$58=1,0,IF(OR($E$58=2,$E$58=3,$E$58=4,$E$58=5),$F$59))</f>
        <v>0</v>
      </c>
      <c r="L59" s="524"/>
      <c r="M59" s="529">
        <f>IF(OR($E$58=1,$E$58=2),0,$L$59)</f>
        <v>0</v>
      </c>
      <c r="N59" s="529">
        <f>IF(OR($E$58=1,$E$58=2),0,$L$59)</f>
        <v>0</v>
      </c>
      <c r="O59" s="529">
        <f>IF(OR($E$58=1,$E$58=2),0,$L$59)</f>
        <v>0</v>
      </c>
      <c r="P59" s="529">
        <f>IF(OR($E$58=1,$E$58=2),0,$L$59)</f>
        <v>0</v>
      </c>
      <c r="Q59" s="529">
        <f>IF(OR($E$58=1,$E$58=2),0,$L$59)</f>
        <v>0</v>
      </c>
      <c r="R59" s="524"/>
      <c r="S59" s="529">
        <f>IF(OR($E$58=1,$E$58=2,$E$58=3),0,$R$59)</f>
        <v>0</v>
      </c>
      <c r="T59" s="529">
        <f>IF(OR($E$58=1,$E$58=2,$E$58=3),0,$R$59)</f>
        <v>0</v>
      </c>
      <c r="U59" s="529">
        <f>IF(OR($E$58=1,$E$58=2,$E$58=3),0,$R$59)</f>
        <v>0</v>
      </c>
      <c r="V59" s="529">
        <f>IF(OR($E$58=1,$E$58=2,$E$58=3),0,$R$59)</f>
        <v>0</v>
      </c>
      <c r="W59" s="529">
        <f>IF(OR($E$58=1,$E$58=2,$E$58=3),0,$R$59)</f>
        <v>0</v>
      </c>
      <c r="X59" s="524"/>
      <c r="Y59" s="529">
        <f>IF($E$58=5,$X$59,0)</f>
        <v>0</v>
      </c>
      <c r="Z59" s="529">
        <f>IF($E$58=5,$X$59,0)</f>
        <v>0</v>
      </c>
      <c r="AA59" s="446"/>
      <c r="AB59" s="447"/>
    </row>
    <row r="60" spans="2:28" x14ac:dyDescent="0.2">
      <c r="B60" s="445"/>
      <c r="C60" s="688" t="str">
        <f>$C$16</f>
        <v>Option 1: Perform Manual Neutral Integrity where UE Meters are Removed</v>
      </c>
      <c r="D60" s="543" t="str">
        <f>IF($I$8=1,"SAIDI accidental",0)</f>
        <v>SAIDI accidental</v>
      </c>
      <c r="E60" s="528" t="s">
        <v>149</v>
      </c>
      <c r="F60" s="523">
        <v>0</v>
      </c>
      <c r="G60" s="529">
        <f>IF($E$58=1,0,IF(OR($E$58=2,$E$58=3,$E$58=4,$E$58=5),$F$60))</f>
        <v>0</v>
      </c>
      <c r="H60" s="529">
        <f>IF($E$58=1,0,IF(OR($E$58=2,$E$58=3,$E$58=4,$E$58=5),$F$60))</f>
        <v>0</v>
      </c>
      <c r="I60" s="529">
        <f>IF($E$58=1,0,IF(OR($E$58=2,$E$58=3,$E$58=4,$E$58=5),$F$60))</f>
        <v>0</v>
      </c>
      <c r="J60" s="529">
        <f>IF($E$58=1,0,IF(OR($E$58=2,$E$58=3,$E$58=4,$E$58=5),$F$60))</f>
        <v>0</v>
      </c>
      <c r="K60" s="529">
        <f>IF($E$58=1,0,IF(OR($E$58=2,$E$58=3,$E$58=4,$E$58=5),$F$60))</f>
        <v>0</v>
      </c>
      <c r="L60" s="524"/>
      <c r="M60" s="529">
        <f>IF(OR($E$58=1,$E$58=2),0,$L$60)</f>
        <v>0</v>
      </c>
      <c r="N60" s="529">
        <f>IF(OR($E$58=1,$E$58=2),0,$L$60)</f>
        <v>0</v>
      </c>
      <c r="O60" s="529">
        <f>IF(OR($E$58=1,$E$58=2),0,$L$60)</f>
        <v>0</v>
      </c>
      <c r="P60" s="529">
        <f>IF(OR($E$58=1,$E$58=2),0,$L$60)</f>
        <v>0</v>
      </c>
      <c r="Q60" s="529">
        <f>IF(OR($E$58=1,$E$58=2),0,$L$60)</f>
        <v>0</v>
      </c>
      <c r="R60" s="524"/>
      <c r="S60" s="529">
        <f>IF(OR($E$58=1,$E$58=2,$E$58=3),0,$R$60)</f>
        <v>0</v>
      </c>
      <c r="T60" s="529">
        <f>IF(OR($E$58=1,$E$58=2,$E$58=3),0,$R$60)</f>
        <v>0</v>
      </c>
      <c r="U60" s="529">
        <f>IF(OR($E$58=1,$E$58=2,$E$58=3),0,$R$60)</f>
        <v>0</v>
      </c>
      <c r="V60" s="529">
        <f>IF(OR($E$58=1,$E$58=2,$E$58=3),0,$R$60)</f>
        <v>0</v>
      </c>
      <c r="W60" s="529">
        <f>IF(OR($E$58=1,$E$58=2,$E$58=3),0,$R$60)</f>
        <v>0</v>
      </c>
      <c r="X60" s="524"/>
      <c r="Y60" s="529">
        <f>IF($E$58=5,$X$60,0)</f>
        <v>0</v>
      </c>
      <c r="Z60" s="529">
        <f>IF($E$58=5,$X$60,0)</f>
        <v>0</v>
      </c>
      <c r="AA60" s="446"/>
      <c r="AB60" s="447"/>
    </row>
    <row r="61" spans="2:28" x14ac:dyDescent="0.2">
      <c r="B61" s="445"/>
      <c r="C61" s="688" t="str">
        <f>$C$16</f>
        <v>Option 1: Perform Manual Neutral Integrity where UE Meters are Removed</v>
      </c>
      <c r="D61" s="543" t="str">
        <f>IF($I$8=1,"MAIFI momentary",0)</f>
        <v>MAIFI momentary</v>
      </c>
      <c r="E61" s="528" t="s">
        <v>148</v>
      </c>
      <c r="F61" s="524"/>
      <c r="G61" s="529">
        <f>IF($E$58=1,0,IF(OR($E$58=2,$E$58=3,$E$58=4,$E$58=5),$F$61))</f>
        <v>0</v>
      </c>
      <c r="H61" s="529">
        <f>IF($E$58=1,0,IF(OR($E$58=2,$E$58=3,$E$58=4,$E$58=5),$F$61))</f>
        <v>0</v>
      </c>
      <c r="I61" s="529">
        <f>IF($E$58=1,0,IF(OR($E$58=2,$E$58=3,$E$58=4,$E$58=5),$F$61))</f>
        <v>0</v>
      </c>
      <c r="J61" s="529">
        <f>IF($E$58=1,0,IF(OR($E$58=2,$E$58=3,$E$58=4,$E$58=5),$F$61))</f>
        <v>0</v>
      </c>
      <c r="K61" s="529">
        <f>IF($E$58=1,0,IF(OR($E$58=2,$E$58=3,$E$58=4,$E$58=5),$F$61))</f>
        <v>0</v>
      </c>
      <c r="L61" s="524"/>
      <c r="M61" s="529">
        <f>IF(OR($E$58=1,$E$58=2),0,$L$61)</f>
        <v>0</v>
      </c>
      <c r="N61" s="529">
        <f>IF(OR($E$58=1,$E$58=2),0,$L$61)</f>
        <v>0</v>
      </c>
      <c r="O61" s="529">
        <f>IF(OR($E$58=1,$E$58=2),0,$L$61)</f>
        <v>0</v>
      </c>
      <c r="P61" s="529">
        <f>IF(OR($E$58=1,$E$58=2),0,$L$61)</f>
        <v>0</v>
      </c>
      <c r="Q61" s="529">
        <f>IF(OR($E$58=1,$E$58=2),0,$L$61)</f>
        <v>0</v>
      </c>
      <c r="R61" s="524"/>
      <c r="S61" s="529">
        <f>IF(OR($E$58=1,$E$58=2,$E$58=3),0,$R$61)</f>
        <v>0</v>
      </c>
      <c r="T61" s="529">
        <f>IF(OR($E$58=1,$E$58=2,$E$58=3),0,$R$61)</f>
        <v>0</v>
      </c>
      <c r="U61" s="529">
        <f>IF(OR($E$58=1,$E$58=2,$E$58=3),0,$R$61)</f>
        <v>0</v>
      </c>
      <c r="V61" s="529">
        <f>IF(OR($E$58=1,$E$58=2,$E$58=3),0,$R$61)</f>
        <v>0</v>
      </c>
      <c r="W61" s="529">
        <f>IF(OR($E$58=1,$E$58=2,$E$58=3),0,$R$61)</f>
        <v>0</v>
      </c>
      <c r="X61" s="524"/>
      <c r="Y61" s="529">
        <f>IF($E$58=5,$X$61,0)</f>
        <v>0</v>
      </c>
      <c r="Z61" s="529">
        <f>IF($E$58=5,$X$61,0)</f>
        <v>0</v>
      </c>
      <c r="AA61" s="446"/>
      <c r="AB61" s="447"/>
    </row>
    <row r="62" spans="2:28" x14ac:dyDescent="0.2">
      <c r="B62" s="445"/>
      <c r="C62" s="688" t="str">
        <f>$C$16</f>
        <v>Option 1: Perform Manual Neutral Integrity where UE Meters are Removed</v>
      </c>
      <c r="D62" s="543" t="str">
        <f>IF($I$8=1,"Call centre response",0)</f>
        <v>Call centre response</v>
      </c>
      <c r="E62" s="528" t="s">
        <v>150</v>
      </c>
      <c r="F62" s="525"/>
      <c r="G62" s="530">
        <f>IF($E$58=1,0,IF(OR($E$58=2,$E$58=3,$E$58=4,$E$58=5),$F$62))</f>
        <v>0</v>
      </c>
      <c r="H62" s="530">
        <f>IF($E$58=1,0,IF(OR($E$58=2,$E$58=3,$E$58=4,$E$58=5),$F$62))</f>
        <v>0</v>
      </c>
      <c r="I62" s="530">
        <f>IF($E$58=1,0,IF(OR($E$58=2,$E$58=3,$E$58=4,$E$58=5),$F$62))</f>
        <v>0</v>
      </c>
      <c r="J62" s="530">
        <f>IF($E$58=1,0,IF(OR($E$58=2,$E$58=3,$E$58=4,$E$58=5),$F$62))</f>
        <v>0</v>
      </c>
      <c r="K62" s="530">
        <f>IF($E$58=1,0,IF(OR($E$58=2,$E$58=3,$E$58=4,$E$58=5),$F$62))</f>
        <v>0</v>
      </c>
      <c r="L62" s="525"/>
      <c r="M62" s="530">
        <f>IF(OR($E$58=1,$E$58=2),0,$L$62)</f>
        <v>0</v>
      </c>
      <c r="N62" s="530">
        <f>IF(OR($E$58=1,$E$58=2),0,$L$62)</f>
        <v>0</v>
      </c>
      <c r="O62" s="530">
        <f>IF(OR($E$58=1,$E$58=2),0,$L$62)</f>
        <v>0</v>
      </c>
      <c r="P62" s="530">
        <f>IF(OR($E$58=1,$E$58=2),0,$L$62)</f>
        <v>0</v>
      </c>
      <c r="Q62" s="530">
        <f>IF(OR($E$58=1,$E$58=2),0,$L$62)</f>
        <v>0</v>
      </c>
      <c r="R62" s="525"/>
      <c r="S62" s="530">
        <f>IF(OR($E$58=1,$E$58=2,$E$58=3),0,$R$62)</f>
        <v>0</v>
      </c>
      <c r="T62" s="530">
        <f>IF(OR($E$58=1,$E$58=2,$E$58=3),0,$R$62)</f>
        <v>0</v>
      </c>
      <c r="U62" s="530">
        <f>IF(OR($E$58=1,$E$58=2,$E$58=3),0,$R$62)</f>
        <v>0</v>
      </c>
      <c r="V62" s="530">
        <f>IF(OR($E$58=1,$E$58=2,$E$58=3),0,$R$62)</f>
        <v>0</v>
      </c>
      <c r="W62" s="530">
        <f>IF(OR($E$58=1,$E$58=2,$E$58=3),0,$R$62)</f>
        <v>0</v>
      </c>
      <c r="X62" s="525"/>
      <c r="Y62" s="530">
        <f>IF($E$58=5,$X$62,0)</f>
        <v>0</v>
      </c>
      <c r="Z62" s="530">
        <f>IF($E$58=5,$X$62,0)</f>
        <v>0</v>
      </c>
      <c r="AA62" s="446"/>
      <c r="AB62" s="447"/>
    </row>
    <row r="63" spans="2:28" x14ac:dyDescent="0.2">
      <c r="B63" s="445"/>
      <c r="C63" s="446"/>
      <c r="D63" s="544"/>
      <c r="E63" s="533"/>
      <c r="F63" s="534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446"/>
      <c r="AB63" s="447"/>
    </row>
    <row r="64" spans="2:28" x14ac:dyDescent="0.2">
      <c r="B64" s="445"/>
      <c r="C64" s="446"/>
      <c r="D64" s="541" t="str">
        <f>$D$35</f>
        <v>Network Outage Costs</v>
      </c>
      <c r="E64" s="527"/>
      <c r="F64" s="521">
        <f>G12</f>
        <v>2018</v>
      </c>
      <c r="G64" s="522">
        <f t="shared" ref="G64:Z64" si="12">F64+1</f>
        <v>2019</v>
      </c>
      <c r="H64" s="522">
        <f t="shared" si="12"/>
        <v>2020</v>
      </c>
      <c r="I64" s="522">
        <f t="shared" si="12"/>
        <v>2021</v>
      </c>
      <c r="J64" s="522">
        <f t="shared" si="12"/>
        <v>2022</v>
      </c>
      <c r="K64" s="522">
        <f t="shared" si="12"/>
        <v>2023</v>
      </c>
      <c r="L64" s="522">
        <f t="shared" si="12"/>
        <v>2024</v>
      </c>
      <c r="M64" s="522">
        <f t="shared" si="12"/>
        <v>2025</v>
      </c>
      <c r="N64" s="522">
        <f t="shared" si="12"/>
        <v>2026</v>
      </c>
      <c r="O64" s="522">
        <f t="shared" si="12"/>
        <v>2027</v>
      </c>
      <c r="P64" s="522">
        <f t="shared" si="12"/>
        <v>2028</v>
      </c>
      <c r="Q64" s="522">
        <f t="shared" si="12"/>
        <v>2029</v>
      </c>
      <c r="R64" s="522">
        <f t="shared" si="12"/>
        <v>2030</v>
      </c>
      <c r="S64" s="522">
        <f t="shared" si="12"/>
        <v>2031</v>
      </c>
      <c r="T64" s="522">
        <f t="shared" si="12"/>
        <v>2032</v>
      </c>
      <c r="U64" s="522">
        <f t="shared" si="12"/>
        <v>2033</v>
      </c>
      <c r="V64" s="522">
        <f t="shared" si="12"/>
        <v>2034</v>
      </c>
      <c r="W64" s="522">
        <f t="shared" si="12"/>
        <v>2035</v>
      </c>
      <c r="X64" s="522">
        <f t="shared" si="12"/>
        <v>2036</v>
      </c>
      <c r="Y64" s="522">
        <f t="shared" si="12"/>
        <v>2037</v>
      </c>
      <c r="Z64" s="522">
        <f t="shared" si="12"/>
        <v>2038</v>
      </c>
      <c r="AA64" s="446"/>
      <c r="AB64" s="447"/>
    </row>
    <row r="65" spans="2:28" x14ac:dyDescent="0.2">
      <c r="B65" s="445"/>
      <c r="C65" s="688" t="str">
        <f>$C$16</f>
        <v>Option 1: Perform Manual Neutral Integrity where UE Meters are Removed</v>
      </c>
      <c r="D65" s="543" t="str">
        <f>$D$36</f>
        <v>Customer off supply</v>
      </c>
      <c r="E65" s="528" t="s">
        <v>149</v>
      </c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446"/>
      <c r="AB65" s="447"/>
    </row>
    <row r="66" spans="2:28" x14ac:dyDescent="0.2">
      <c r="B66" s="445"/>
      <c r="C66" s="446"/>
      <c r="D66" s="542"/>
      <c r="E66" s="533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446"/>
      <c r="AB66" s="447"/>
    </row>
    <row r="67" spans="2:28" x14ac:dyDescent="0.2">
      <c r="B67" s="445"/>
      <c r="C67" s="446"/>
      <c r="D67" s="541" t="str">
        <f>D38</f>
        <v>Loss of F Factor Benefit</v>
      </c>
      <c r="E67" s="526"/>
      <c r="F67" s="521">
        <f>G12</f>
        <v>2018</v>
      </c>
      <c r="G67" s="522">
        <f t="shared" ref="G67:Z67" si="13">F67+1</f>
        <v>2019</v>
      </c>
      <c r="H67" s="522">
        <f t="shared" si="13"/>
        <v>2020</v>
      </c>
      <c r="I67" s="522">
        <f t="shared" si="13"/>
        <v>2021</v>
      </c>
      <c r="J67" s="522">
        <f t="shared" si="13"/>
        <v>2022</v>
      </c>
      <c r="K67" s="522">
        <f t="shared" si="13"/>
        <v>2023</v>
      </c>
      <c r="L67" s="522">
        <f t="shared" si="13"/>
        <v>2024</v>
      </c>
      <c r="M67" s="522">
        <f t="shared" si="13"/>
        <v>2025</v>
      </c>
      <c r="N67" s="522">
        <f t="shared" si="13"/>
        <v>2026</v>
      </c>
      <c r="O67" s="522">
        <f t="shared" si="13"/>
        <v>2027</v>
      </c>
      <c r="P67" s="522">
        <f t="shared" si="13"/>
        <v>2028</v>
      </c>
      <c r="Q67" s="522">
        <f t="shared" si="13"/>
        <v>2029</v>
      </c>
      <c r="R67" s="522">
        <f t="shared" si="13"/>
        <v>2030</v>
      </c>
      <c r="S67" s="522">
        <f t="shared" si="13"/>
        <v>2031</v>
      </c>
      <c r="T67" s="522">
        <f t="shared" si="13"/>
        <v>2032</v>
      </c>
      <c r="U67" s="522">
        <f t="shared" si="13"/>
        <v>2033</v>
      </c>
      <c r="V67" s="522">
        <f t="shared" si="13"/>
        <v>2034</v>
      </c>
      <c r="W67" s="522">
        <f t="shared" si="13"/>
        <v>2035</v>
      </c>
      <c r="X67" s="522">
        <f t="shared" si="13"/>
        <v>2036</v>
      </c>
      <c r="Y67" s="522">
        <f t="shared" si="13"/>
        <v>2037</v>
      </c>
      <c r="Z67" s="522">
        <f t="shared" si="13"/>
        <v>2038</v>
      </c>
      <c r="AA67" s="446"/>
      <c r="AB67" s="447"/>
    </row>
    <row r="68" spans="2:28" x14ac:dyDescent="0.2">
      <c r="B68" s="445"/>
      <c r="C68" s="688" t="str">
        <f>$C$16</f>
        <v>Option 1: Perform Manual Neutral Integrity where UE Meters are Removed</v>
      </c>
      <c r="D68" s="545" t="str">
        <f>$D$39</f>
        <v>Loss of F Factor Benefit</v>
      </c>
      <c r="E68" s="540" t="str">
        <f>$E$39</f>
        <v>(No. of fire start NOT avoided)</v>
      </c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446"/>
      <c r="AB68" s="447"/>
    </row>
    <row r="69" spans="2:28" x14ac:dyDescent="0.2">
      <c r="B69" s="445"/>
      <c r="C69" s="446"/>
      <c r="D69" s="537"/>
      <c r="E69" s="533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446"/>
      <c r="AB69" s="447"/>
    </row>
    <row r="70" spans="2:28" x14ac:dyDescent="0.2">
      <c r="B70" s="445"/>
      <c r="C70" s="446"/>
      <c r="D70" s="541" t="s">
        <v>116</v>
      </c>
      <c r="E70" s="526"/>
      <c r="F70" s="521">
        <f>G12</f>
        <v>2018</v>
      </c>
      <c r="G70" s="522">
        <f t="shared" ref="G70:Z70" si="14">F70+1</f>
        <v>2019</v>
      </c>
      <c r="H70" s="522">
        <f t="shared" si="14"/>
        <v>2020</v>
      </c>
      <c r="I70" s="522">
        <f t="shared" si="14"/>
        <v>2021</v>
      </c>
      <c r="J70" s="522">
        <f t="shared" si="14"/>
        <v>2022</v>
      </c>
      <c r="K70" s="522">
        <f t="shared" si="14"/>
        <v>2023</v>
      </c>
      <c r="L70" s="522">
        <f t="shared" si="14"/>
        <v>2024</v>
      </c>
      <c r="M70" s="522">
        <f t="shared" si="14"/>
        <v>2025</v>
      </c>
      <c r="N70" s="522">
        <f t="shared" si="14"/>
        <v>2026</v>
      </c>
      <c r="O70" s="522">
        <f t="shared" si="14"/>
        <v>2027</v>
      </c>
      <c r="P70" s="522">
        <f t="shared" si="14"/>
        <v>2028</v>
      </c>
      <c r="Q70" s="522">
        <f t="shared" si="14"/>
        <v>2029</v>
      </c>
      <c r="R70" s="522">
        <f t="shared" si="14"/>
        <v>2030</v>
      </c>
      <c r="S70" s="522">
        <f t="shared" si="14"/>
        <v>2031</v>
      </c>
      <c r="T70" s="522">
        <f t="shared" si="14"/>
        <v>2032</v>
      </c>
      <c r="U70" s="522">
        <f t="shared" si="14"/>
        <v>2033</v>
      </c>
      <c r="V70" s="522">
        <f t="shared" si="14"/>
        <v>2034</v>
      </c>
      <c r="W70" s="522">
        <f t="shared" si="14"/>
        <v>2035</v>
      </c>
      <c r="X70" s="522">
        <f t="shared" si="14"/>
        <v>2036</v>
      </c>
      <c r="Y70" s="522">
        <f t="shared" si="14"/>
        <v>2037</v>
      </c>
      <c r="Z70" s="522">
        <f t="shared" si="14"/>
        <v>2038</v>
      </c>
      <c r="AA70" s="446"/>
      <c r="AB70" s="447"/>
    </row>
    <row r="71" spans="2:28" ht="25.5" x14ac:dyDescent="0.2">
      <c r="B71" s="445"/>
      <c r="C71" s="688" t="str">
        <f t="shared" ref="C71:C80" si="15">$C$16</f>
        <v>Option 1: Perform Manual Neutral Integrity where UE Meters are Removed</v>
      </c>
      <c r="D71" s="693" t="s">
        <v>330</v>
      </c>
      <c r="E71" s="518" t="s">
        <v>104</v>
      </c>
      <c r="F71" s="509"/>
      <c r="G71" s="509"/>
      <c r="H71" s="509"/>
      <c r="I71" s="509"/>
      <c r="J71" s="509"/>
      <c r="K71" s="509"/>
      <c r="L71" s="509"/>
      <c r="M71" s="509"/>
      <c r="N71" s="509"/>
      <c r="O71" s="706">
        <v>99.833333333333343</v>
      </c>
      <c r="P71" s="707">
        <v>1197.5718416430211</v>
      </c>
      <c r="Q71" s="707">
        <v>1211.507178566603</v>
      </c>
      <c r="R71" s="707">
        <v>1226.0396201285541</v>
      </c>
      <c r="S71" s="707">
        <v>1241.239620128554</v>
      </c>
      <c r="T71" s="707">
        <v>1257.0396201285541</v>
      </c>
      <c r="U71" s="707">
        <v>1273.439620128554</v>
      </c>
      <c r="V71" s="707">
        <v>1290.439620128554</v>
      </c>
      <c r="W71" s="707">
        <v>1308.0396201285541</v>
      </c>
      <c r="X71" s="707">
        <v>1326.239620128554</v>
      </c>
      <c r="Y71" s="707">
        <v>1444.8729534618876</v>
      </c>
      <c r="Z71" s="509"/>
      <c r="AA71" s="446"/>
      <c r="AB71" s="447"/>
    </row>
    <row r="72" spans="2:28" ht="51" x14ac:dyDescent="0.2">
      <c r="B72" s="445"/>
      <c r="C72" s="688" t="str">
        <f t="shared" si="15"/>
        <v>Option 1: Perform Manual Neutral Integrity where UE Meters are Removed</v>
      </c>
      <c r="D72" s="693" t="s">
        <v>331</v>
      </c>
      <c r="E72" s="518" t="s">
        <v>104</v>
      </c>
      <c r="F72" s="705">
        <v>19.38</v>
      </c>
      <c r="G72" s="705">
        <v>37.14</v>
      </c>
      <c r="H72" s="705">
        <v>54.79</v>
      </c>
      <c r="I72" s="705">
        <v>72.14</v>
      </c>
      <c r="J72" s="705">
        <v>89.183418576227893</v>
      </c>
      <c r="K72" s="705">
        <v>105.93982544903031</v>
      </c>
      <c r="L72" s="705">
        <v>122.41288107441932</v>
      </c>
      <c r="M72" s="705">
        <v>138.60970666136899</v>
      </c>
      <c r="N72" s="705">
        <v>154.53718677917692</v>
      </c>
      <c r="O72" s="705">
        <v>170.20197910597039</v>
      </c>
      <c r="P72" s="705">
        <v>185.61052369923627</v>
      </c>
      <c r="Q72" s="705">
        <v>200.76905181549458</v>
      </c>
      <c r="R72" s="705">
        <v>215.68359430449118</v>
      </c>
      <c r="S72" s="705">
        <v>230.35998960166529</v>
      </c>
      <c r="T72" s="705">
        <v>244.80389134114483</v>
      </c>
      <c r="U72" s="705">
        <v>259.02077561012391</v>
      </c>
      <c r="V72" s="705">
        <v>273.01594786417735</v>
      </c>
      <c r="W72" s="705">
        <v>286.79454952185813</v>
      </c>
      <c r="X72" s="705">
        <v>300.36156425579833</v>
      </c>
      <c r="Y72" s="705">
        <v>313.7218239964842</v>
      </c>
      <c r="Z72" s="548"/>
      <c r="AA72" s="446"/>
      <c r="AB72" s="447"/>
    </row>
    <row r="73" spans="2:28" x14ac:dyDescent="0.2">
      <c r="B73" s="445"/>
      <c r="C73" s="688" t="str">
        <f t="shared" si="15"/>
        <v>Option 1: Perform Manual Neutral Integrity where UE Meters are Removed</v>
      </c>
      <c r="D73" s="541" t="str">
        <f>$D$44</f>
        <v>Cost 3</v>
      </c>
      <c r="E73" s="518" t="s">
        <v>104</v>
      </c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446"/>
      <c r="AB73" s="447"/>
    </row>
    <row r="74" spans="2:28" x14ac:dyDescent="0.2">
      <c r="B74" s="445"/>
      <c r="C74" s="688" t="str">
        <f t="shared" si="15"/>
        <v>Option 1: Perform Manual Neutral Integrity where UE Meters are Removed</v>
      </c>
      <c r="D74" s="541" t="str">
        <f>$D$45</f>
        <v>Cost 4</v>
      </c>
      <c r="E74" s="518" t="s">
        <v>104</v>
      </c>
      <c r="F74" s="549"/>
      <c r="G74" s="549"/>
      <c r="H74" s="549"/>
      <c r="I74" s="549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446"/>
      <c r="AB74" s="447"/>
    </row>
    <row r="75" spans="2:28" x14ac:dyDescent="0.2">
      <c r="B75" s="445"/>
      <c r="C75" s="688" t="str">
        <f t="shared" si="15"/>
        <v>Option 1: Perform Manual Neutral Integrity where UE Meters are Removed</v>
      </c>
      <c r="D75" s="541" t="str">
        <f>$D$46</f>
        <v>Cost 5</v>
      </c>
      <c r="E75" s="518" t="s">
        <v>104</v>
      </c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446"/>
      <c r="AB75" s="447"/>
    </row>
    <row r="76" spans="2:28" x14ac:dyDescent="0.2">
      <c r="B76" s="445"/>
      <c r="C76" s="688" t="str">
        <f t="shared" si="15"/>
        <v>Option 1: Perform Manual Neutral Integrity where UE Meters are Removed</v>
      </c>
      <c r="D76" s="541" t="s">
        <v>278</v>
      </c>
      <c r="E76" s="518" t="s">
        <v>104</v>
      </c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446"/>
      <c r="AB76" s="447"/>
    </row>
    <row r="77" spans="2:28" x14ac:dyDescent="0.2">
      <c r="B77" s="445"/>
      <c r="C77" s="688" t="str">
        <f t="shared" si="15"/>
        <v>Option 1: Perform Manual Neutral Integrity where UE Meters are Removed</v>
      </c>
      <c r="D77" s="541" t="s">
        <v>279</v>
      </c>
      <c r="E77" s="518" t="s">
        <v>104</v>
      </c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446"/>
      <c r="AB77" s="447"/>
    </row>
    <row r="78" spans="2:28" x14ac:dyDescent="0.2">
      <c r="B78" s="445"/>
      <c r="C78" s="688" t="str">
        <f t="shared" si="15"/>
        <v>Option 1: Perform Manual Neutral Integrity where UE Meters are Removed</v>
      </c>
      <c r="D78" s="541" t="s">
        <v>280</v>
      </c>
      <c r="E78" s="518" t="s">
        <v>104</v>
      </c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446"/>
      <c r="AB78" s="447"/>
    </row>
    <row r="79" spans="2:28" x14ac:dyDescent="0.2">
      <c r="B79" s="445"/>
      <c r="C79" s="688" t="str">
        <f t="shared" si="15"/>
        <v>Option 1: Perform Manual Neutral Integrity where UE Meters are Removed</v>
      </c>
      <c r="D79" s="541" t="s">
        <v>281</v>
      </c>
      <c r="E79" s="518" t="s">
        <v>104</v>
      </c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446"/>
      <c r="AB79" s="447"/>
    </row>
    <row r="80" spans="2:28" x14ac:dyDescent="0.2">
      <c r="B80" s="445"/>
      <c r="C80" s="688" t="str">
        <f t="shared" si="15"/>
        <v>Option 1: Perform Manual Neutral Integrity where UE Meters are Removed</v>
      </c>
      <c r="D80" s="541" t="s">
        <v>282</v>
      </c>
      <c r="E80" s="518" t="s">
        <v>104</v>
      </c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446"/>
      <c r="AB80" s="447"/>
    </row>
    <row r="81" spans="2:28" x14ac:dyDescent="0.2">
      <c r="B81" s="445"/>
      <c r="C81" s="446"/>
      <c r="D81" s="531"/>
      <c r="E81" s="532"/>
      <c r="F81" s="446"/>
      <c r="G81" s="446"/>
      <c r="H81" s="446"/>
      <c r="I81" s="446"/>
      <c r="J81" s="446"/>
      <c r="K81" s="511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1" t="str">
        <f>"Option 2: "&amp;+E17</f>
        <v>Option 2: Replace / Install Network Devices</v>
      </c>
      <c r="E82" s="487"/>
      <c r="F82" s="446"/>
      <c r="G82" s="446"/>
      <c r="H82" s="446"/>
      <c r="I82" s="446"/>
      <c r="J82" s="446"/>
      <c r="K82" s="511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1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19"/>
      <c r="E84" s="520"/>
      <c r="F84" s="521">
        <f>G12</f>
        <v>2018</v>
      </c>
      <c r="G84" s="522">
        <f>F84+1</f>
        <v>2019</v>
      </c>
      <c r="H84" s="522">
        <f t="shared" ref="H84:Z84" si="16">G84+1</f>
        <v>2020</v>
      </c>
      <c r="I84" s="522">
        <f t="shared" si="16"/>
        <v>2021</v>
      </c>
      <c r="J84" s="522">
        <f t="shared" si="16"/>
        <v>2022</v>
      </c>
      <c r="K84" s="522">
        <f t="shared" si="16"/>
        <v>2023</v>
      </c>
      <c r="L84" s="522">
        <f t="shared" si="16"/>
        <v>2024</v>
      </c>
      <c r="M84" s="522">
        <f t="shared" si="16"/>
        <v>2025</v>
      </c>
      <c r="N84" s="522">
        <f t="shared" si="16"/>
        <v>2026</v>
      </c>
      <c r="O84" s="522">
        <f t="shared" si="16"/>
        <v>2027</v>
      </c>
      <c r="P84" s="522">
        <f t="shared" si="16"/>
        <v>2028</v>
      </c>
      <c r="Q84" s="522">
        <f t="shared" si="16"/>
        <v>2029</v>
      </c>
      <c r="R84" s="522">
        <f t="shared" si="16"/>
        <v>2030</v>
      </c>
      <c r="S84" s="522">
        <f t="shared" si="16"/>
        <v>2031</v>
      </c>
      <c r="T84" s="522">
        <f t="shared" si="16"/>
        <v>2032</v>
      </c>
      <c r="U84" s="522">
        <f t="shared" si="16"/>
        <v>2033</v>
      </c>
      <c r="V84" s="522">
        <f t="shared" si="16"/>
        <v>2034</v>
      </c>
      <c r="W84" s="522">
        <f t="shared" si="16"/>
        <v>2035</v>
      </c>
      <c r="X84" s="522">
        <f t="shared" si="16"/>
        <v>2036</v>
      </c>
      <c r="Y84" s="522">
        <f t="shared" si="16"/>
        <v>2037</v>
      </c>
      <c r="Z84" s="522">
        <f t="shared" si="16"/>
        <v>2038</v>
      </c>
      <c r="AA84" s="446"/>
      <c r="AB84" s="447"/>
    </row>
    <row r="85" spans="2:28" x14ac:dyDescent="0.2">
      <c r="B85" s="445"/>
      <c r="C85" s="688" t="str">
        <f>$C$17</f>
        <v>Option 2: Replace / Install Network Devices</v>
      </c>
      <c r="D85" s="541" t="str">
        <f>$D$27</f>
        <v>Maintenance Costs</v>
      </c>
      <c r="E85" s="518" t="s">
        <v>104</v>
      </c>
      <c r="F85" s="509"/>
      <c r="G85" s="536"/>
      <c r="H85" s="536"/>
      <c r="I85" s="536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446"/>
      <c r="AB85" s="447"/>
    </row>
    <row r="86" spans="2:28" x14ac:dyDescent="0.2">
      <c r="B86" s="445"/>
      <c r="C86" s="446"/>
      <c r="D86" s="542"/>
      <c r="E86" s="532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1" t="str">
        <f>IF($I$8=1,"Negative Impact on Revenue (STPIS)",0)</f>
        <v>Negative Impact on Revenue (STPIS)</v>
      </c>
      <c r="E87" s="527">
        <v>5</v>
      </c>
      <c r="F87" s="521">
        <f>G12</f>
        <v>2018</v>
      </c>
      <c r="G87" s="522">
        <f t="shared" ref="G87:Z87" si="17">F87+1</f>
        <v>2019</v>
      </c>
      <c r="H87" s="522">
        <f t="shared" si="17"/>
        <v>2020</v>
      </c>
      <c r="I87" s="522">
        <f t="shared" si="17"/>
        <v>2021</v>
      </c>
      <c r="J87" s="522">
        <f t="shared" si="17"/>
        <v>2022</v>
      </c>
      <c r="K87" s="522">
        <f t="shared" si="17"/>
        <v>2023</v>
      </c>
      <c r="L87" s="522">
        <f t="shared" si="17"/>
        <v>2024</v>
      </c>
      <c r="M87" s="522">
        <f t="shared" si="17"/>
        <v>2025</v>
      </c>
      <c r="N87" s="522">
        <f t="shared" si="17"/>
        <v>2026</v>
      </c>
      <c r="O87" s="522">
        <f t="shared" si="17"/>
        <v>2027</v>
      </c>
      <c r="P87" s="522">
        <f t="shared" si="17"/>
        <v>2028</v>
      </c>
      <c r="Q87" s="522">
        <f t="shared" si="17"/>
        <v>2029</v>
      </c>
      <c r="R87" s="522">
        <f t="shared" si="17"/>
        <v>2030</v>
      </c>
      <c r="S87" s="522">
        <f t="shared" si="17"/>
        <v>2031</v>
      </c>
      <c r="T87" s="522">
        <f t="shared" si="17"/>
        <v>2032</v>
      </c>
      <c r="U87" s="522">
        <f t="shared" si="17"/>
        <v>2033</v>
      </c>
      <c r="V87" s="522">
        <f t="shared" si="17"/>
        <v>2034</v>
      </c>
      <c r="W87" s="522">
        <f t="shared" si="17"/>
        <v>2035</v>
      </c>
      <c r="X87" s="522">
        <f t="shared" si="17"/>
        <v>2036</v>
      </c>
      <c r="Y87" s="522">
        <f t="shared" si="17"/>
        <v>2037</v>
      </c>
      <c r="Z87" s="522">
        <f t="shared" si="17"/>
        <v>2038</v>
      </c>
      <c r="AA87" s="446"/>
      <c r="AB87" s="447"/>
    </row>
    <row r="88" spans="2:28" x14ac:dyDescent="0.2">
      <c r="B88" s="445"/>
      <c r="C88" s="688" t="str">
        <f>$C$17</f>
        <v>Option 2: Replace / Install Network Devices</v>
      </c>
      <c r="D88" s="543" t="str">
        <f>IF($I$8=1,"SAIFI sustained",0)</f>
        <v>SAIFI sustained</v>
      </c>
      <c r="E88" s="528" t="s">
        <v>148</v>
      </c>
      <c r="F88" s="683"/>
      <c r="G88" s="529">
        <f>IF($E$87=1,0,IF(OR($E$87=2,$E$87=3,$E$87=4,$E$87=5),$F$88))</f>
        <v>0</v>
      </c>
      <c r="H88" s="529">
        <f>IF($E$87=1,0,IF(OR($E$87=2,$E$87=3,$E$87=4,$E$87=5),$F$88))</f>
        <v>0</v>
      </c>
      <c r="I88" s="529">
        <f>IF($E$87=1,0,IF(OR($E$87=2,$E$87=3,$E$87=4,$E$87=5),$F$88))</f>
        <v>0</v>
      </c>
      <c r="J88" s="529">
        <f>IF($E$87=1,0,IF(OR($E$87=2,$E$87=3,$E$87=4,$E$87=5),$F$88))</f>
        <v>0</v>
      </c>
      <c r="K88" s="529">
        <f>IF($E$87=1,0,IF(OR($E$87=2,$E$87=3,$E$87=4,$E$87=5),$F$88))</f>
        <v>0</v>
      </c>
      <c r="L88" s="524"/>
      <c r="M88" s="529">
        <f>IF(OR($E$87=1,$E$87=2),0,$L$88)</f>
        <v>0</v>
      </c>
      <c r="N88" s="529">
        <f>IF(OR($E$87=1,$E$87=2),0,$L$88)</f>
        <v>0</v>
      </c>
      <c r="O88" s="529">
        <f>IF(OR($E$87=1,$E$87=2),0,$L$88)</f>
        <v>0</v>
      </c>
      <c r="P88" s="529">
        <f>IF(OR($E$87=1,$E$87=2),0,$L$88)</f>
        <v>0</v>
      </c>
      <c r="Q88" s="529">
        <f>IF(OR($E$87=1,$E$87=2),0,$L$88)</f>
        <v>0</v>
      </c>
      <c r="R88" s="524"/>
      <c r="S88" s="529">
        <f>IF(OR($E$87=1,$E$87=2,$E$87=3),0,$R$88)</f>
        <v>0</v>
      </c>
      <c r="T88" s="529">
        <f>IF(OR($E$87=1,$E$87=2,$E$87=3),0,$R$88)</f>
        <v>0</v>
      </c>
      <c r="U88" s="529">
        <f>IF(OR($E$87=1,$E$87=2,$E$87=3),0,$R$88)</f>
        <v>0</v>
      </c>
      <c r="V88" s="529">
        <f>IF(OR($E$87=1,$E$87=2,$E$87=3),0,$R$88)</f>
        <v>0</v>
      </c>
      <c r="W88" s="529">
        <f>IF(OR($E$87=1,$E$87=2,$E$87=3),0,$R$88)</f>
        <v>0</v>
      </c>
      <c r="X88" s="524"/>
      <c r="Y88" s="529">
        <f>IF($E$87=5,$X$88,0)</f>
        <v>0</v>
      </c>
      <c r="Z88" s="529">
        <f>IF($E$87=5,$X$88,0)</f>
        <v>0</v>
      </c>
      <c r="AA88" s="446"/>
      <c r="AB88" s="447"/>
    </row>
    <row r="89" spans="2:28" x14ac:dyDescent="0.2">
      <c r="B89" s="445"/>
      <c r="C89" s="688" t="str">
        <f>$C$17</f>
        <v>Option 2: Replace / Install Network Devices</v>
      </c>
      <c r="D89" s="543" t="str">
        <f>IF($I$8=1,"SAIDI accidental",0)</f>
        <v>SAIDI accidental</v>
      </c>
      <c r="E89" s="528" t="s">
        <v>149</v>
      </c>
      <c r="F89" s="683"/>
      <c r="G89" s="529">
        <f>IF($E$87=1,0,IF(OR($E$87=2,$E$87=3,$E$87=4,$E$87=5),$F$89))</f>
        <v>0</v>
      </c>
      <c r="H89" s="529">
        <f>IF($E$87=1,0,IF(OR($E$87=2,$E$87=3,$E$87=4,$E$87=5),$F$89))</f>
        <v>0</v>
      </c>
      <c r="I89" s="529">
        <f>IF($E$87=1,0,IF(OR($E$87=2,$E$87=3,$E$87=4,$E$87=5),$F$89))</f>
        <v>0</v>
      </c>
      <c r="J89" s="529">
        <f>IF($E$87=1,0,IF(OR($E$87=2,$E$87=3,$E$87=4,$E$87=5),$F$89))</f>
        <v>0</v>
      </c>
      <c r="K89" s="529">
        <f>IF($E$87=1,0,IF(OR($E$87=2,$E$87=3,$E$87=4,$E$87=5),$F$89))</f>
        <v>0</v>
      </c>
      <c r="L89" s="524"/>
      <c r="M89" s="529">
        <f>IF(OR($E$87=1,$E$87=2),0,$L$89)</f>
        <v>0</v>
      </c>
      <c r="N89" s="529">
        <f>IF(OR($E$87=1,$E$87=2),0,$L$89)</f>
        <v>0</v>
      </c>
      <c r="O89" s="529">
        <f>IF(OR($E$87=1,$E$87=2),0,$L$89)</f>
        <v>0</v>
      </c>
      <c r="P89" s="529">
        <f>IF(OR($E$87=1,$E$87=2),0,$L$89)</f>
        <v>0</v>
      </c>
      <c r="Q89" s="529">
        <f>IF(OR($E$87=1,$E$87=2),0,$L$89)</f>
        <v>0</v>
      </c>
      <c r="R89" s="524"/>
      <c r="S89" s="529">
        <f>IF(OR($E$87=1,$E$87=2,$E$87=3),0,$R$89)</f>
        <v>0</v>
      </c>
      <c r="T89" s="529">
        <f>IF(OR($E$87=1,$E$87=2,$E$87=3),0,$R$89)</f>
        <v>0</v>
      </c>
      <c r="U89" s="529">
        <f>IF(OR($E$87=1,$E$87=2,$E$87=3),0,$R$89)</f>
        <v>0</v>
      </c>
      <c r="V89" s="529">
        <f>IF(OR($E$87=1,$E$87=2,$E$87=3),0,$R$89)</f>
        <v>0</v>
      </c>
      <c r="W89" s="529">
        <f>IF(OR($E$87=1,$E$87=2,$E$87=3),0,$R$89)</f>
        <v>0</v>
      </c>
      <c r="X89" s="524"/>
      <c r="Y89" s="529">
        <f>IF($E$87=5,$X$89,0)</f>
        <v>0</v>
      </c>
      <c r="Z89" s="529">
        <f>IF($E$87=5,$X$89,0)</f>
        <v>0</v>
      </c>
      <c r="AA89" s="446"/>
      <c r="AB89" s="447"/>
    </row>
    <row r="90" spans="2:28" x14ac:dyDescent="0.2">
      <c r="B90" s="445"/>
      <c r="C90" s="688" t="str">
        <f>$C$17</f>
        <v>Option 2: Replace / Install Network Devices</v>
      </c>
      <c r="D90" s="543" t="str">
        <f>IF($I$8=1,"MAIFI momentary",0)</f>
        <v>MAIFI momentary</v>
      </c>
      <c r="E90" s="528" t="s">
        <v>148</v>
      </c>
      <c r="F90" s="524"/>
      <c r="G90" s="529">
        <f>IF($E$87=1,0,IF(OR($E$87=2,$E$87=3,$E$87=4,$E$87=5),$F$90))</f>
        <v>0</v>
      </c>
      <c r="H90" s="529">
        <f>IF($E$87=1,0,IF(OR($E$87=2,$E$87=3,$E$87=4,$E$87=5),$F$90))</f>
        <v>0</v>
      </c>
      <c r="I90" s="529">
        <f>IF($E$87=1,0,IF(OR($E$87=2,$E$87=3,$E$87=4,$E$87=5),$F$90))</f>
        <v>0</v>
      </c>
      <c r="J90" s="529">
        <f>IF($E$87=1,0,IF(OR($E$87=2,$E$87=3,$E$87=4,$E$87=5),$F$90))</f>
        <v>0</v>
      </c>
      <c r="K90" s="529">
        <f>IF($E$87=1,0,IF(OR($E$87=2,$E$87=3,$E$87=4,$E$87=5),$F$90))</f>
        <v>0</v>
      </c>
      <c r="L90" s="524"/>
      <c r="M90" s="529">
        <f>IF(OR($E$87=1,$E$87=2),0,$L$90)</f>
        <v>0</v>
      </c>
      <c r="N90" s="529">
        <f>IF(OR($E$87=1,$E$87=2),0,$L$90)</f>
        <v>0</v>
      </c>
      <c r="O90" s="529">
        <f>IF(OR($E$87=1,$E$87=2),0,$L$90)</f>
        <v>0</v>
      </c>
      <c r="P90" s="529">
        <f>IF(OR($E$87=1,$E$87=2),0,$L$90)</f>
        <v>0</v>
      </c>
      <c r="Q90" s="529">
        <f>IF(OR($E$87=1,$E$87=2),0,$L$90)</f>
        <v>0</v>
      </c>
      <c r="R90" s="524"/>
      <c r="S90" s="529">
        <f>IF(OR($E$87=1,$E$87=2,$E$87=3),0,$R$90)</f>
        <v>0</v>
      </c>
      <c r="T90" s="529">
        <f>IF(OR($E$87=1,$E$87=2,$E$87=3),0,$R$90)</f>
        <v>0</v>
      </c>
      <c r="U90" s="529">
        <f>IF(OR($E$87=1,$E$87=2,$E$87=3),0,$R$90)</f>
        <v>0</v>
      </c>
      <c r="V90" s="529">
        <f>IF(OR($E$87=1,$E$87=2,$E$87=3),0,$R$90)</f>
        <v>0</v>
      </c>
      <c r="W90" s="529">
        <f>IF(OR($E$87=1,$E$87=2,$E$87=3),0,$R$90)</f>
        <v>0</v>
      </c>
      <c r="X90" s="524"/>
      <c r="Y90" s="529">
        <f>IF($E$87=5,$X$90,0)</f>
        <v>0</v>
      </c>
      <c r="Z90" s="529">
        <f>IF($E$87=5,$X$90,0)</f>
        <v>0</v>
      </c>
      <c r="AA90" s="446"/>
      <c r="AB90" s="447"/>
    </row>
    <row r="91" spans="2:28" x14ac:dyDescent="0.2">
      <c r="B91" s="445"/>
      <c r="C91" s="688" t="str">
        <f>$C$17</f>
        <v>Option 2: Replace / Install Network Devices</v>
      </c>
      <c r="D91" s="543" t="str">
        <f>IF($I$8=1,"Call centre response",0)</f>
        <v>Call centre response</v>
      </c>
      <c r="E91" s="528" t="s">
        <v>150</v>
      </c>
      <c r="F91" s="525"/>
      <c r="G91" s="530">
        <f>IF($E$87=1,0,IF(OR($E$87=2,$E$87=3,$E$87=4,$E$87=5),$F$91))</f>
        <v>0</v>
      </c>
      <c r="H91" s="530">
        <f>IF($E$87=1,0,IF(OR($E$87=2,$E$87=3,$E$87=4,$E$87=5),$F$91))</f>
        <v>0</v>
      </c>
      <c r="I91" s="530">
        <f>IF($E$87=1,0,IF(OR($E$87=2,$E$87=3,$E$87=4,$E$87=5),$F$91))</f>
        <v>0</v>
      </c>
      <c r="J91" s="530">
        <f>IF($E$87=1,0,IF(OR($E$87=2,$E$87=3,$E$87=4,$E$87=5),$F$91))</f>
        <v>0</v>
      </c>
      <c r="K91" s="530">
        <f>IF($E$87=1,0,IF(OR($E$87=2,$E$87=3,$E$87=4,$E$87=5),$F$91))</f>
        <v>0</v>
      </c>
      <c r="L91" s="525"/>
      <c r="M91" s="530">
        <f>IF(OR($E$87=1,$E$87=2),0,$L$91)</f>
        <v>0</v>
      </c>
      <c r="N91" s="530">
        <f>IF(OR($E$87=1,$E$87=2),0,$L$91)</f>
        <v>0</v>
      </c>
      <c r="O91" s="530">
        <f>IF(OR($E$87=1,$E$87=2),0,$L$91)</f>
        <v>0</v>
      </c>
      <c r="P91" s="530">
        <f>IF(OR($E$87=1,$E$87=2),0,$L$91)</f>
        <v>0</v>
      </c>
      <c r="Q91" s="530">
        <f>IF(OR($E$87=1,$E$87=2),0,$L$91)</f>
        <v>0</v>
      </c>
      <c r="R91" s="525"/>
      <c r="S91" s="530">
        <f>IF(OR($E$87=1,$E$87=2,$E$87=3),0,$R$91)</f>
        <v>0</v>
      </c>
      <c r="T91" s="530">
        <f>IF(OR($E$87=1,$E$87=2,$E$87=3),0,$R$91)</f>
        <v>0</v>
      </c>
      <c r="U91" s="530">
        <f>IF(OR($E$87=1,$E$87=2,$E$87=3),0,$R$91)</f>
        <v>0</v>
      </c>
      <c r="V91" s="530">
        <f>IF(OR($E$87=1,$E$87=2,$E$87=3),0,$R$91)</f>
        <v>0</v>
      </c>
      <c r="W91" s="530">
        <f>IF(OR($E$87=1,$E$87=2,$E$87=3),0,$R$91)</f>
        <v>0</v>
      </c>
      <c r="X91" s="525"/>
      <c r="Y91" s="530">
        <f>IF($E$87=5,$X$91,0)</f>
        <v>0</v>
      </c>
      <c r="Z91" s="530">
        <f>IF($E$87=5,$X$91,0)</f>
        <v>0</v>
      </c>
      <c r="AA91" s="446"/>
      <c r="AB91" s="447"/>
    </row>
    <row r="92" spans="2:28" x14ac:dyDescent="0.2">
      <c r="B92" s="445"/>
      <c r="C92" s="446"/>
      <c r="D92" s="544"/>
      <c r="E92" s="533"/>
      <c r="F92" s="534"/>
      <c r="G92" s="535"/>
      <c r="H92" s="535"/>
      <c r="I92" s="535"/>
      <c r="J92" s="535"/>
      <c r="K92" s="535"/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446"/>
      <c r="AB92" s="447"/>
    </row>
    <row r="93" spans="2:28" x14ac:dyDescent="0.2">
      <c r="B93" s="445"/>
      <c r="C93" s="446"/>
      <c r="D93" s="541" t="str">
        <f>$D$35</f>
        <v>Network Outage Costs</v>
      </c>
      <c r="E93" s="527"/>
      <c r="F93" s="521">
        <f>G12</f>
        <v>2018</v>
      </c>
      <c r="G93" s="522">
        <f t="shared" ref="G93:Z93" si="18">F93+1</f>
        <v>2019</v>
      </c>
      <c r="H93" s="522">
        <f t="shared" si="18"/>
        <v>2020</v>
      </c>
      <c r="I93" s="522">
        <f t="shared" si="18"/>
        <v>2021</v>
      </c>
      <c r="J93" s="522">
        <f t="shared" si="18"/>
        <v>2022</v>
      </c>
      <c r="K93" s="522">
        <f t="shared" si="18"/>
        <v>2023</v>
      </c>
      <c r="L93" s="522">
        <f t="shared" si="18"/>
        <v>2024</v>
      </c>
      <c r="M93" s="522">
        <f t="shared" si="18"/>
        <v>2025</v>
      </c>
      <c r="N93" s="522">
        <f t="shared" si="18"/>
        <v>2026</v>
      </c>
      <c r="O93" s="522">
        <f t="shared" si="18"/>
        <v>2027</v>
      </c>
      <c r="P93" s="522">
        <f t="shared" si="18"/>
        <v>2028</v>
      </c>
      <c r="Q93" s="522">
        <f t="shared" si="18"/>
        <v>2029</v>
      </c>
      <c r="R93" s="522">
        <f t="shared" si="18"/>
        <v>2030</v>
      </c>
      <c r="S93" s="522">
        <f t="shared" si="18"/>
        <v>2031</v>
      </c>
      <c r="T93" s="522">
        <f t="shared" si="18"/>
        <v>2032</v>
      </c>
      <c r="U93" s="522">
        <f t="shared" si="18"/>
        <v>2033</v>
      </c>
      <c r="V93" s="522">
        <f t="shared" si="18"/>
        <v>2034</v>
      </c>
      <c r="W93" s="522">
        <f t="shared" si="18"/>
        <v>2035</v>
      </c>
      <c r="X93" s="522">
        <f t="shared" si="18"/>
        <v>2036</v>
      </c>
      <c r="Y93" s="522">
        <f t="shared" si="18"/>
        <v>2037</v>
      </c>
      <c r="Z93" s="522">
        <f t="shared" si="18"/>
        <v>2038</v>
      </c>
      <c r="AA93" s="446"/>
      <c r="AB93" s="447"/>
    </row>
    <row r="94" spans="2:28" x14ac:dyDescent="0.2">
      <c r="B94" s="445"/>
      <c r="C94" s="688" t="str">
        <f>$C$17</f>
        <v>Option 2: Replace / Install Network Devices</v>
      </c>
      <c r="D94" s="543" t="str">
        <f>$D$36</f>
        <v>Customer off supply</v>
      </c>
      <c r="E94" s="528" t="s">
        <v>149</v>
      </c>
      <c r="F94" s="536"/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  <c r="Y94" s="536"/>
      <c r="Z94" s="536"/>
      <c r="AA94" s="446"/>
      <c r="AB94" s="447"/>
    </row>
    <row r="95" spans="2:28" x14ac:dyDescent="0.2">
      <c r="B95" s="445"/>
      <c r="C95" s="446"/>
      <c r="D95" s="542"/>
      <c r="E95" s="533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8"/>
      <c r="X95" s="538"/>
      <c r="Y95" s="538"/>
      <c r="Z95" s="538"/>
      <c r="AA95" s="446"/>
      <c r="AB95" s="447"/>
    </row>
    <row r="96" spans="2:28" x14ac:dyDescent="0.2">
      <c r="B96" s="445"/>
      <c r="C96" s="446"/>
      <c r="D96" s="541" t="str">
        <f>D97</f>
        <v>Loss of F Factor Benefit</v>
      </c>
      <c r="E96" s="526"/>
      <c r="F96" s="521">
        <f>G12</f>
        <v>2018</v>
      </c>
      <c r="G96" s="522">
        <f t="shared" ref="G96:Z96" si="19">F96+1</f>
        <v>2019</v>
      </c>
      <c r="H96" s="522">
        <f t="shared" si="19"/>
        <v>2020</v>
      </c>
      <c r="I96" s="522">
        <f t="shared" si="19"/>
        <v>2021</v>
      </c>
      <c r="J96" s="522">
        <f t="shared" si="19"/>
        <v>2022</v>
      </c>
      <c r="K96" s="522">
        <f t="shared" si="19"/>
        <v>2023</v>
      </c>
      <c r="L96" s="522">
        <f t="shared" si="19"/>
        <v>2024</v>
      </c>
      <c r="M96" s="522">
        <f t="shared" si="19"/>
        <v>2025</v>
      </c>
      <c r="N96" s="522">
        <f t="shared" si="19"/>
        <v>2026</v>
      </c>
      <c r="O96" s="522">
        <f t="shared" si="19"/>
        <v>2027</v>
      </c>
      <c r="P96" s="522">
        <f t="shared" si="19"/>
        <v>2028</v>
      </c>
      <c r="Q96" s="522">
        <f t="shared" si="19"/>
        <v>2029</v>
      </c>
      <c r="R96" s="522">
        <f t="shared" si="19"/>
        <v>2030</v>
      </c>
      <c r="S96" s="522">
        <f t="shared" si="19"/>
        <v>2031</v>
      </c>
      <c r="T96" s="522">
        <f t="shared" si="19"/>
        <v>2032</v>
      </c>
      <c r="U96" s="522">
        <f t="shared" si="19"/>
        <v>2033</v>
      </c>
      <c r="V96" s="522">
        <f t="shared" si="19"/>
        <v>2034</v>
      </c>
      <c r="W96" s="522">
        <f t="shared" si="19"/>
        <v>2035</v>
      </c>
      <c r="X96" s="522">
        <f t="shared" si="19"/>
        <v>2036</v>
      </c>
      <c r="Y96" s="522">
        <f t="shared" si="19"/>
        <v>2037</v>
      </c>
      <c r="Z96" s="522">
        <f t="shared" si="19"/>
        <v>2038</v>
      </c>
      <c r="AA96" s="446"/>
      <c r="AB96" s="447"/>
    </row>
    <row r="97" spans="2:28" x14ac:dyDescent="0.2">
      <c r="B97" s="445"/>
      <c r="C97" s="688" t="str">
        <f>$C$17</f>
        <v>Option 2: Replace / Install Network Devices</v>
      </c>
      <c r="D97" s="545" t="str">
        <f>$D$39</f>
        <v>Loss of F Factor Benefit</v>
      </c>
      <c r="E97" s="540" t="str">
        <f>$E$39</f>
        <v>(No. of fire start NOT avoided)</v>
      </c>
      <c r="F97" s="539"/>
      <c r="G97" s="539"/>
      <c r="H97" s="539"/>
      <c r="I97" s="539"/>
      <c r="J97" s="539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446"/>
      <c r="AB97" s="447"/>
    </row>
    <row r="98" spans="2:28" x14ac:dyDescent="0.2">
      <c r="B98" s="445"/>
      <c r="C98" s="446"/>
      <c r="D98" s="537"/>
      <c r="E98" s="533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  <c r="W98" s="538"/>
      <c r="X98" s="538"/>
      <c r="Y98" s="538"/>
      <c r="Z98" s="538"/>
      <c r="AA98" s="446"/>
      <c r="AB98" s="447"/>
    </row>
    <row r="99" spans="2:28" x14ac:dyDescent="0.2">
      <c r="B99" s="445"/>
      <c r="C99" s="446"/>
      <c r="D99" s="541" t="s">
        <v>116</v>
      </c>
      <c r="E99" s="526"/>
      <c r="F99" s="521">
        <f>G12</f>
        <v>2018</v>
      </c>
      <c r="G99" s="522">
        <f t="shared" ref="G99:Z99" si="20">F99+1</f>
        <v>2019</v>
      </c>
      <c r="H99" s="522">
        <f t="shared" si="20"/>
        <v>2020</v>
      </c>
      <c r="I99" s="522">
        <f t="shared" si="20"/>
        <v>2021</v>
      </c>
      <c r="J99" s="522">
        <f t="shared" si="20"/>
        <v>2022</v>
      </c>
      <c r="K99" s="522">
        <f t="shared" si="20"/>
        <v>2023</v>
      </c>
      <c r="L99" s="522">
        <f t="shared" si="20"/>
        <v>2024</v>
      </c>
      <c r="M99" s="522">
        <f t="shared" si="20"/>
        <v>2025</v>
      </c>
      <c r="N99" s="522">
        <f t="shared" si="20"/>
        <v>2026</v>
      </c>
      <c r="O99" s="522">
        <f t="shared" si="20"/>
        <v>2027</v>
      </c>
      <c r="P99" s="522">
        <f t="shared" si="20"/>
        <v>2028</v>
      </c>
      <c r="Q99" s="522">
        <f t="shared" si="20"/>
        <v>2029</v>
      </c>
      <c r="R99" s="522">
        <f t="shared" si="20"/>
        <v>2030</v>
      </c>
      <c r="S99" s="522">
        <f t="shared" si="20"/>
        <v>2031</v>
      </c>
      <c r="T99" s="522">
        <f t="shared" si="20"/>
        <v>2032</v>
      </c>
      <c r="U99" s="522">
        <f t="shared" si="20"/>
        <v>2033</v>
      </c>
      <c r="V99" s="522">
        <f t="shared" si="20"/>
        <v>2034</v>
      </c>
      <c r="W99" s="522">
        <f t="shared" si="20"/>
        <v>2035</v>
      </c>
      <c r="X99" s="522">
        <f t="shared" si="20"/>
        <v>2036</v>
      </c>
      <c r="Y99" s="522">
        <f t="shared" si="20"/>
        <v>2037</v>
      </c>
      <c r="Z99" s="522">
        <f t="shared" si="20"/>
        <v>2038</v>
      </c>
      <c r="AA99" s="446"/>
      <c r="AB99" s="447"/>
    </row>
    <row r="100" spans="2:28" x14ac:dyDescent="0.2">
      <c r="B100" s="445"/>
      <c r="C100" s="688" t="str">
        <f t="shared" ref="C100:C109" si="21">$C$17</f>
        <v>Option 2: Replace / Install Network Devices</v>
      </c>
      <c r="D100" s="541" t="str">
        <f>$D$42</f>
        <v>Cost 1</v>
      </c>
      <c r="E100" s="518" t="s">
        <v>104</v>
      </c>
      <c r="F100" s="509"/>
      <c r="G100" s="509"/>
      <c r="H100" s="509"/>
      <c r="I100" s="509"/>
      <c r="J100" s="509"/>
      <c r="K100" s="509"/>
      <c r="L100" s="509"/>
      <c r="M100" s="509"/>
      <c r="N100" s="509"/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  <c r="Z100" s="509"/>
      <c r="AA100" s="446"/>
      <c r="AB100" s="447"/>
    </row>
    <row r="101" spans="2:28" x14ac:dyDescent="0.2">
      <c r="B101" s="445"/>
      <c r="C101" s="688" t="str">
        <f t="shared" si="21"/>
        <v>Option 2: Replace / Install Network Devices</v>
      </c>
      <c r="D101" s="541" t="str">
        <f>$D$43</f>
        <v>Cost 2</v>
      </c>
      <c r="E101" s="518" t="s">
        <v>104</v>
      </c>
      <c r="F101" s="548"/>
      <c r="G101" s="548"/>
      <c r="H101" s="548"/>
      <c r="I101" s="548"/>
      <c r="J101" s="548"/>
      <c r="K101" s="548"/>
      <c r="L101" s="548"/>
      <c r="M101" s="548"/>
      <c r="N101" s="548"/>
      <c r="O101" s="548"/>
      <c r="P101" s="548"/>
      <c r="Q101" s="548"/>
      <c r="R101" s="548"/>
      <c r="S101" s="548"/>
      <c r="T101" s="548"/>
      <c r="U101" s="548"/>
      <c r="V101" s="548"/>
      <c r="W101" s="548"/>
      <c r="X101" s="548"/>
      <c r="Y101" s="548"/>
      <c r="Z101" s="548"/>
      <c r="AA101" s="446"/>
      <c r="AB101" s="447"/>
    </row>
    <row r="102" spans="2:28" x14ac:dyDescent="0.2">
      <c r="B102" s="445"/>
      <c r="C102" s="688" t="str">
        <f t="shared" si="21"/>
        <v>Option 2: Replace / Install Network Devices</v>
      </c>
      <c r="D102" s="541" t="str">
        <f>$D$44</f>
        <v>Cost 3</v>
      </c>
      <c r="E102" s="518" t="s">
        <v>104</v>
      </c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549"/>
      <c r="Y102" s="549"/>
      <c r="Z102" s="549"/>
      <c r="AA102" s="446"/>
      <c r="AB102" s="447"/>
    </row>
    <row r="103" spans="2:28" x14ac:dyDescent="0.2">
      <c r="B103" s="445"/>
      <c r="C103" s="688" t="str">
        <f t="shared" si="21"/>
        <v>Option 2: Replace / Install Network Devices</v>
      </c>
      <c r="D103" s="541" t="str">
        <f>$D$45</f>
        <v>Cost 4</v>
      </c>
      <c r="E103" s="518" t="s">
        <v>104</v>
      </c>
      <c r="F103" s="549"/>
      <c r="G103" s="549"/>
      <c r="H103" s="549"/>
      <c r="I103" s="549"/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49"/>
      <c r="X103" s="549"/>
      <c r="Y103" s="549"/>
      <c r="Z103" s="549"/>
      <c r="AA103" s="446"/>
      <c r="AB103" s="447"/>
    </row>
    <row r="104" spans="2:28" x14ac:dyDescent="0.2">
      <c r="B104" s="445"/>
      <c r="C104" s="688" t="str">
        <f t="shared" si="21"/>
        <v>Option 2: Replace / Install Network Devices</v>
      </c>
      <c r="D104" s="541" t="str">
        <f>$D$46</f>
        <v>Cost 5</v>
      </c>
      <c r="E104" s="518" t="s">
        <v>104</v>
      </c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549"/>
      <c r="Y104" s="549"/>
      <c r="Z104" s="549"/>
      <c r="AA104" s="446"/>
      <c r="AB104" s="447"/>
    </row>
    <row r="105" spans="2:28" x14ac:dyDescent="0.2">
      <c r="B105" s="445"/>
      <c r="C105" s="688" t="str">
        <f t="shared" si="21"/>
        <v>Option 2: Replace / Install Network Devices</v>
      </c>
      <c r="D105" s="541" t="s">
        <v>278</v>
      </c>
      <c r="E105" s="518" t="s">
        <v>104</v>
      </c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446"/>
      <c r="AB105" s="447"/>
    </row>
    <row r="106" spans="2:28" x14ac:dyDescent="0.2">
      <c r="B106" s="445"/>
      <c r="C106" s="688" t="str">
        <f t="shared" si="21"/>
        <v>Option 2: Replace / Install Network Devices</v>
      </c>
      <c r="D106" s="541" t="s">
        <v>279</v>
      </c>
      <c r="E106" s="518" t="s">
        <v>104</v>
      </c>
      <c r="F106" s="549"/>
      <c r="G106" s="549"/>
      <c r="H106" s="549"/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549"/>
      <c r="X106" s="549"/>
      <c r="Y106" s="549"/>
      <c r="Z106" s="549"/>
      <c r="AA106" s="446"/>
      <c r="AB106" s="447"/>
    </row>
    <row r="107" spans="2:28" x14ac:dyDescent="0.2">
      <c r="B107" s="445"/>
      <c r="C107" s="688" t="str">
        <f t="shared" si="21"/>
        <v>Option 2: Replace / Install Network Devices</v>
      </c>
      <c r="D107" s="541" t="s">
        <v>280</v>
      </c>
      <c r="E107" s="518" t="s">
        <v>104</v>
      </c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549"/>
      <c r="Z107" s="549"/>
      <c r="AA107" s="446"/>
      <c r="AB107" s="447"/>
    </row>
    <row r="108" spans="2:28" x14ac:dyDescent="0.2">
      <c r="B108" s="445"/>
      <c r="C108" s="688" t="str">
        <f t="shared" si="21"/>
        <v>Option 2: Replace / Install Network Devices</v>
      </c>
      <c r="D108" s="541" t="s">
        <v>281</v>
      </c>
      <c r="E108" s="518" t="s">
        <v>104</v>
      </c>
      <c r="F108" s="549"/>
      <c r="G108" s="549"/>
      <c r="H108" s="549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49"/>
      <c r="X108" s="549"/>
      <c r="Y108" s="549"/>
      <c r="Z108" s="549"/>
      <c r="AA108" s="446"/>
      <c r="AB108" s="447"/>
    </row>
    <row r="109" spans="2:28" x14ac:dyDescent="0.2">
      <c r="B109" s="445"/>
      <c r="C109" s="688" t="str">
        <f t="shared" si="21"/>
        <v>Option 2: Replace / Install Network Devices</v>
      </c>
      <c r="D109" s="541" t="s">
        <v>282</v>
      </c>
      <c r="E109" s="518" t="s">
        <v>104</v>
      </c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549"/>
      <c r="Q109" s="549"/>
      <c r="R109" s="549"/>
      <c r="S109" s="549"/>
      <c r="T109" s="549"/>
      <c r="U109" s="549"/>
      <c r="V109" s="549"/>
      <c r="W109" s="549"/>
      <c r="X109" s="549"/>
      <c r="Y109" s="549"/>
      <c r="Z109" s="549"/>
      <c r="AA109" s="446"/>
      <c r="AB109" s="447"/>
    </row>
    <row r="110" spans="2:28" x14ac:dyDescent="0.2">
      <c r="B110" s="445"/>
      <c r="C110" s="446"/>
      <c r="D110" s="531"/>
      <c r="E110" s="532"/>
      <c r="F110" s="446"/>
      <c r="G110" s="446"/>
      <c r="H110" s="446"/>
      <c r="I110" s="446"/>
      <c r="J110" s="446"/>
      <c r="K110" s="511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1" t="str">
        <f>"Option 3: "&amp;+E18</f>
        <v>Option 3: Replace / Install 80% Network Devices, Purchase the Remaining 20% of the AMI data and Control Functionality</v>
      </c>
      <c r="E111" s="487"/>
      <c r="F111" s="446"/>
      <c r="G111" s="446"/>
      <c r="H111" s="446"/>
      <c r="I111" s="446"/>
      <c r="J111" s="446"/>
      <c r="K111" s="511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1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19"/>
      <c r="E113" s="520"/>
      <c r="F113" s="521">
        <f>G12</f>
        <v>2018</v>
      </c>
      <c r="G113" s="522">
        <f>F113+1</f>
        <v>2019</v>
      </c>
      <c r="H113" s="522">
        <f t="shared" ref="H113:Z113" si="22">G113+1</f>
        <v>2020</v>
      </c>
      <c r="I113" s="522">
        <f t="shared" si="22"/>
        <v>2021</v>
      </c>
      <c r="J113" s="522">
        <f t="shared" si="22"/>
        <v>2022</v>
      </c>
      <c r="K113" s="522">
        <f t="shared" si="22"/>
        <v>2023</v>
      </c>
      <c r="L113" s="522">
        <f t="shared" si="22"/>
        <v>2024</v>
      </c>
      <c r="M113" s="522">
        <f t="shared" si="22"/>
        <v>2025</v>
      </c>
      <c r="N113" s="522">
        <f t="shared" si="22"/>
        <v>2026</v>
      </c>
      <c r="O113" s="522">
        <f t="shared" si="22"/>
        <v>2027</v>
      </c>
      <c r="P113" s="522">
        <f t="shared" si="22"/>
        <v>2028</v>
      </c>
      <c r="Q113" s="522">
        <f t="shared" si="22"/>
        <v>2029</v>
      </c>
      <c r="R113" s="522">
        <f t="shared" si="22"/>
        <v>2030</v>
      </c>
      <c r="S113" s="522">
        <f t="shared" si="22"/>
        <v>2031</v>
      </c>
      <c r="T113" s="522">
        <f t="shared" si="22"/>
        <v>2032</v>
      </c>
      <c r="U113" s="522">
        <f t="shared" si="22"/>
        <v>2033</v>
      </c>
      <c r="V113" s="522">
        <f t="shared" si="22"/>
        <v>2034</v>
      </c>
      <c r="W113" s="522">
        <f t="shared" si="22"/>
        <v>2035</v>
      </c>
      <c r="X113" s="522">
        <f t="shared" si="22"/>
        <v>2036</v>
      </c>
      <c r="Y113" s="522">
        <f t="shared" si="22"/>
        <v>2037</v>
      </c>
      <c r="Z113" s="522">
        <f t="shared" si="22"/>
        <v>2038</v>
      </c>
      <c r="AA113" s="446"/>
      <c r="AB113" s="447"/>
    </row>
    <row r="114" spans="2:28" x14ac:dyDescent="0.2">
      <c r="B114" s="445"/>
      <c r="C114" s="688" t="str">
        <f>$C$18</f>
        <v>Option 3: Replace / Install 80% Network Devices, Purchase the Remaining 20% of the AMI data and Control Functionality</v>
      </c>
      <c r="D114" s="541" t="str">
        <f>$D$27</f>
        <v>Maintenance Costs</v>
      </c>
      <c r="E114" s="518" t="s">
        <v>104</v>
      </c>
      <c r="F114" s="509"/>
      <c r="G114" s="536"/>
      <c r="H114" s="536"/>
      <c r="I114" s="536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  <c r="Z114" s="509"/>
      <c r="AA114" s="446"/>
      <c r="AB114" s="447"/>
    </row>
    <row r="115" spans="2:28" x14ac:dyDescent="0.2">
      <c r="B115" s="445"/>
      <c r="C115" s="446"/>
      <c r="D115" s="542"/>
      <c r="E115" s="532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1" t="str">
        <f>IF($I$8=1,"Negative Impact on Revenue (STPIS)",0)</f>
        <v>Negative Impact on Revenue (STPIS)</v>
      </c>
      <c r="E116" s="527">
        <v>5</v>
      </c>
      <c r="F116" s="521">
        <f>G12</f>
        <v>2018</v>
      </c>
      <c r="G116" s="522">
        <f t="shared" ref="G116:Z116" si="23">F116+1</f>
        <v>2019</v>
      </c>
      <c r="H116" s="522">
        <f t="shared" si="23"/>
        <v>2020</v>
      </c>
      <c r="I116" s="522">
        <f t="shared" si="23"/>
        <v>2021</v>
      </c>
      <c r="J116" s="522">
        <f t="shared" si="23"/>
        <v>2022</v>
      </c>
      <c r="K116" s="522">
        <f t="shared" si="23"/>
        <v>2023</v>
      </c>
      <c r="L116" s="522">
        <f t="shared" si="23"/>
        <v>2024</v>
      </c>
      <c r="M116" s="522">
        <f t="shared" si="23"/>
        <v>2025</v>
      </c>
      <c r="N116" s="522">
        <f t="shared" si="23"/>
        <v>2026</v>
      </c>
      <c r="O116" s="522">
        <f t="shared" si="23"/>
        <v>2027</v>
      </c>
      <c r="P116" s="522">
        <f t="shared" si="23"/>
        <v>2028</v>
      </c>
      <c r="Q116" s="522">
        <f t="shared" si="23"/>
        <v>2029</v>
      </c>
      <c r="R116" s="522">
        <f t="shared" si="23"/>
        <v>2030</v>
      </c>
      <c r="S116" s="522">
        <f t="shared" si="23"/>
        <v>2031</v>
      </c>
      <c r="T116" s="522">
        <f t="shared" si="23"/>
        <v>2032</v>
      </c>
      <c r="U116" s="522">
        <f t="shared" si="23"/>
        <v>2033</v>
      </c>
      <c r="V116" s="522">
        <f t="shared" si="23"/>
        <v>2034</v>
      </c>
      <c r="W116" s="522">
        <f t="shared" si="23"/>
        <v>2035</v>
      </c>
      <c r="X116" s="522">
        <f t="shared" si="23"/>
        <v>2036</v>
      </c>
      <c r="Y116" s="522">
        <f t="shared" si="23"/>
        <v>2037</v>
      </c>
      <c r="Z116" s="522">
        <f t="shared" si="23"/>
        <v>2038</v>
      </c>
      <c r="AA116" s="446"/>
      <c r="AB116" s="447"/>
    </row>
    <row r="117" spans="2:28" x14ac:dyDescent="0.2">
      <c r="B117" s="445"/>
      <c r="C117" s="688" t="str">
        <f>$C$18</f>
        <v>Option 3: Replace / Install 80% Network Devices, Purchase the Remaining 20% of the AMI data and Control Functionality</v>
      </c>
      <c r="D117" s="543" t="str">
        <f>IF($I$8=1,"SAIFI sustained",0)</f>
        <v>SAIFI sustained</v>
      </c>
      <c r="E117" s="528" t="s">
        <v>148</v>
      </c>
      <c r="F117" s="523"/>
      <c r="G117" s="529">
        <f>IF($E$116=1,0,IF(OR($E$116=2,$E$116=3,$E$116=4,$E$116=5),$F$117))</f>
        <v>0</v>
      </c>
      <c r="H117" s="529">
        <f>IF($E$116=1,0,IF(OR($E$116=2,$E$116=3,$E$116=4,$E$116=5),$F$117))</f>
        <v>0</v>
      </c>
      <c r="I117" s="529">
        <f>IF($E$116=1,0,IF(OR($E$116=2,$E$116=3,$E$116=4,$E$116=5),$F$117))</f>
        <v>0</v>
      </c>
      <c r="J117" s="529">
        <f>IF($E$116=1,0,IF(OR($E$116=2,$E$116=3,$E$116=4,$E$116=5),$F$117))</f>
        <v>0</v>
      </c>
      <c r="K117" s="529">
        <f>IF($E$116=1,0,IF(OR($E$116=2,$E$116=3,$E$116=4,$E$116=5),$F$117))</f>
        <v>0</v>
      </c>
      <c r="L117" s="524"/>
      <c r="M117" s="529">
        <f>IF(OR($E$116=1,$E$116=2),0,$L$117)</f>
        <v>0</v>
      </c>
      <c r="N117" s="529">
        <f>IF(OR($E$116=1,$E$116=2),0,$L$117)</f>
        <v>0</v>
      </c>
      <c r="O117" s="529">
        <f>IF(OR($E$116=1,$E$116=2),0,$L$117)</f>
        <v>0</v>
      </c>
      <c r="P117" s="529">
        <f>IF(OR($E$116=1,$E$116=2),0,$L$117)</f>
        <v>0</v>
      </c>
      <c r="Q117" s="529">
        <f>IF(OR($E$116=1,$E$116=2),0,$L$117)</f>
        <v>0</v>
      </c>
      <c r="R117" s="524"/>
      <c r="S117" s="529">
        <f>IF(OR($E$116=1,$E$116=2,$E$116=3),0,$R$117)</f>
        <v>0</v>
      </c>
      <c r="T117" s="529">
        <f>IF(OR($E$116=1,$E$116=2,$E$116=3),0,$R$117)</f>
        <v>0</v>
      </c>
      <c r="U117" s="529">
        <f>IF(OR($E$116=1,$E$116=2,$E$116=3),0,$R$117)</f>
        <v>0</v>
      </c>
      <c r="V117" s="529">
        <f>IF(OR($E$116=1,$E$116=2,$E$116=3),0,$R$117)</f>
        <v>0</v>
      </c>
      <c r="W117" s="529">
        <f>IF(OR($E$116=1,$E$116=2,$E$116=3),0,$R$117)</f>
        <v>0</v>
      </c>
      <c r="X117" s="524"/>
      <c r="Y117" s="529">
        <f>IF($E$116=5,$X$117,0)</f>
        <v>0</v>
      </c>
      <c r="Z117" s="529">
        <f>IF($E$116=5,$X$117,0)</f>
        <v>0</v>
      </c>
      <c r="AA117" s="446"/>
      <c r="AB117" s="447"/>
    </row>
    <row r="118" spans="2:28" x14ac:dyDescent="0.2">
      <c r="B118" s="445"/>
      <c r="C118" s="688" t="str">
        <f>$C$18</f>
        <v>Option 3: Replace / Install 80% Network Devices, Purchase the Remaining 20% of the AMI data and Control Functionality</v>
      </c>
      <c r="D118" s="543" t="str">
        <f>IF($I$8=1,"SAIDI accidental",0)</f>
        <v>SAIDI accidental</v>
      </c>
      <c r="E118" s="528" t="s">
        <v>149</v>
      </c>
      <c r="F118" s="524"/>
      <c r="G118" s="529">
        <f>IF($E$116=1,0,IF(OR($E$116=2,$E$116=3,$E$116=4,$E$116=5),$F$118))</f>
        <v>0</v>
      </c>
      <c r="H118" s="529">
        <f>IF($E$116=1,0,IF(OR($E$116=2,$E$116=3,$E$116=4,$E$116=5),$F$118))</f>
        <v>0</v>
      </c>
      <c r="I118" s="529">
        <f>IF($E$116=1,0,IF(OR($E$116=2,$E$116=3,$E$116=4,$E$116=5),$F$118))</f>
        <v>0</v>
      </c>
      <c r="J118" s="529">
        <f>IF($E$116=1,0,IF(OR($E$116=2,$E$116=3,$E$116=4,$E$116=5),$F$118))</f>
        <v>0</v>
      </c>
      <c r="K118" s="529">
        <f>IF($E$116=1,0,IF(OR($E$116=2,$E$116=3,$E$116=4,$E$116=5),$F$118))</f>
        <v>0</v>
      </c>
      <c r="L118" s="524"/>
      <c r="M118" s="529">
        <f>IF(OR($E$116=1,$E$116=2),0,$L$118)</f>
        <v>0</v>
      </c>
      <c r="N118" s="529">
        <f>IF(OR($E$116=1,$E$116=2),0,$L$118)</f>
        <v>0</v>
      </c>
      <c r="O118" s="529">
        <f>IF(OR($E$116=1,$E$116=2),0,$L$118)</f>
        <v>0</v>
      </c>
      <c r="P118" s="529">
        <f>IF(OR($E$116=1,$E$116=2),0,$L$118)</f>
        <v>0</v>
      </c>
      <c r="Q118" s="529">
        <f>IF(OR($E$116=1,$E$116=2),0,$L$118)</f>
        <v>0</v>
      </c>
      <c r="R118" s="524"/>
      <c r="S118" s="529">
        <f>IF(OR($E$116=1,$E$116=2,$E$116=3),0,$R$118)</f>
        <v>0</v>
      </c>
      <c r="T118" s="529">
        <f>IF(OR($E$116=1,$E$116=2,$E$116=3),0,$R$118)</f>
        <v>0</v>
      </c>
      <c r="U118" s="529">
        <f>IF(OR($E$116=1,$E$116=2,$E$116=3),0,$R$118)</f>
        <v>0</v>
      </c>
      <c r="V118" s="529">
        <f>IF(OR($E$116=1,$E$116=2,$E$116=3),0,$R$118)</f>
        <v>0</v>
      </c>
      <c r="W118" s="529">
        <f>IF(OR($E$116=1,$E$116=2,$E$116=3),0,$R$118)</f>
        <v>0</v>
      </c>
      <c r="X118" s="524"/>
      <c r="Y118" s="529">
        <f>IF($E$116=5,$X$118,0)</f>
        <v>0</v>
      </c>
      <c r="Z118" s="529">
        <f>IF($E$116=5,$X$118,0)</f>
        <v>0</v>
      </c>
      <c r="AA118" s="446"/>
      <c r="AB118" s="447"/>
    </row>
    <row r="119" spans="2:28" x14ac:dyDescent="0.2">
      <c r="B119" s="445"/>
      <c r="C119" s="688" t="str">
        <f>$C$18</f>
        <v>Option 3: Replace / Install 80% Network Devices, Purchase the Remaining 20% of the AMI data and Control Functionality</v>
      </c>
      <c r="D119" s="543" t="str">
        <f>IF($I$8=1,"MAIFI momentary",0)</f>
        <v>MAIFI momentary</v>
      </c>
      <c r="E119" s="528" t="s">
        <v>148</v>
      </c>
      <c r="F119" s="524"/>
      <c r="G119" s="529">
        <f>IF($E$116=1,0,IF(OR($E$116=2,$E$116=3,$E$116=4,$E$116=5),$F$119))</f>
        <v>0</v>
      </c>
      <c r="H119" s="529">
        <f>IF($E$116=1,0,IF(OR($E$116=2,$E$116=3,$E$116=4,$E$116=5),$F$119))</f>
        <v>0</v>
      </c>
      <c r="I119" s="529">
        <f>IF($E$116=1,0,IF(OR($E$116=2,$E$116=3,$E$116=4,$E$116=5),$F$119))</f>
        <v>0</v>
      </c>
      <c r="J119" s="529">
        <f>IF($E$116=1,0,IF(OR($E$116=2,$E$116=3,$E$116=4,$E$116=5),$F$119))</f>
        <v>0</v>
      </c>
      <c r="K119" s="529">
        <f>IF($E$116=1,0,IF(OR($E$116=2,$E$116=3,$E$116=4,$E$116=5),$F$119))</f>
        <v>0</v>
      </c>
      <c r="L119" s="524"/>
      <c r="M119" s="529">
        <f>IF(OR($E$116=1,$E$116=2),0,$L$119)</f>
        <v>0</v>
      </c>
      <c r="N119" s="529">
        <f>IF(OR($E$116=1,$E$116=2),0,$L$119)</f>
        <v>0</v>
      </c>
      <c r="O119" s="529">
        <f>IF(OR($E$116=1,$E$116=2),0,$L$119)</f>
        <v>0</v>
      </c>
      <c r="P119" s="529">
        <f>IF(OR($E$116=1,$E$116=2),0,$L$119)</f>
        <v>0</v>
      </c>
      <c r="Q119" s="529">
        <f>IF(OR($E$116=1,$E$116=2),0,$L$119)</f>
        <v>0</v>
      </c>
      <c r="R119" s="524"/>
      <c r="S119" s="529">
        <f>IF(OR($E$116=1,$E$116=2,$E$116=3),0,$R$119)</f>
        <v>0</v>
      </c>
      <c r="T119" s="529">
        <f>IF(OR($E$116=1,$E$116=2,$E$116=3),0,$R$119)</f>
        <v>0</v>
      </c>
      <c r="U119" s="529">
        <f>IF(OR($E$116=1,$E$116=2,$E$116=3),0,$R$119)</f>
        <v>0</v>
      </c>
      <c r="V119" s="529">
        <f>IF(OR($E$116=1,$E$116=2,$E$116=3),0,$R$119)</f>
        <v>0</v>
      </c>
      <c r="W119" s="529">
        <f>IF(OR($E$116=1,$E$116=2,$E$116=3),0,$R$119)</f>
        <v>0</v>
      </c>
      <c r="X119" s="524"/>
      <c r="Y119" s="529">
        <f>IF($E$116=5,$X$119,0)</f>
        <v>0</v>
      </c>
      <c r="Z119" s="529">
        <f>IF($E$116=5,$X$119,0)</f>
        <v>0</v>
      </c>
      <c r="AA119" s="446"/>
      <c r="AB119" s="447"/>
    </row>
    <row r="120" spans="2:28" x14ac:dyDescent="0.2">
      <c r="B120" s="445"/>
      <c r="C120" s="688" t="str">
        <f>$C$18</f>
        <v>Option 3: Replace / Install 80% Network Devices, Purchase the Remaining 20% of the AMI data and Control Functionality</v>
      </c>
      <c r="D120" s="543" t="str">
        <f>IF($I$8=1,"Call centre response",0)</f>
        <v>Call centre response</v>
      </c>
      <c r="E120" s="528" t="s">
        <v>150</v>
      </c>
      <c r="F120" s="525"/>
      <c r="G120" s="530">
        <f>IF($E$116=1,0,IF(OR($E$116=2,$E$116=3,$E$116=4,$E$116=5),$F$120))</f>
        <v>0</v>
      </c>
      <c r="H120" s="530">
        <f>IF($E$116=1,0,IF(OR($E$116=2,$E$116=3,$E$116=4,$E$116=5),$F$120))</f>
        <v>0</v>
      </c>
      <c r="I120" s="530">
        <f>IF($E$116=1,0,IF(OR($E$116=2,$E$116=3,$E$116=4,$E$116=5),$F$120))</f>
        <v>0</v>
      </c>
      <c r="J120" s="530">
        <f>IF($E$116=1,0,IF(OR($E$116=2,$E$116=3,$E$116=4,$E$116=5),$F$120))</f>
        <v>0</v>
      </c>
      <c r="K120" s="530">
        <f>IF($E$116=1,0,IF(OR($E$116=2,$E$116=3,$E$116=4,$E$116=5),$F$120))</f>
        <v>0</v>
      </c>
      <c r="L120" s="525"/>
      <c r="M120" s="530">
        <f>IF(OR($E$116=1,$E$116=2),0,$L$120)</f>
        <v>0</v>
      </c>
      <c r="N120" s="530">
        <f>IF(OR($E$116=1,$E$116=2),0,$L$120)</f>
        <v>0</v>
      </c>
      <c r="O120" s="530">
        <f>IF(OR($E$116=1,$E$116=2),0,$L$120)</f>
        <v>0</v>
      </c>
      <c r="P120" s="530">
        <f>IF(OR($E$116=1,$E$116=2),0,$L$120)</f>
        <v>0</v>
      </c>
      <c r="Q120" s="530">
        <f>IF(OR($E$116=1,$E$116=2),0,$L$120)</f>
        <v>0</v>
      </c>
      <c r="R120" s="525"/>
      <c r="S120" s="530">
        <f>IF(OR($E$116=1,$E$116=2,$E$116=3),0,$R$120)</f>
        <v>0</v>
      </c>
      <c r="T120" s="530">
        <f>IF(OR($E$116=1,$E$116=2,$E$116=3),0,$R$120)</f>
        <v>0</v>
      </c>
      <c r="U120" s="530">
        <f>IF(OR($E$116=1,$E$116=2,$E$116=3),0,$R$120)</f>
        <v>0</v>
      </c>
      <c r="V120" s="530">
        <f>IF(OR($E$116=1,$E$116=2,$E$116=3),0,$R$120)</f>
        <v>0</v>
      </c>
      <c r="W120" s="530">
        <f>IF(OR($E$116=1,$E$116=2,$E$116=3),0,$R$120)</f>
        <v>0</v>
      </c>
      <c r="X120" s="525"/>
      <c r="Y120" s="530">
        <f>IF($E$116=5,$X$120,0)</f>
        <v>0</v>
      </c>
      <c r="Z120" s="530">
        <f>IF($E$116=5,$X$120,0)</f>
        <v>0</v>
      </c>
      <c r="AA120" s="446"/>
      <c r="AB120" s="447"/>
    </row>
    <row r="121" spans="2:28" x14ac:dyDescent="0.2">
      <c r="B121" s="445"/>
      <c r="C121" s="446"/>
      <c r="D121" s="544"/>
      <c r="E121" s="533"/>
      <c r="F121" s="534"/>
      <c r="G121" s="535"/>
      <c r="H121" s="535"/>
      <c r="I121" s="535"/>
      <c r="J121" s="535"/>
      <c r="K121" s="535"/>
      <c r="L121" s="535"/>
      <c r="M121" s="535"/>
      <c r="N121" s="535"/>
      <c r="O121" s="535"/>
      <c r="P121" s="535"/>
      <c r="Q121" s="535"/>
      <c r="R121" s="535"/>
      <c r="S121" s="535"/>
      <c r="T121" s="535"/>
      <c r="U121" s="535"/>
      <c r="V121" s="535"/>
      <c r="W121" s="535"/>
      <c r="X121" s="535"/>
      <c r="Y121" s="535"/>
      <c r="Z121" s="535"/>
      <c r="AA121" s="446"/>
      <c r="AB121" s="447"/>
    </row>
    <row r="122" spans="2:28" x14ac:dyDescent="0.2">
      <c r="B122" s="445"/>
      <c r="C122" s="446"/>
      <c r="D122" s="541" t="str">
        <f>$D$35</f>
        <v>Network Outage Costs</v>
      </c>
      <c r="E122" s="527"/>
      <c r="F122" s="521">
        <f>G12</f>
        <v>2018</v>
      </c>
      <c r="G122" s="522">
        <f t="shared" ref="G122:Z122" si="24">F122+1</f>
        <v>2019</v>
      </c>
      <c r="H122" s="522">
        <f t="shared" si="24"/>
        <v>2020</v>
      </c>
      <c r="I122" s="522">
        <f t="shared" si="24"/>
        <v>2021</v>
      </c>
      <c r="J122" s="522">
        <f t="shared" si="24"/>
        <v>2022</v>
      </c>
      <c r="K122" s="522">
        <f t="shared" si="24"/>
        <v>2023</v>
      </c>
      <c r="L122" s="522">
        <f t="shared" si="24"/>
        <v>2024</v>
      </c>
      <c r="M122" s="522">
        <f t="shared" si="24"/>
        <v>2025</v>
      </c>
      <c r="N122" s="522">
        <f t="shared" si="24"/>
        <v>2026</v>
      </c>
      <c r="O122" s="522">
        <f t="shared" si="24"/>
        <v>2027</v>
      </c>
      <c r="P122" s="522">
        <f t="shared" si="24"/>
        <v>2028</v>
      </c>
      <c r="Q122" s="522">
        <f t="shared" si="24"/>
        <v>2029</v>
      </c>
      <c r="R122" s="522">
        <f t="shared" si="24"/>
        <v>2030</v>
      </c>
      <c r="S122" s="522">
        <f t="shared" si="24"/>
        <v>2031</v>
      </c>
      <c r="T122" s="522">
        <f t="shared" si="24"/>
        <v>2032</v>
      </c>
      <c r="U122" s="522">
        <f t="shared" si="24"/>
        <v>2033</v>
      </c>
      <c r="V122" s="522">
        <f t="shared" si="24"/>
        <v>2034</v>
      </c>
      <c r="W122" s="522">
        <f t="shared" si="24"/>
        <v>2035</v>
      </c>
      <c r="X122" s="522">
        <f t="shared" si="24"/>
        <v>2036</v>
      </c>
      <c r="Y122" s="522">
        <f t="shared" si="24"/>
        <v>2037</v>
      </c>
      <c r="Z122" s="522">
        <f t="shared" si="24"/>
        <v>2038</v>
      </c>
      <c r="AA122" s="446"/>
      <c r="AB122" s="447"/>
    </row>
    <row r="123" spans="2:28" x14ac:dyDescent="0.2">
      <c r="B123" s="445"/>
      <c r="C123" s="688" t="str">
        <f>$C$18</f>
        <v>Option 3: Replace / Install 80% Network Devices, Purchase the Remaining 20% of the AMI data and Control Functionality</v>
      </c>
      <c r="D123" s="543" t="str">
        <f>$D$36</f>
        <v>Customer off supply</v>
      </c>
      <c r="E123" s="528" t="s">
        <v>149</v>
      </c>
      <c r="F123" s="536"/>
      <c r="G123" s="536"/>
      <c r="H123" s="536"/>
      <c r="I123" s="536"/>
      <c r="J123" s="536"/>
      <c r="K123" s="536"/>
      <c r="L123" s="536"/>
      <c r="M123" s="536"/>
      <c r="N123" s="536"/>
      <c r="O123" s="536"/>
      <c r="P123" s="536"/>
      <c r="Q123" s="536"/>
      <c r="R123" s="536"/>
      <c r="S123" s="536"/>
      <c r="T123" s="536"/>
      <c r="U123" s="536"/>
      <c r="V123" s="536"/>
      <c r="W123" s="536"/>
      <c r="X123" s="536"/>
      <c r="Y123" s="536"/>
      <c r="Z123" s="536"/>
      <c r="AA123" s="446"/>
      <c r="AB123" s="447"/>
    </row>
    <row r="124" spans="2:28" x14ac:dyDescent="0.2">
      <c r="B124" s="445"/>
      <c r="C124" s="446"/>
      <c r="D124" s="542"/>
      <c r="E124" s="533"/>
      <c r="F124" s="538"/>
      <c r="G124" s="538"/>
      <c r="H124" s="538"/>
      <c r="I124" s="538"/>
      <c r="J124" s="538"/>
      <c r="K124" s="538"/>
      <c r="L124" s="538"/>
      <c r="M124" s="538"/>
      <c r="N124" s="538"/>
      <c r="O124" s="538"/>
      <c r="P124" s="538"/>
      <c r="Q124" s="538"/>
      <c r="R124" s="538"/>
      <c r="S124" s="538"/>
      <c r="T124" s="538"/>
      <c r="U124" s="538"/>
      <c r="V124" s="538"/>
      <c r="W124" s="538"/>
      <c r="X124" s="538"/>
      <c r="Y124" s="538"/>
      <c r="Z124" s="538"/>
      <c r="AA124" s="446"/>
      <c r="AB124" s="447"/>
    </row>
    <row r="125" spans="2:28" x14ac:dyDescent="0.2">
      <c r="B125" s="445"/>
      <c r="C125" s="446"/>
      <c r="D125" s="541" t="str">
        <f>D126</f>
        <v>Loss of F Factor Benefit</v>
      </c>
      <c r="E125" s="526"/>
      <c r="F125" s="521">
        <f>G12</f>
        <v>2018</v>
      </c>
      <c r="G125" s="522">
        <f t="shared" ref="G125:Z125" si="25">F125+1</f>
        <v>2019</v>
      </c>
      <c r="H125" s="522">
        <f t="shared" si="25"/>
        <v>2020</v>
      </c>
      <c r="I125" s="522">
        <f t="shared" si="25"/>
        <v>2021</v>
      </c>
      <c r="J125" s="522">
        <f t="shared" si="25"/>
        <v>2022</v>
      </c>
      <c r="K125" s="522">
        <f t="shared" si="25"/>
        <v>2023</v>
      </c>
      <c r="L125" s="522">
        <f t="shared" si="25"/>
        <v>2024</v>
      </c>
      <c r="M125" s="522">
        <f t="shared" si="25"/>
        <v>2025</v>
      </c>
      <c r="N125" s="522">
        <f t="shared" si="25"/>
        <v>2026</v>
      </c>
      <c r="O125" s="522">
        <f t="shared" si="25"/>
        <v>2027</v>
      </c>
      <c r="P125" s="522">
        <f t="shared" si="25"/>
        <v>2028</v>
      </c>
      <c r="Q125" s="522">
        <f t="shared" si="25"/>
        <v>2029</v>
      </c>
      <c r="R125" s="522">
        <f t="shared" si="25"/>
        <v>2030</v>
      </c>
      <c r="S125" s="522">
        <f t="shared" si="25"/>
        <v>2031</v>
      </c>
      <c r="T125" s="522">
        <f t="shared" si="25"/>
        <v>2032</v>
      </c>
      <c r="U125" s="522">
        <f t="shared" si="25"/>
        <v>2033</v>
      </c>
      <c r="V125" s="522">
        <f t="shared" si="25"/>
        <v>2034</v>
      </c>
      <c r="W125" s="522">
        <f t="shared" si="25"/>
        <v>2035</v>
      </c>
      <c r="X125" s="522">
        <f t="shared" si="25"/>
        <v>2036</v>
      </c>
      <c r="Y125" s="522">
        <f t="shared" si="25"/>
        <v>2037</v>
      </c>
      <c r="Z125" s="522">
        <f t="shared" si="25"/>
        <v>2038</v>
      </c>
      <c r="AA125" s="446"/>
      <c r="AB125" s="447"/>
    </row>
    <row r="126" spans="2:28" x14ac:dyDescent="0.2">
      <c r="B126" s="445"/>
      <c r="C126" s="688" t="str">
        <f>$C$18</f>
        <v>Option 3: Replace / Install 80% Network Devices, Purchase the Remaining 20% of the AMI data and Control Functionality</v>
      </c>
      <c r="D126" s="545" t="str">
        <f>$D$39</f>
        <v>Loss of F Factor Benefit</v>
      </c>
      <c r="E126" s="540" t="str">
        <f>$E$39</f>
        <v>(No. of fire start NOT avoided)</v>
      </c>
      <c r="F126" s="539"/>
      <c r="G126" s="539"/>
      <c r="H126" s="539"/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39"/>
      <c r="T126" s="539"/>
      <c r="U126" s="539"/>
      <c r="V126" s="539"/>
      <c r="W126" s="539"/>
      <c r="X126" s="539"/>
      <c r="Y126" s="539"/>
      <c r="Z126" s="539"/>
      <c r="AA126" s="446"/>
      <c r="AB126" s="447"/>
    </row>
    <row r="127" spans="2:28" x14ac:dyDescent="0.2">
      <c r="B127" s="445"/>
      <c r="C127" s="446"/>
      <c r="D127" s="537"/>
      <c r="E127" s="533"/>
      <c r="F127" s="538"/>
      <c r="G127" s="538"/>
      <c r="H127" s="538"/>
      <c r="I127" s="538"/>
      <c r="J127" s="538"/>
      <c r="K127" s="538"/>
      <c r="L127" s="538"/>
      <c r="M127" s="538"/>
      <c r="N127" s="538"/>
      <c r="O127" s="538"/>
      <c r="P127" s="538"/>
      <c r="Q127" s="538"/>
      <c r="R127" s="538"/>
      <c r="S127" s="538"/>
      <c r="T127" s="538"/>
      <c r="U127" s="538"/>
      <c r="V127" s="538"/>
      <c r="W127" s="538"/>
      <c r="X127" s="538"/>
      <c r="Y127" s="538"/>
      <c r="Z127" s="538"/>
      <c r="AA127" s="446"/>
      <c r="AB127" s="447"/>
    </row>
    <row r="128" spans="2:28" x14ac:dyDescent="0.2">
      <c r="B128" s="445"/>
      <c r="C128" s="446"/>
      <c r="D128" s="541" t="s">
        <v>116</v>
      </c>
      <c r="E128" s="526"/>
      <c r="F128" s="521">
        <f>G12</f>
        <v>2018</v>
      </c>
      <c r="G128" s="522">
        <f t="shared" ref="G128:Z128" si="26">F128+1</f>
        <v>2019</v>
      </c>
      <c r="H128" s="522">
        <f t="shared" si="26"/>
        <v>2020</v>
      </c>
      <c r="I128" s="522">
        <f t="shared" si="26"/>
        <v>2021</v>
      </c>
      <c r="J128" s="522">
        <f t="shared" si="26"/>
        <v>2022</v>
      </c>
      <c r="K128" s="522">
        <f t="shared" si="26"/>
        <v>2023</v>
      </c>
      <c r="L128" s="522">
        <f t="shared" si="26"/>
        <v>2024</v>
      </c>
      <c r="M128" s="522">
        <f t="shared" si="26"/>
        <v>2025</v>
      </c>
      <c r="N128" s="522">
        <f t="shared" si="26"/>
        <v>2026</v>
      </c>
      <c r="O128" s="522">
        <f t="shared" si="26"/>
        <v>2027</v>
      </c>
      <c r="P128" s="522">
        <f t="shared" si="26"/>
        <v>2028</v>
      </c>
      <c r="Q128" s="522">
        <f t="shared" si="26"/>
        <v>2029</v>
      </c>
      <c r="R128" s="522">
        <f t="shared" si="26"/>
        <v>2030</v>
      </c>
      <c r="S128" s="522">
        <f t="shared" si="26"/>
        <v>2031</v>
      </c>
      <c r="T128" s="522">
        <f t="shared" si="26"/>
        <v>2032</v>
      </c>
      <c r="U128" s="522">
        <f t="shared" si="26"/>
        <v>2033</v>
      </c>
      <c r="V128" s="522">
        <f t="shared" si="26"/>
        <v>2034</v>
      </c>
      <c r="W128" s="522">
        <f t="shared" si="26"/>
        <v>2035</v>
      </c>
      <c r="X128" s="522">
        <f t="shared" si="26"/>
        <v>2036</v>
      </c>
      <c r="Y128" s="522">
        <f t="shared" si="26"/>
        <v>2037</v>
      </c>
      <c r="Z128" s="522">
        <f t="shared" si="26"/>
        <v>2038</v>
      </c>
      <c r="AA128" s="446"/>
      <c r="AB128" s="447"/>
    </row>
    <row r="129" spans="2:28" ht="25.5" x14ac:dyDescent="0.2">
      <c r="B129" s="445"/>
      <c r="C129" s="688" t="str">
        <f t="shared" ref="C129:C138" si="27">$C$18</f>
        <v>Option 3: Replace / Install 80% Network Devices, Purchase the Remaining 20% of the AMI data and Control Functionality</v>
      </c>
      <c r="D129" s="693" t="s">
        <v>332</v>
      </c>
      <c r="E129" s="518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708">
        <v>19.966666666666669</v>
      </c>
      <c r="P129" s="708">
        <v>239.51436832860423</v>
      </c>
      <c r="Q129" s="708">
        <v>242.30143571332059</v>
      </c>
      <c r="R129" s="708">
        <v>245.20792402571084</v>
      </c>
      <c r="S129" s="708">
        <v>248.2479240257108</v>
      </c>
      <c r="T129" s="708">
        <v>251.40792402571083</v>
      </c>
      <c r="U129" s="708">
        <v>254.6879240257108</v>
      </c>
      <c r="V129" s="708">
        <v>258.08792402571078</v>
      </c>
      <c r="W129" s="708">
        <v>261.60792402571082</v>
      </c>
      <c r="X129" s="708">
        <v>265.2479240257108</v>
      </c>
      <c r="Y129" s="708">
        <v>288.97459069237755</v>
      </c>
      <c r="Z129" s="709"/>
      <c r="AA129" s="446"/>
      <c r="AB129" s="447"/>
    </row>
    <row r="130" spans="2:28" x14ac:dyDescent="0.2">
      <c r="B130" s="445"/>
      <c r="C130" s="688" t="str">
        <f t="shared" si="27"/>
        <v>Option 3: Replace / Install 80% Network Devices, Purchase the Remaining 20% of the AMI data and Control Functionality</v>
      </c>
      <c r="D130" s="541" t="str">
        <f>$D$43</f>
        <v>Cost 2</v>
      </c>
      <c r="E130" s="518" t="s">
        <v>104</v>
      </c>
      <c r="F130" s="548"/>
      <c r="G130" s="548"/>
      <c r="H130" s="548"/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446"/>
      <c r="AB130" s="447"/>
    </row>
    <row r="131" spans="2:28" x14ac:dyDescent="0.2">
      <c r="B131" s="445"/>
      <c r="C131" s="688" t="str">
        <f t="shared" si="27"/>
        <v>Option 3: Replace / Install 80% Network Devices, Purchase the Remaining 20% of the AMI data and Control Functionality</v>
      </c>
      <c r="D131" s="541" t="str">
        <f>$D$44</f>
        <v>Cost 3</v>
      </c>
      <c r="E131" s="518" t="s">
        <v>104</v>
      </c>
      <c r="F131" s="549"/>
      <c r="G131" s="549"/>
      <c r="H131" s="549"/>
      <c r="I131" s="549"/>
      <c r="J131" s="549"/>
      <c r="K131" s="549"/>
      <c r="L131" s="549"/>
      <c r="M131" s="549"/>
      <c r="N131" s="549"/>
      <c r="O131" s="549"/>
      <c r="P131" s="549"/>
      <c r="Q131" s="549"/>
      <c r="R131" s="549"/>
      <c r="S131" s="549"/>
      <c r="T131" s="549"/>
      <c r="U131" s="549"/>
      <c r="V131" s="549"/>
      <c r="W131" s="549"/>
      <c r="X131" s="549"/>
      <c r="Y131" s="549"/>
      <c r="Z131" s="549"/>
      <c r="AA131" s="446"/>
      <c r="AB131" s="447"/>
    </row>
    <row r="132" spans="2:28" x14ac:dyDescent="0.2">
      <c r="B132" s="445"/>
      <c r="C132" s="688" t="str">
        <f t="shared" si="27"/>
        <v>Option 3: Replace / Install 80% Network Devices, Purchase the Remaining 20% of the AMI data and Control Functionality</v>
      </c>
      <c r="D132" s="541" t="str">
        <f>$D$45</f>
        <v>Cost 4</v>
      </c>
      <c r="E132" s="518" t="s">
        <v>104</v>
      </c>
      <c r="F132" s="549"/>
      <c r="G132" s="549"/>
      <c r="H132" s="549"/>
      <c r="I132" s="549"/>
      <c r="J132" s="549"/>
      <c r="K132" s="549"/>
      <c r="L132" s="549"/>
      <c r="M132" s="549"/>
      <c r="N132" s="549"/>
      <c r="O132" s="549"/>
      <c r="P132" s="549"/>
      <c r="Q132" s="549"/>
      <c r="R132" s="549"/>
      <c r="S132" s="549"/>
      <c r="T132" s="549"/>
      <c r="U132" s="549"/>
      <c r="V132" s="549"/>
      <c r="W132" s="549"/>
      <c r="X132" s="549"/>
      <c r="Y132" s="549"/>
      <c r="Z132" s="549"/>
      <c r="AA132" s="446"/>
      <c r="AB132" s="447"/>
    </row>
    <row r="133" spans="2:28" x14ac:dyDescent="0.2">
      <c r="B133" s="445"/>
      <c r="C133" s="688" t="str">
        <f t="shared" si="27"/>
        <v>Option 3: Replace / Install 80% Network Devices, Purchase the Remaining 20% of the AMI data and Control Functionality</v>
      </c>
      <c r="D133" s="541" t="str">
        <f>$D$46</f>
        <v>Cost 5</v>
      </c>
      <c r="E133" s="518" t="s">
        <v>104</v>
      </c>
      <c r="F133" s="549"/>
      <c r="G133" s="549"/>
      <c r="H133" s="549"/>
      <c r="I133" s="549"/>
      <c r="J133" s="549"/>
      <c r="K133" s="549"/>
      <c r="L133" s="549"/>
      <c r="M133" s="549"/>
      <c r="N133" s="549"/>
      <c r="O133" s="549"/>
      <c r="P133" s="549"/>
      <c r="Q133" s="549"/>
      <c r="R133" s="549"/>
      <c r="S133" s="549"/>
      <c r="T133" s="549"/>
      <c r="U133" s="549"/>
      <c r="V133" s="549"/>
      <c r="W133" s="549"/>
      <c r="X133" s="549"/>
      <c r="Y133" s="549"/>
      <c r="Z133" s="549"/>
      <c r="AA133" s="446"/>
      <c r="AB133" s="447"/>
    </row>
    <row r="134" spans="2:28" x14ac:dyDescent="0.2">
      <c r="B134" s="445"/>
      <c r="C134" s="688" t="str">
        <f t="shared" si="27"/>
        <v>Option 3: Replace / Install 80% Network Devices, Purchase the Remaining 20% of the AMI data and Control Functionality</v>
      </c>
      <c r="D134" s="541" t="s">
        <v>278</v>
      </c>
      <c r="E134" s="518" t="s">
        <v>104</v>
      </c>
      <c r="F134" s="549"/>
      <c r="G134" s="549"/>
      <c r="H134" s="549"/>
      <c r="I134" s="549"/>
      <c r="J134" s="549"/>
      <c r="K134" s="549"/>
      <c r="L134" s="549"/>
      <c r="M134" s="549"/>
      <c r="N134" s="549"/>
      <c r="O134" s="549"/>
      <c r="P134" s="549"/>
      <c r="Q134" s="549"/>
      <c r="R134" s="549"/>
      <c r="S134" s="549"/>
      <c r="T134" s="549"/>
      <c r="U134" s="549"/>
      <c r="V134" s="549"/>
      <c r="W134" s="549"/>
      <c r="X134" s="549"/>
      <c r="Y134" s="549"/>
      <c r="Z134" s="549"/>
      <c r="AA134" s="446"/>
      <c r="AB134" s="447"/>
    </row>
    <row r="135" spans="2:28" x14ac:dyDescent="0.2">
      <c r="B135" s="445"/>
      <c r="C135" s="688" t="str">
        <f t="shared" si="27"/>
        <v>Option 3: Replace / Install 80% Network Devices, Purchase the Remaining 20% of the AMI data and Control Functionality</v>
      </c>
      <c r="D135" s="541" t="s">
        <v>279</v>
      </c>
      <c r="E135" s="518" t="s">
        <v>104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446"/>
      <c r="AB135" s="447"/>
    </row>
    <row r="136" spans="2:28" x14ac:dyDescent="0.2">
      <c r="B136" s="445"/>
      <c r="C136" s="688" t="str">
        <f t="shared" si="27"/>
        <v>Option 3: Replace / Install 80% Network Devices, Purchase the Remaining 20% of the AMI data and Control Functionality</v>
      </c>
      <c r="D136" s="541" t="s">
        <v>280</v>
      </c>
      <c r="E136" s="518" t="s">
        <v>104</v>
      </c>
      <c r="F136" s="549"/>
      <c r="G136" s="549"/>
      <c r="H136" s="549"/>
      <c r="I136" s="549"/>
      <c r="J136" s="549"/>
      <c r="K136" s="549"/>
      <c r="L136" s="549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446"/>
      <c r="AB136" s="447"/>
    </row>
    <row r="137" spans="2:28" x14ac:dyDescent="0.2">
      <c r="B137" s="445"/>
      <c r="C137" s="688" t="str">
        <f t="shared" si="27"/>
        <v>Option 3: Replace / Install 80% Network Devices, Purchase the Remaining 20% of the AMI data and Control Functionality</v>
      </c>
      <c r="D137" s="541" t="s">
        <v>281</v>
      </c>
      <c r="E137" s="518" t="s">
        <v>104</v>
      </c>
      <c r="F137" s="549"/>
      <c r="G137" s="549"/>
      <c r="H137" s="549"/>
      <c r="I137" s="549"/>
      <c r="J137" s="549"/>
      <c r="K137" s="549"/>
      <c r="L137" s="549"/>
      <c r="M137" s="549"/>
      <c r="N137" s="549"/>
      <c r="O137" s="549"/>
      <c r="P137" s="549"/>
      <c r="Q137" s="549"/>
      <c r="R137" s="549"/>
      <c r="S137" s="549"/>
      <c r="T137" s="549"/>
      <c r="U137" s="549"/>
      <c r="V137" s="549"/>
      <c r="W137" s="549"/>
      <c r="X137" s="549"/>
      <c r="Y137" s="549"/>
      <c r="Z137" s="549"/>
      <c r="AA137" s="446"/>
      <c r="AB137" s="447"/>
    </row>
    <row r="138" spans="2:28" x14ac:dyDescent="0.2">
      <c r="B138" s="445"/>
      <c r="C138" s="688" t="str">
        <f t="shared" si="27"/>
        <v>Option 3: Replace / Install 80% Network Devices, Purchase the Remaining 20% of the AMI data and Control Functionality</v>
      </c>
      <c r="D138" s="541" t="s">
        <v>282</v>
      </c>
      <c r="E138" s="518" t="s">
        <v>104</v>
      </c>
      <c r="F138" s="549"/>
      <c r="G138" s="549"/>
      <c r="H138" s="549"/>
      <c r="I138" s="549"/>
      <c r="J138" s="549"/>
      <c r="K138" s="549"/>
      <c r="L138" s="549"/>
      <c r="M138" s="549"/>
      <c r="N138" s="549"/>
      <c r="O138" s="549"/>
      <c r="P138" s="549"/>
      <c r="Q138" s="549"/>
      <c r="R138" s="549"/>
      <c r="S138" s="549"/>
      <c r="T138" s="549"/>
      <c r="U138" s="549"/>
      <c r="V138" s="549"/>
      <c r="W138" s="549"/>
      <c r="X138" s="549"/>
      <c r="Y138" s="549"/>
      <c r="Z138" s="549"/>
      <c r="AA138" s="446"/>
      <c r="AB138" s="447"/>
    </row>
    <row r="139" spans="2:28" x14ac:dyDescent="0.2">
      <c r="B139" s="445"/>
      <c r="C139" s="446"/>
      <c r="D139" s="531"/>
      <c r="E139" s="532"/>
      <c r="F139" s="446"/>
      <c r="G139" s="446"/>
      <c r="H139" s="446"/>
      <c r="I139" s="446"/>
      <c r="J139" s="446"/>
      <c r="K139" s="511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1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1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1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19"/>
      <c r="E142" s="520"/>
      <c r="F142" s="521">
        <f>G12</f>
        <v>2018</v>
      </c>
      <c r="G142" s="522">
        <f>F142+1</f>
        <v>2019</v>
      </c>
      <c r="H142" s="522">
        <f t="shared" ref="H142:Z142" si="28">G142+1</f>
        <v>2020</v>
      </c>
      <c r="I142" s="522">
        <f t="shared" si="28"/>
        <v>2021</v>
      </c>
      <c r="J142" s="522">
        <f t="shared" si="28"/>
        <v>2022</v>
      </c>
      <c r="K142" s="522">
        <f t="shared" si="28"/>
        <v>2023</v>
      </c>
      <c r="L142" s="522">
        <f t="shared" si="28"/>
        <v>2024</v>
      </c>
      <c r="M142" s="522">
        <f t="shared" si="28"/>
        <v>2025</v>
      </c>
      <c r="N142" s="522">
        <f t="shared" si="28"/>
        <v>2026</v>
      </c>
      <c r="O142" s="522">
        <f t="shared" si="28"/>
        <v>2027</v>
      </c>
      <c r="P142" s="522">
        <f t="shared" si="28"/>
        <v>2028</v>
      </c>
      <c r="Q142" s="522">
        <f t="shared" si="28"/>
        <v>2029</v>
      </c>
      <c r="R142" s="522">
        <f t="shared" si="28"/>
        <v>2030</v>
      </c>
      <c r="S142" s="522">
        <f t="shared" si="28"/>
        <v>2031</v>
      </c>
      <c r="T142" s="522">
        <f t="shared" si="28"/>
        <v>2032</v>
      </c>
      <c r="U142" s="522">
        <f t="shared" si="28"/>
        <v>2033</v>
      </c>
      <c r="V142" s="522">
        <f t="shared" si="28"/>
        <v>2034</v>
      </c>
      <c r="W142" s="522">
        <f t="shared" si="28"/>
        <v>2035</v>
      </c>
      <c r="X142" s="522">
        <f t="shared" si="28"/>
        <v>2036</v>
      </c>
      <c r="Y142" s="522">
        <f t="shared" si="28"/>
        <v>2037</v>
      </c>
      <c r="Z142" s="522">
        <f t="shared" si="28"/>
        <v>2038</v>
      </c>
      <c r="AA142" s="446"/>
      <c r="AB142" s="447"/>
    </row>
    <row r="143" spans="2:28" x14ac:dyDescent="0.2">
      <c r="B143" s="445"/>
      <c r="C143" s="688" t="str">
        <f>$C$19</f>
        <v xml:space="preserve">Option 4: </v>
      </c>
      <c r="D143" s="541" t="str">
        <f>$D$27</f>
        <v>Maintenance Costs</v>
      </c>
      <c r="E143" s="518" t="s">
        <v>104</v>
      </c>
      <c r="F143" s="281"/>
      <c r="G143" s="536"/>
      <c r="H143" s="536"/>
      <c r="I143" s="536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2"/>
      <c r="E144" s="532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1" t="str">
        <f>IF($I$8=1,"Negative Impact on Revenue (STPIS)",0)</f>
        <v>Negative Impact on Revenue (STPIS)</v>
      </c>
      <c r="E145" s="527">
        <v>5</v>
      </c>
      <c r="F145" s="521">
        <f>G12</f>
        <v>2018</v>
      </c>
      <c r="G145" s="522">
        <f t="shared" ref="G145:Z145" si="29">F145+1</f>
        <v>2019</v>
      </c>
      <c r="H145" s="522">
        <f t="shared" si="29"/>
        <v>2020</v>
      </c>
      <c r="I145" s="522">
        <f t="shared" si="29"/>
        <v>2021</v>
      </c>
      <c r="J145" s="522">
        <f t="shared" si="29"/>
        <v>2022</v>
      </c>
      <c r="K145" s="522">
        <f t="shared" si="29"/>
        <v>2023</v>
      </c>
      <c r="L145" s="522">
        <f t="shared" si="29"/>
        <v>2024</v>
      </c>
      <c r="M145" s="522">
        <f t="shared" si="29"/>
        <v>2025</v>
      </c>
      <c r="N145" s="522">
        <f t="shared" si="29"/>
        <v>2026</v>
      </c>
      <c r="O145" s="522">
        <f t="shared" si="29"/>
        <v>2027</v>
      </c>
      <c r="P145" s="522">
        <f t="shared" si="29"/>
        <v>2028</v>
      </c>
      <c r="Q145" s="522">
        <f t="shared" si="29"/>
        <v>2029</v>
      </c>
      <c r="R145" s="522">
        <f t="shared" si="29"/>
        <v>2030</v>
      </c>
      <c r="S145" s="522">
        <f t="shared" si="29"/>
        <v>2031</v>
      </c>
      <c r="T145" s="522">
        <f t="shared" si="29"/>
        <v>2032</v>
      </c>
      <c r="U145" s="522">
        <f t="shared" si="29"/>
        <v>2033</v>
      </c>
      <c r="V145" s="522">
        <f t="shared" si="29"/>
        <v>2034</v>
      </c>
      <c r="W145" s="522">
        <f t="shared" si="29"/>
        <v>2035</v>
      </c>
      <c r="X145" s="522">
        <f t="shared" si="29"/>
        <v>2036</v>
      </c>
      <c r="Y145" s="522">
        <f t="shared" si="29"/>
        <v>2037</v>
      </c>
      <c r="Z145" s="522">
        <f t="shared" si="29"/>
        <v>2038</v>
      </c>
      <c r="AA145" s="446"/>
      <c r="AB145" s="447"/>
    </row>
    <row r="146" spans="2:28" x14ac:dyDescent="0.2">
      <c r="B146" s="445"/>
      <c r="C146" s="688" t="str">
        <f>$C$19</f>
        <v xml:space="preserve">Option 4: </v>
      </c>
      <c r="D146" s="543" t="str">
        <f>IF($I$8=1,"SAIFI sustained",0)</f>
        <v>SAIFI sustained</v>
      </c>
      <c r="E146" s="528" t="s">
        <v>148</v>
      </c>
      <c r="F146" s="676">
        <v>0</v>
      </c>
      <c r="G146" s="529">
        <f>IF($E$145=1,0,IF(OR($E$145=2,$E$145=3,$E$145=4,$E$145=5),$F$146))</f>
        <v>0</v>
      </c>
      <c r="H146" s="529">
        <f>IF($E$145=1,0,IF(OR($E$145=2,$E$145=3,$E$145=4,$E$145=5),$F$146))</f>
        <v>0</v>
      </c>
      <c r="I146" s="529">
        <f>IF($E$145=1,0,IF(OR($E$145=2,$E$145=3,$E$145=4,$E$145=5),$F$146))</f>
        <v>0</v>
      </c>
      <c r="J146" s="529">
        <f>IF($E$145=1,0,IF(OR($E$145=2,$E$145=3,$E$145=4,$E$145=5),$F$146))</f>
        <v>0</v>
      </c>
      <c r="K146" s="529">
        <f>IF($E$145=1,0,IF(OR($E$145=2,$E$145=3,$E$145=4,$E$145=5),$F$146))</f>
        <v>0</v>
      </c>
      <c r="L146" s="524"/>
      <c r="M146" s="529">
        <f>IF(OR($E$145=1,$E$145=2),0,$L$146)</f>
        <v>0</v>
      </c>
      <c r="N146" s="529">
        <f>IF(OR($E$145=1,$E$145=2),0,$L$146)</f>
        <v>0</v>
      </c>
      <c r="O146" s="529">
        <f>IF(OR($E$145=1,$E$145=2),0,$L$146)</f>
        <v>0</v>
      </c>
      <c r="P146" s="529">
        <f>IF(OR($E$145=1,$E$145=2),0,$L$146)</f>
        <v>0</v>
      </c>
      <c r="Q146" s="529">
        <f>IF(OR($E$145=1,$E$145=2),0,$L$146)</f>
        <v>0</v>
      </c>
      <c r="R146" s="524"/>
      <c r="S146" s="529">
        <f>IF(OR($E$145=1,$E$145=2,$E$145=3),0,$R$146)</f>
        <v>0</v>
      </c>
      <c r="T146" s="529">
        <f>IF(OR($E$145=1,$E$145=2,$E$145=3),0,$R$146)</f>
        <v>0</v>
      </c>
      <c r="U146" s="529">
        <f>IF(OR($E$145=1,$E$145=2,$E$145=3),0,$R$146)</f>
        <v>0</v>
      </c>
      <c r="V146" s="529">
        <f>IF(OR($E$145=1,$E$145=2,$E$145=3),0,$R$146)</f>
        <v>0</v>
      </c>
      <c r="W146" s="529">
        <f>IF(OR($E$145=1,$E$145=2,$E$145=3),0,$R$146)</f>
        <v>0</v>
      </c>
      <c r="X146" s="524"/>
      <c r="Y146" s="529">
        <f>IF($E$145=5,$X$146,0)</f>
        <v>0</v>
      </c>
      <c r="Z146" s="529">
        <f>IF($E$145=5,$X$146,0)</f>
        <v>0</v>
      </c>
      <c r="AA146" s="446"/>
      <c r="AB146" s="447"/>
    </row>
    <row r="147" spans="2:28" x14ac:dyDescent="0.2">
      <c r="B147" s="445"/>
      <c r="C147" s="688" t="str">
        <f>$C$19</f>
        <v xml:space="preserve">Option 4: </v>
      </c>
      <c r="D147" s="543" t="str">
        <f>IF($I$8=1,"SAIDI accidental",0)</f>
        <v>SAIDI accidental</v>
      </c>
      <c r="E147" s="528" t="s">
        <v>149</v>
      </c>
      <c r="F147" s="675">
        <v>0</v>
      </c>
      <c r="G147" s="529">
        <f>IF($E$145=1,0,IF(OR($E$145=2,$E$145=3,$E$145=4,$E$145=5),$F$147))</f>
        <v>0</v>
      </c>
      <c r="H147" s="529">
        <f>IF($E$145=1,0,IF(OR($E$145=2,$E$145=3,$E$145=4,$E$145=5),$F$147))</f>
        <v>0</v>
      </c>
      <c r="I147" s="529">
        <f>IF($E$145=1,0,IF(OR($E$145=2,$E$145=3,$E$145=4,$E$145=5),$F$147))</f>
        <v>0</v>
      </c>
      <c r="J147" s="529">
        <f>IF($E$145=1,0,IF(OR($E$145=2,$E$145=3,$E$145=4,$E$145=5),$F$147))</f>
        <v>0</v>
      </c>
      <c r="K147" s="529">
        <f>IF($E$145=1,0,IF(OR($E$145=2,$E$145=3,$E$145=4,$E$145=5),$F$147))</f>
        <v>0</v>
      </c>
      <c r="L147" s="524"/>
      <c r="M147" s="529">
        <f>IF(OR($E$145=1,$E$145=2),0,$L$147)</f>
        <v>0</v>
      </c>
      <c r="N147" s="529">
        <f>IF(OR($E$145=1,$E$145=2),0,$L$147)</f>
        <v>0</v>
      </c>
      <c r="O147" s="529">
        <f>IF(OR($E$145=1,$E$145=2),0,$L$147)</f>
        <v>0</v>
      </c>
      <c r="P147" s="529">
        <f>IF(OR($E$145=1,$E$145=2),0,$L$147)</f>
        <v>0</v>
      </c>
      <c r="Q147" s="529">
        <f>IF(OR($E$145=1,$E$145=2),0,$L$147)</f>
        <v>0</v>
      </c>
      <c r="R147" s="524"/>
      <c r="S147" s="529">
        <f>IF(OR($E$145=1,$E$145=2,$E$145=3),0,$R$147)</f>
        <v>0</v>
      </c>
      <c r="T147" s="529">
        <f>IF(OR($E$145=1,$E$145=2,$E$145=3),0,$R$147)</f>
        <v>0</v>
      </c>
      <c r="U147" s="529">
        <f>IF(OR($E$145=1,$E$145=2,$E$145=3),0,$R$147)</f>
        <v>0</v>
      </c>
      <c r="V147" s="529">
        <f>IF(OR($E$145=1,$E$145=2,$E$145=3),0,$R$147)</f>
        <v>0</v>
      </c>
      <c r="W147" s="529">
        <f>IF(OR($E$145=1,$E$145=2,$E$145=3),0,$R$147)</f>
        <v>0</v>
      </c>
      <c r="X147" s="524"/>
      <c r="Y147" s="529">
        <f>IF($E$145=5,$X$147,0)</f>
        <v>0</v>
      </c>
      <c r="Z147" s="529">
        <f>IF($E$145=5,$X$147,0)</f>
        <v>0</v>
      </c>
      <c r="AA147" s="446"/>
      <c r="AB147" s="447"/>
    </row>
    <row r="148" spans="2:28" x14ac:dyDescent="0.2">
      <c r="B148" s="445"/>
      <c r="C148" s="688" t="str">
        <f>$C$19</f>
        <v xml:space="preserve">Option 4: </v>
      </c>
      <c r="D148" s="543" t="str">
        <f>IF($I$8=1,"MAIFI momentary",0)</f>
        <v>MAIFI momentary</v>
      </c>
      <c r="E148" s="528" t="s">
        <v>148</v>
      </c>
      <c r="F148" s="281">
        <f>F61</f>
        <v>0</v>
      </c>
      <c r="G148" s="529">
        <f>IF($E$116=1,0,IF(OR($E$116=2,$E$116=3,$E$116=4,$E$116=5),$F$119))</f>
        <v>0</v>
      </c>
      <c r="H148" s="529">
        <f>IF($E$116=1,0,IF(OR($E$116=2,$E$116=3,$E$116=4,$E$116=5),$F$119))</f>
        <v>0</v>
      </c>
      <c r="I148" s="529">
        <f>IF($E$116=1,0,IF(OR($E$116=2,$E$116=3,$E$116=4,$E$116=5),$F$119))</f>
        <v>0</v>
      </c>
      <c r="J148" s="529">
        <f>IF($E$116=1,0,IF(OR($E$116=2,$E$116=3,$E$116=4,$E$116=5),$F$119))</f>
        <v>0</v>
      </c>
      <c r="K148" s="529">
        <f>IF($E$116=1,0,IF(OR($E$116=2,$E$116=3,$E$116=4,$E$116=5),$F$119))</f>
        <v>0</v>
      </c>
      <c r="L148" s="524"/>
      <c r="M148" s="529">
        <f>IF(OR($E$116=1,$E$116=2),0,$L$119)</f>
        <v>0</v>
      </c>
      <c r="N148" s="529">
        <f>IF(OR($E$116=1,$E$116=2),0,$L$119)</f>
        <v>0</v>
      </c>
      <c r="O148" s="529">
        <f>IF(OR($E$116=1,$E$116=2),0,$L$119)</f>
        <v>0</v>
      </c>
      <c r="P148" s="529">
        <f>IF(OR($E$116=1,$E$116=2),0,$L$119)</f>
        <v>0</v>
      </c>
      <c r="Q148" s="529">
        <f>IF(OR($E$116=1,$E$116=2),0,$L$119)</f>
        <v>0</v>
      </c>
      <c r="R148" s="524"/>
      <c r="S148" s="529">
        <f>IF(OR($E$116=1,$E$116=2,$E$116=3),0,$R$119)</f>
        <v>0</v>
      </c>
      <c r="T148" s="529">
        <f>IF(OR($E$116=1,$E$116=2,$E$116=3),0,$R$119)</f>
        <v>0</v>
      </c>
      <c r="U148" s="529">
        <f>IF(OR($E$116=1,$E$116=2,$E$116=3),0,$R$119)</f>
        <v>0</v>
      </c>
      <c r="V148" s="529">
        <f>IF(OR($E$116=1,$E$116=2,$E$116=3),0,$R$119)</f>
        <v>0</v>
      </c>
      <c r="W148" s="529">
        <f>IF(OR($E$116=1,$E$116=2,$E$116=3),0,$R$119)</f>
        <v>0</v>
      </c>
      <c r="X148" s="524"/>
      <c r="Y148" s="529">
        <f>IF($E$116=5,$X$119,0)</f>
        <v>0</v>
      </c>
      <c r="Z148" s="529">
        <f>IF($E$116=5,$X$119,0)</f>
        <v>0</v>
      </c>
      <c r="AA148" s="446"/>
      <c r="AB148" s="447"/>
    </row>
    <row r="149" spans="2:28" x14ac:dyDescent="0.2">
      <c r="B149" s="445"/>
      <c r="C149" s="688" t="str">
        <f>$C$19</f>
        <v xml:space="preserve">Option 4: </v>
      </c>
      <c r="D149" s="543" t="str">
        <f>IF($I$8=1,"Call centre response",0)</f>
        <v>Call centre response</v>
      </c>
      <c r="E149" s="528" t="s">
        <v>150</v>
      </c>
      <c r="F149" s="525"/>
      <c r="G149" s="530">
        <f>IF($E$145=1,0,IF(OR($E$145=2,$E$145=3,$E$145=4,$E$145=5),$F$149))</f>
        <v>0</v>
      </c>
      <c r="H149" s="530">
        <f>IF($E$145=1,0,IF(OR($E$145=2,$E$145=3,$E$145=4,$E$145=5),$F$149))</f>
        <v>0</v>
      </c>
      <c r="I149" s="530">
        <f>IF($E$145=1,0,IF(OR($E$145=2,$E$145=3,$E$145=4,$E$145=5),$F$149))</f>
        <v>0</v>
      </c>
      <c r="J149" s="530">
        <f>IF($E$145=1,0,IF(OR($E$145=2,$E$145=3,$E$145=4,$E$145=5),$F$149))</f>
        <v>0</v>
      </c>
      <c r="K149" s="530">
        <f>IF($E$145=1,0,IF(OR($E$145=2,$E$145=3,$E$145=4,$E$145=5),$F$149))</f>
        <v>0</v>
      </c>
      <c r="L149" s="525"/>
      <c r="M149" s="530">
        <f>IF(OR($E$145=1,$E$145=2),0,$L$149)</f>
        <v>0</v>
      </c>
      <c r="N149" s="530">
        <f>IF(OR($E$145=1,$E$145=2),0,$L$149)</f>
        <v>0</v>
      </c>
      <c r="O149" s="530">
        <f>IF(OR($E$145=1,$E$145=2),0,$L$149)</f>
        <v>0</v>
      </c>
      <c r="P149" s="530">
        <f>IF(OR($E$145=1,$E$145=2),0,$L$149)</f>
        <v>0</v>
      </c>
      <c r="Q149" s="530">
        <f>IF(OR($E$145=1,$E$145=2),0,$L$149)</f>
        <v>0</v>
      </c>
      <c r="R149" s="525"/>
      <c r="S149" s="530">
        <f>IF(OR($E$145=1,$E$145=2,$E$145=3),0,$R$149)</f>
        <v>0</v>
      </c>
      <c r="T149" s="530">
        <f>IF(OR($E$145=1,$E$145=2,$E$145=3),0,$R$149)</f>
        <v>0</v>
      </c>
      <c r="U149" s="530">
        <f>IF(OR($E$145=1,$E$145=2,$E$145=3),0,$R$149)</f>
        <v>0</v>
      </c>
      <c r="V149" s="530">
        <f>IF(OR($E$145=1,$E$145=2,$E$145=3),0,$R$149)</f>
        <v>0</v>
      </c>
      <c r="W149" s="530">
        <f>IF(OR($E$145=1,$E$145=2,$E$145=3),0,$R$149)</f>
        <v>0</v>
      </c>
      <c r="X149" s="525"/>
      <c r="Y149" s="530">
        <f>IF($E$145=5,$X$149,0)</f>
        <v>0</v>
      </c>
      <c r="Z149" s="530">
        <f>IF($E$145=5,$X$149,0)</f>
        <v>0</v>
      </c>
      <c r="AA149" s="446"/>
      <c r="AB149" s="447"/>
    </row>
    <row r="150" spans="2:28" x14ac:dyDescent="0.2">
      <c r="B150" s="445"/>
      <c r="C150" s="446"/>
      <c r="D150" s="544"/>
      <c r="E150" s="533"/>
      <c r="F150" s="534"/>
      <c r="G150" s="535"/>
      <c r="H150" s="535"/>
      <c r="I150" s="535"/>
      <c r="J150" s="535"/>
      <c r="K150" s="535"/>
      <c r="L150" s="535"/>
      <c r="M150" s="535"/>
      <c r="N150" s="535"/>
      <c r="O150" s="535"/>
      <c r="P150" s="535"/>
      <c r="Q150" s="535"/>
      <c r="R150" s="535"/>
      <c r="S150" s="535"/>
      <c r="T150" s="535"/>
      <c r="U150" s="535"/>
      <c r="V150" s="535"/>
      <c r="W150" s="535"/>
      <c r="X150" s="535"/>
      <c r="Y150" s="535"/>
      <c r="Z150" s="535"/>
      <c r="AA150" s="446"/>
      <c r="AB150" s="447"/>
    </row>
    <row r="151" spans="2:28" x14ac:dyDescent="0.2">
      <c r="B151" s="445"/>
      <c r="C151" s="446"/>
      <c r="D151" s="541" t="str">
        <f>$D$35</f>
        <v>Network Outage Costs</v>
      </c>
      <c r="E151" s="527"/>
      <c r="F151" s="521">
        <f>G12</f>
        <v>2018</v>
      </c>
      <c r="G151" s="522">
        <f t="shared" ref="G151:Z151" si="30">F151+1</f>
        <v>2019</v>
      </c>
      <c r="H151" s="522">
        <f t="shared" si="30"/>
        <v>2020</v>
      </c>
      <c r="I151" s="522">
        <f t="shared" si="30"/>
        <v>2021</v>
      </c>
      <c r="J151" s="522">
        <f t="shared" si="30"/>
        <v>2022</v>
      </c>
      <c r="K151" s="522">
        <f t="shared" si="30"/>
        <v>2023</v>
      </c>
      <c r="L151" s="522">
        <f t="shared" si="30"/>
        <v>2024</v>
      </c>
      <c r="M151" s="522">
        <f t="shared" si="30"/>
        <v>2025</v>
      </c>
      <c r="N151" s="522">
        <f t="shared" si="30"/>
        <v>2026</v>
      </c>
      <c r="O151" s="522">
        <f t="shared" si="30"/>
        <v>2027</v>
      </c>
      <c r="P151" s="522">
        <f t="shared" si="30"/>
        <v>2028</v>
      </c>
      <c r="Q151" s="522">
        <f t="shared" si="30"/>
        <v>2029</v>
      </c>
      <c r="R151" s="522">
        <f t="shared" si="30"/>
        <v>2030</v>
      </c>
      <c r="S151" s="522">
        <f t="shared" si="30"/>
        <v>2031</v>
      </c>
      <c r="T151" s="522">
        <f t="shared" si="30"/>
        <v>2032</v>
      </c>
      <c r="U151" s="522">
        <f t="shared" si="30"/>
        <v>2033</v>
      </c>
      <c r="V151" s="522">
        <f t="shared" si="30"/>
        <v>2034</v>
      </c>
      <c r="W151" s="522">
        <f t="shared" si="30"/>
        <v>2035</v>
      </c>
      <c r="X151" s="522">
        <f t="shared" si="30"/>
        <v>2036</v>
      </c>
      <c r="Y151" s="522">
        <f t="shared" si="30"/>
        <v>2037</v>
      </c>
      <c r="Z151" s="522">
        <f t="shared" si="30"/>
        <v>2038</v>
      </c>
      <c r="AA151" s="446"/>
      <c r="AB151" s="447"/>
    </row>
    <row r="152" spans="2:28" x14ac:dyDescent="0.2">
      <c r="B152" s="445"/>
      <c r="C152" s="688" t="str">
        <f>$C$19</f>
        <v xml:space="preserve">Option 4: </v>
      </c>
      <c r="D152" s="543" t="str">
        <f>$D$36</f>
        <v>Customer off supply</v>
      </c>
      <c r="E152" s="528" t="s">
        <v>149</v>
      </c>
      <c r="F152" s="674"/>
      <c r="G152" s="674"/>
      <c r="H152" s="674"/>
      <c r="I152" s="536"/>
      <c r="J152" s="536"/>
      <c r="K152" s="536"/>
      <c r="L152" s="536"/>
      <c r="M152" s="536"/>
      <c r="N152" s="536"/>
      <c r="O152" s="536"/>
      <c r="P152" s="536"/>
      <c r="Q152" s="536"/>
      <c r="R152" s="536"/>
      <c r="S152" s="536"/>
      <c r="T152" s="536"/>
      <c r="U152" s="536"/>
      <c r="V152" s="536"/>
      <c r="W152" s="536"/>
      <c r="X152" s="536"/>
      <c r="Y152" s="536"/>
      <c r="Z152" s="536"/>
      <c r="AA152" s="446"/>
      <c r="AB152" s="447"/>
    </row>
    <row r="153" spans="2:28" x14ac:dyDescent="0.2">
      <c r="B153" s="445"/>
      <c r="C153" s="446"/>
      <c r="D153" s="542"/>
      <c r="E153" s="533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  <c r="W153" s="538"/>
      <c r="X153" s="538"/>
      <c r="Y153" s="538"/>
      <c r="Z153" s="538"/>
      <c r="AA153" s="446"/>
      <c r="AB153" s="447"/>
    </row>
    <row r="154" spans="2:28" x14ac:dyDescent="0.2">
      <c r="B154" s="445"/>
      <c r="C154" s="446"/>
      <c r="D154" s="541" t="str">
        <f>D155</f>
        <v>Loss of F Factor Benefit</v>
      </c>
      <c r="E154" s="526"/>
      <c r="F154" s="521">
        <f>G12</f>
        <v>2018</v>
      </c>
      <c r="G154" s="522">
        <f t="shared" ref="G154:Z154" si="31">F154+1</f>
        <v>2019</v>
      </c>
      <c r="H154" s="522">
        <f t="shared" si="31"/>
        <v>2020</v>
      </c>
      <c r="I154" s="522">
        <f t="shared" si="31"/>
        <v>2021</v>
      </c>
      <c r="J154" s="522">
        <f t="shared" si="31"/>
        <v>2022</v>
      </c>
      <c r="K154" s="522">
        <f t="shared" si="31"/>
        <v>2023</v>
      </c>
      <c r="L154" s="522">
        <f t="shared" si="31"/>
        <v>2024</v>
      </c>
      <c r="M154" s="522">
        <f t="shared" si="31"/>
        <v>2025</v>
      </c>
      <c r="N154" s="522">
        <f t="shared" si="31"/>
        <v>2026</v>
      </c>
      <c r="O154" s="522">
        <f t="shared" si="31"/>
        <v>2027</v>
      </c>
      <c r="P154" s="522">
        <f t="shared" si="31"/>
        <v>2028</v>
      </c>
      <c r="Q154" s="522">
        <f t="shared" si="31"/>
        <v>2029</v>
      </c>
      <c r="R154" s="522">
        <f t="shared" si="31"/>
        <v>2030</v>
      </c>
      <c r="S154" s="522">
        <f t="shared" si="31"/>
        <v>2031</v>
      </c>
      <c r="T154" s="522">
        <f t="shared" si="31"/>
        <v>2032</v>
      </c>
      <c r="U154" s="522">
        <f t="shared" si="31"/>
        <v>2033</v>
      </c>
      <c r="V154" s="522">
        <f t="shared" si="31"/>
        <v>2034</v>
      </c>
      <c r="W154" s="522">
        <f t="shared" si="31"/>
        <v>2035</v>
      </c>
      <c r="X154" s="522">
        <f t="shared" si="31"/>
        <v>2036</v>
      </c>
      <c r="Y154" s="522">
        <f t="shared" si="31"/>
        <v>2037</v>
      </c>
      <c r="Z154" s="522">
        <f t="shared" si="31"/>
        <v>2038</v>
      </c>
      <c r="AA154" s="446"/>
      <c r="AB154" s="447"/>
    </row>
    <row r="155" spans="2:28" x14ac:dyDescent="0.2">
      <c r="B155" s="445"/>
      <c r="C155" s="688" t="str">
        <f>$C$19</f>
        <v xml:space="preserve">Option 4: </v>
      </c>
      <c r="D155" s="545" t="str">
        <f>$D$39</f>
        <v>Loss of F Factor Benefit</v>
      </c>
      <c r="E155" s="540" t="str">
        <f>$E$39</f>
        <v>(No. of fire start NOT avoided)</v>
      </c>
      <c r="F155" s="539"/>
      <c r="G155" s="539"/>
      <c r="H155" s="539"/>
      <c r="I155" s="539"/>
      <c r="J155" s="539"/>
      <c r="K155" s="539"/>
      <c r="L155" s="539"/>
      <c r="M155" s="539"/>
      <c r="N155" s="539"/>
      <c r="O155" s="539"/>
      <c r="P155" s="539"/>
      <c r="Q155" s="539"/>
      <c r="R155" s="539"/>
      <c r="S155" s="539"/>
      <c r="T155" s="539"/>
      <c r="U155" s="539"/>
      <c r="V155" s="539"/>
      <c r="W155" s="539"/>
      <c r="X155" s="539"/>
      <c r="Y155" s="539"/>
      <c r="Z155" s="539"/>
      <c r="AA155" s="446"/>
      <c r="AB155" s="447"/>
    </row>
    <row r="156" spans="2:28" x14ac:dyDescent="0.2">
      <c r="B156" s="445"/>
      <c r="C156" s="446"/>
      <c r="D156" s="537"/>
      <c r="E156" s="533"/>
      <c r="F156" s="538"/>
      <c r="G156" s="538"/>
      <c r="H156" s="538"/>
      <c r="I156" s="538"/>
      <c r="J156" s="538"/>
      <c r="K156" s="538"/>
      <c r="L156" s="538"/>
      <c r="M156" s="538"/>
      <c r="N156" s="538"/>
      <c r="O156" s="538"/>
      <c r="P156" s="538"/>
      <c r="Q156" s="538"/>
      <c r="R156" s="538"/>
      <c r="S156" s="538"/>
      <c r="T156" s="538"/>
      <c r="U156" s="538"/>
      <c r="V156" s="538"/>
      <c r="W156" s="538"/>
      <c r="X156" s="538"/>
      <c r="Y156" s="538"/>
      <c r="Z156" s="538"/>
      <c r="AA156" s="446"/>
      <c r="AB156" s="447"/>
    </row>
    <row r="157" spans="2:28" x14ac:dyDescent="0.2">
      <c r="B157" s="445"/>
      <c r="C157" s="446"/>
      <c r="D157" s="541" t="s">
        <v>116</v>
      </c>
      <c r="E157" s="526"/>
      <c r="F157" s="521">
        <f>G12</f>
        <v>2018</v>
      </c>
      <c r="G157" s="522">
        <f t="shared" ref="G157:Z157" si="32">F157+1</f>
        <v>2019</v>
      </c>
      <c r="H157" s="522">
        <f t="shared" si="32"/>
        <v>2020</v>
      </c>
      <c r="I157" s="522">
        <f t="shared" si="32"/>
        <v>2021</v>
      </c>
      <c r="J157" s="522">
        <f t="shared" si="32"/>
        <v>2022</v>
      </c>
      <c r="K157" s="522">
        <f t="shared" si="32"/>
        <v>2023</v>
      </c>
      <c r="L157" s="522">
        <f t="shared" si="32"/>
        <v>2024</v>
      </c>
      <c r="M157" s="522">
        <f t="shared" si="32"/>
        <v>2025</v>
      </c>
      <c r="N157" s="522">
        <f t="shared" si="32"/>
        <v>2026</v>
      </c>
      <c r="O157" s="522">
        <f t="shared" si="32"/>
        <v>2027</v>
      </c>
      <c r="P157" s="522">
        <f t="shared" si="32"/>
        <v>2028</v>
      </c>
      <c r="Q157" s="522">
        <f t="shared" si="32"/>
        <v>2029</v>
      </c>
      <c r="R157" s="522">
        <f t="shared" si="32"/>
        <v>2030</v>
      </c>
      <c r="S157" s="522">
        <f t="shared" si="32"/>
        <v>2031</v>
      </c>
      <c r="T157" s="522">
        <f t="shared" si="32"/>
        <v>2032</v>
      </c>
      <c r="U157" s="522">
        <f t="shared" si="32"/>
        <v>2033</v>
      </c>
      <c r="V157" s="522">
        <f t="shared" si="32"/>
        <v>2034</v>
      </c>
      <c r="W157" s="522">
        <f t="shared" si="32"/>
        <v>2035</v>
      </c>
      <c r="X157" s="522">
        <f t="shared" si="32"/>
        <v>2036</v>
      </c>
      <c r="Y157" s="522">
        <f t="shared" si="32"/>
        <v>2037</v>
      </c>
      <c r="Z157" s="522">
        <f t="shared" si="32"/>
        <v>2038</v>
      </c>
      <c r="AA157" s="446"/>
      <c r="AB157" s="447"/>
    </row>
    <row r="158" spans="2:28" x14ac:dyDescent="0.2">
      <c r="B158" s="445"/>
      <c r="C158" s="688" t="str">
        <f t="shared" ref="C158:C167" si="33">$C$19</f>
        <v xml:space="preserve">Option 4: </v>
      </c>
      <c r="D158" s="541" t="str">
        <f>$D$42</f>
        <v>Cost 1</v>
      </c>
      <c r="E158" s="518" t="s">
        <v>104</v>
      </c>
      <c r="F158" s="547"/>
      <c r="G158" s="547"/>
      <c r="H158" s="547"/>
      <c r="I158" s="547"/>
      <c r="J158" s="547"/>
      <c r="K158" s="547"/>
      <c r="L158" s="547"/>
      <c r="M158" s="547"/>
      <c r="N158" s="547"/>
      <c r="O158" s="547"/>
      <c r="P158" s="547"/>
      <c r="Q158" s="547"/>
      <c r="R158" s="547"/>
      <c r="S158" s="547"/>
      <c r="T158" s="547"/>
      <c r="U158" s="547"/>
      <c r="V158" s="547"/>
      <c r="W158" s="547"/>
      <c r="X158" s="547"/>
      <c r="Y158" s="547"/>
      <c r="Z158" s="547"/>
      <c r="AA158" s="446"/>
      <c r="AB158" s="447"/>
    </row>
    <row r="159" spans="2:28" x14ac:dyDescent="0.2">
      <c r="B159" s="445"/>
      <c r="C159" s="688" t="str">
        <f t="shared" si="33"/>
        <v xml:space="preserve">Option 4: </v>
      </c>
      <c r="D159" s="541" t="str">
        <f>$D$43</f>
        <v>Cost 2</v>
      </c>
      <c r="E159" s="518" t="s">
        <v>104</v>
      </c>
      <c r="F159" s="547"/>
      <c r="G159" s="547"/>
      <c r="H159" s="547"/>
      <c r="I159" s="547"/>
      <c r="J159" s="547"/>
      <c r="K159" s="547"/>
      <c r="L159" s="547"/>
      <c r="M159" s="547"/>
      <c r="N159" s="547"/>
      <c r="O159" s="547"/>
      <c r="P159" s="547"/>
      <c r="Q159" s="547"/>
      <c r="R159" s="547"/>
      <c r="S159" s="547"/>
      <c r="T159" s="547"/>
      <c r="U159" s="547"/>
      <c r="V159" s="547"/>
      <c r="W159" s="547"/>
      <c r="X159" s="547"/>
      <c r="Y159" s="547"/>
      <c r="Z159" s="547"/>
      <c r="AA159" s="446"/>
      <c r="AB159" s="447"/>
    </row>
    <row r="160" spans="2:28" x14ac:dyDescent="0.2">
      <c r="B160" s="445"/>
      <c r="C160" s="688" t="str">
        <f t="shared" si="33"/>
        <v xml:space="preserve">Option 4: </v>
      </c>
      <c r="D160" s="541" t="str">
        <f>$D$44</f>
        <v>Cost 3</v>
      </c>
      <c r="E160" s="518" t="s">
        <v>104</v>
      </c>
      <c r="F160" s="547"/>
      <c r="G160" s="547"/>
      <c r="H160" s="547"/>
      <c r="I160" s="547"/>
      <c r="J160" s="547"/>
      <c r="K160" s="547"/>
      <c r="L160" s="547"/>
      <c r="M160" s="547"/>
      <c r="N160" s="547"/>
      <c r="O160" s="547"/>
      <c r="P160" s="547"/>
      <c r="Q160" s="547"/>
      <c r="R160" s="547"/>
      <c r="S160" s="547"/>
      <c r="T160" s="547"/>
      <c r="U160" s="547"/>
      <c r="V160" s="547"/>
      <c r="W160" s="547"/>
      <c r="X160" s="547"/>
      <c r="Y160" s="547"/>
      <c r="Z160" s="547"/>
      <c r="AA160" s="446"/>
      <c r="AB160" s="447"/>
    </row>
    <row r="161" spans="2:28" x14ac:dyDescent="0.2">
      <c r="B161" s="445"/>
      <c r="C161" s="688" t="str">
        <f t="shared" si="33"/>
        <v xml:space="preserve">Option 4: </v>
      </c>
      <c r="D161" s="541" t="str">
        <f>$D$45</f>
        <v>Cost 4</v>
      </c>
      <c r="E161" s="518" t="s">
        <v>104</v>
      </c>
      <c r="F161" s="547"/>
      <c r="G161" s="547"/>
      <c r="H161" s="547"/>
      <c r="I161" s="547"/>
      <c r="J161" s="547"/>
      <c r="K161" s="547"/>
      <c r="L161" s="547"/>
      <c r="M161" s="547"/>
      <c r="N161" s="547"/>
      <c r="O161" s="547"/>
      <c r="P161" s="547"/>
      <c r="Q161" s="547"/>
      <c r="R161" s="547"/>
      <c r="S161" s="547"/>
      <c r="T161" s="547"/>
      <c r="U161" s="547"/>
      <c r="V161" s="547"/>
      <c r="W161" s="547"/>
      <c r="X161" s="547"/>
      <c r="Y161" s="547"/>
      <c r="Z161" s="547"/>
      <c r="AA161" s="446"/>
      <c r="AB161" s="447"/>
    </row>
    <row r="162" spans="2:28" x14ac:dyDescent="0.2">
      <c r="B162" s="445"/>
      <c r="C162" s="688" t="str">
        <f t="shared" si="33"/>
        <v xml:space="preserve">Option 4: </v>
      </c>
      <c r="D162" s="541" t="str">
        <f>$D$46</f>
        <v>Cost 5</v>
      </c>
      <c r="E162" s="518" t="s">
        <v>104</v>
      </c>
      <c r="F162" s="547"/>
      <c r="G162" s="547"/>
      <c r="H162" s="547"/>
      <c r="I162" s="547"/>
      <c r="J162" s="547"/>
      <c r="K162" s="547"/>
      <c r="L162" s="547"/>
      <c r="M162" s="547"/>
      <c r="N162" s="547"/>
      <c r="O162" s="547"/>
      <c r="P162" s="547"/>
      <c r="Q162" s="547"/>
      <c r="R162" s="547"/>
      <c r="S162" s="547"/>
      <c r="T162" s="547"/>
      <c r="U162" s="547"/>
      <c r="V162" s="547"/>
      <c r="W162" s="547"/>
      <c r="X162" s="547"/>
      <c r="Y162" s="547"/>
      <c r="Z162" s="547"/>
      <c r="AA162" s="446"/>
      <c r="AB162" s="447"/>
    </row>
    <row r="163" spans="2:28" x14ac:dyDescent="0.2">
      <c r="B163" s="445"/>
      <c r="C163" s="688" t="str">
        <f t="shared" si="33"/>
        <v xml:space="preserve">Option 4: </v>
      </c>
      <c r="D163" s="541" t="s">
        <v>278</v>
      </c>
      <c r="E163" s="518" t="s">
        <v>104</v>
      </c>
      <c r="F163" s="547"/>
      <c r="G163" s="547"/>
      <c r="H163" s="547"/>
      <c r="I163" s="547"/>
      <c r="J163" s="547"/>
      <c r="K163" s="547"/>
      <c r="L163" s="547"/>
      <c r="M163" s="547"/>
      <c r="N163" s="547"/>
      <c r="O163" s="547"/>
      <c r="P163" s="547"/>
      <c r="Q163" s="547"/>
      <c r="R163" s="547"/>
      <c r="S163" s="547"/>
      <c r="T163" s="547"/>
      <c r="U163" s="547"/>
      <c r="V163" s="547"/>
      <c r="W163" s="547"/>
      <c r="X163" s="547"/>
      <c r="Y163" s="547"/>
      <c r="Z163" s="547"/>
      <c r="AA163" s="446"/>
      <c r="AB163" s="447"/>
    </row>
    <row r="164" spans="2:28" x14ac:dyDescent="0.2">
      <c r="B164" s="445"/>
      <c r="C164" s="688" t="str">
        <f t="shared" si="33"/>
        <v xml:space="preserve">Option 4: </v>
      </c>
      <c r="D164" s="541" t="s">
        <v>279</v>
      </c>
      <c r="E164" s="518" t="s">
        <v>104</v>
      </c>
      <c r="F164" s="547"/>
      <c r="G164" s="547"/>
      <c r="H164" s="547"/>
      <c r="I164" s="547"/>
      <c r="J164" s="547"/>
      <c r="K164" s="547"/>
      <c r="L164" s="547"/>
      <c r="M164" s="547"/>
      <c r="N164" s="547"/>
      <c r="O164" s="547"/>
      <c r="P164" s="547"/>
      <c r="Q164" s="547"/>
      <c r="R164" s="547"/>
      <c r="S164" s="547"/>
      <c r="T164" s="547"/>
      <c r="U164" s="547"/>
      <c r="V164" s="547"/>
      <c r="W164" s="547"/>
      <c r="X164" s="547"/>
      <c r="Y164" s="547"/>
      <c r="Z164" s="547"/>
      <c r="AA164" s="446"/>
      <c r="AB164" s="447"/>
    </row>
    <row r="165" spans="2:28" x14ac:dyDescent="0.2">
      <c r="B165" s="445"/>
      <c r="C165" s="688" t="str">
        <f t="shared" si="33"/>
        <v xml:space="preserve">Option 4: </v>
      </c>
      <c r="D165" s="541" t="s">
        <v>280</v>
      </c>
      <c r="E165" s="518" t="s">
        <v>104</v>
      </c>
      <c r="F165" s="547"/>
      <c r="G165" s="547"/>
      <c r="H165" s="547"/>
      <c r="I165" s="547"/>
      <c r="J165" s="547"/>
      <c r="K165" s="547"/>
      <c r="L165" s="547"/>
      <c r="M165" s="547"/>
      <c r="N165" s="547"/>
      <c r="O165" s="547"/>
      <c r="P165" s="547"/>
      <c r="Q165" s="547"/>
      <c r="R165" s="547"/>
      <c r="S165" s="547"/>
      <c r="T165" s="547"/>
      <c r="U165" s="547"/>
      <c r="V165" s="547"/>
      <c r="W165" s="547"/>
      <c r="X165" s="547"/>
      <c r="Y165" s="547"/>
      <c r="Z165" s="547"/>
      <c r="AA165" s="446"/>
      <c r="AB165" s="447"/>
    </row>
    <row r="166" spans="2:28" x14ac:dyDescent="0.2">
      <c r="B166" s="445"/>
      <c r="C166" s="688" t="str">
        <f t="shared" si="33"/>
        <v xml:space="preserve">Option 4: </v>
      </c>
      <c r="D166" s="541" t="s">
        <v>281</v>
      </c>
      <c r="E166" s="518" t="s">
        <v>104</v>
      </c>
      <c r="F166" s="547"/>
      <c r="G166" s="547"/>
      <c r="H166" s="547"/>
      <c r="I166" s="547"/>
      <c r="J166" s="547"/>
      <c r="K166" s="547"/>
      <c r="L166" s="547"/>
      <c r="M166" s="547"/>
      <c r="N166" s="547"/>
      <c r="O166" s="547"/>
      <c r="P166" s="547"/>
      <c r="Q166" s="547"/>
      <c r="R166" s="547"/>
      <c r="S166" s="547"/>
      <c r="T166" s="547"/>
      <c r="U166" s="547"/>
      <c r="V166" s="547"/>
      <c r="W166" s="547"/>
      <c r="X166" s="547"/>
      <c r="Y166" s="547"/>
      <c r="Z166" s="547"/>
      <c r="AA166" s="446"/>
      <c r="AB166" s="447"/>
    </row>
    <row r="167" spans="2:28" x14ac:dyDescent="0.2">
      <c r="B167" s="445"/>
      <c r="C167" s="688" t="str">
        <f t="shared" si="33"/>
        <v xml:space="preserve">Option 4: </v>
      </c>
      <c r="D167" s="541" t="s">
        <v>282</v>
      </c>
      <c r="E167" s="518" t="s">
        <v>104</v>
      </c>
      <c r="F167" s="547"/>
      <c r="G167" s="547"/>
      <c r="H167" s="547"/>
      <c r="I167" s="547"/>
      <c r="J167" s="547"/>
      <c r="K167" s="547"/>
      <c r="L167" s="547"/>
      <c r="M167" s="547"/>
      <c r="N167" s="547"/>
      <c r="O167" s="547"/>
      <c r="P167" s="547"/>
      <c r="Q167" s="547"/>
      <c r="R167" s="547"/>
      <c r="S167" s="547"/>
      <c r="T167" s="547"/>
      <c r="U167" s="547"/>
      <c r="V167" s="547"/>
      <c r="W167" s="547"/>
      <c r="X167" s="547"/>
      <c r="Y167" s="547"/>
      <c r="Z167" s="547"/>
      <c r="AA167" s="446"/>
      <c r="AB167" s="447"/>
    </row>
    <row r="168" spans="2:28" x14ac:dyDescent="0.2">
      <c r="B168" s="445"/>
      <c r="C168" s="446"/>
      <c r="D168" s="531"/>
      <c r="E168" s="532"/>
      <c r="F168" s="446"/>
      <c r="G168" s="446"/>
      <c r="H168" s="446"/>
      <c r="I168" s="446"/>
      <c r="J168" s="446"/>
      <c r="K168" s="511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1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1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1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19"/>
      <c r="E171" s="520"/>
      <c r="F171" s="521">
        <f>G12</f>
        <v>2018</v>
      </c>
      <c r="G171" s="522">
        <f>F171+1</f>
        <v>2019</v>
      </c>
      <c r="H171" s="522">
        <f t="shared" ref="H171:Z171" si="34">G171+1</f>
        <v>2020</v>
      </c>
      <c r="I171" s="522">
        <f t="shared" si="34"/>
        <v>2021</v>
      </c>
      <c r="J171" s="522">
        <f t="shared" si="34"/>
        <v>2022</v>
      </c>
      <c r="K171" s="522">
        <f t="shared" si="34"/>
        <v>2023</v>
      </c>
      <c r="L171" s="522">
        <f t="shared" si="34"/>
        <v>2024</v>
      </c>
      <c r="M171" s="522">
        <f t="shared" si="34"/>
        <v>2025</v>
      </c>
      <c r="N171" s="522">
        <f t="shared" si="34"/>
        <v>2026</v>
      </c>
      <c r="O171" s="522">
        <f t="shared" si="34"/>
        <v>2027</v>
      </c>
      <c r="P171" s="522">
        <f t="shared" si="34"/>
        <v>2028</v>
      </c>
      <c r="Q171" s="522">
        <f t="shared" si="34"/>
        <v>2029</v>
      </c>
      <c r="R171" s="522">
        <f t="shared" si="34"/>
        <v>2030</v>
      </c>
      <c r="S171" s="522">
        <f t="shared" si="34"/>
        <v>2031</v>
      </c>
      <c r="T171" s="522">
        <f t="shared" si="34"/>
        <v>2032</v>
      </c>
      <c r="U171" s="522">
        <f t="shared" si="34"/>
        <v>2033</v>
      </c>
      <c r="V171" s="522">
        <f t="shared" si="34"/>
        <v>2034</v>
      </c>
      <c r="W171" s="522">
        <f t="shared" si="34"/>
        <v>2035</v>
      </c>
      <c r="X171" s="522">
        <f t="shared" si="34"/>
        <v>2036</v>
      </c>
      <c r="Y171" s="522">
        <f t="shared" si="34"/>
        <v>2037</v>
      </c>
      <c r="Z171" s="522">
        <f t="shared" si="34"/>
        <v>2038</v>
      </c>
      <c r="AA171" s="446"/>
      <c r="AB171" s="447"/>
    </row>
    <row r="172" spans="2:28" x14ac:dyDescent="0.2">
      <c r="B172" s="445"/>
      <c r="C172" s="688" t="str">
        <f>$C$20</f>
        <v xml:space="preserve">Option 5: </v>
      </c>
      <c r="D172" s="541" t="str">
        <f>$D$27</f>
        <v>Maintenance Costs</v>
      </c>
      <c r="E172" s="518" t="s">
        <v>104</v>
      </c>
      <c r="F172" s="281"/>
      <c r="G172" s="536"/>
      <c r="H172" s="536"/>
      <c r="I172" s="536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2"/>
      <c r="E173" s="532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1" t="str">
        <f>IF($I$8=1,"Negative Impact on Revenue (STPIS)",0)</f>
        <v>Negative Impact on Revenue (STPIS)</v>
      </c>
      <c r="E174" s="527">
        <v>5</v>
      </c>
      <c r="F174" s="521">
        <f>G12</f>
        <v>2018</v>
      </c>
      <c r="G174" s="522">
        <f t="shared" ref="G174:Z174" si="35">F174+1</f>
        <v>2019</v>
      </c>
      <c r="H174" s="522">
        <f t="shared" si="35"/>
        <v>2020</v>
      </c>
      <c r="I174" s="522">
        <f t="shared" si="35"/>
        <v>2021</v>
      </c>
      <c r="J174" s="522">
        <f t="shared" si="35"/>
        <v>2022</v>
      </c>
      <c r="K174" s="522">
        <f t="shared" si="35"/>
        <v>2023</v>
      </c>
      <c r="L174" s="522">
        <f t="shared" si="35"/>
        <v>2024</v>
      </c>
      <c r="M174" s="522">
        <f t="shared" si="35"/>
        <v>2025</v>
      </c>
      <c r="N174" s="522">
        <f t="shared" si="35"/>
        <v>2026</v>
      </c>
      <c r="O174" s="522">
        <f t="shared" si="35"/>
        <v>2027</v>
      </c>
      <c r="P174" s="522">
        <f t="shared" si="35"/>
        <v>2028</v>
      </c>
      <c r="Q174" s="522">
        <f t="shared" si="35"/>
        <v>2029</v>
      </c>
      <c r="R174" s="522">
        <f t="shared" si="35"/>
        <v>2030</v>
      </c>
      <c r="S174" s="522">
        <f t="shared" si="35"/>
        <v>2031</v>
      </c>
      <c r="T174" s="522">
        <f t="shared" si="35"/>
        <v>2032</v>
      </c>
      <c r="U174" s="522">
        <f t="shared" si="35"/>
        <v>2033</v>
      </c>
      <c r="V174" s="522">
        <f t="shared" si="35"/>
        <v>2034</v>
      </c>
      <c r="W174" s="522">
        <f t="shared" si="35"/>
        <v>2035</v>
      </c>
      <c r="X174" s="522">
        <f t="shared" si="35"/>
        <v>2036</v>
      </c>
      <c r="Y174" s="522">
        <f t="shared" si="35"/>
        <v>2037</v>
      </c>
      <c r="Z174" s="522">
        <f t="shared" si="35"/>
        <v>2038</v>
      </c>
      <c r="AA174" s="446"/>
      <c r="AB174" s="447"/>
    </row>
    <row r="175" spans="2:28" x14ac:dyDescent="0.2">
      <c r="B175" s="445"/>
      <c r="C175" s="688" t="str">
        <f>$C$20</f>
        <v xml:space="preserve">Option 5: </v>
      </c>
      <c r="D175" s="543" t="str">
        <f>IF($I$8=1,"SAIFI sustained",0)</f>
        <v>SAIFI sustained</v>
      </c>
      <c r="E175" s="528" t="s">
        <v>148</v>
      </c>
      <c r="F175" s="523">
        <v>0</v>
      </c>
      <c r="G175" s="529">
        <f>IF($E$174=1,0,IF(OR($E$174=2,$E$174=3,$E$174=4,$E$174=5),$F$175))</f>
        <v>0</v>
      </c>
      <c r="H175" s="529">
        <f>IF($E$174=1,0,IF(OR($E$174=2,$E$174=3,$E$174=4,$E$174=5),$F$175))</f>
        <v>0</v>
      </c>
      <c r="I175" s="529">
        <f>IF($E$174=1,0,IF(OR($E$174=2,$E$174=3,$E$174=4,$E$174=5),$F$175))</f>
        <v>0</v>
      </c>
      <c r="J175" s="529">
        <f>IF($E$174=1,0,IF(OR($E$174=2,$E$174=3,$E$174=4,$E$174=5),$F$175))</f>
        <v>0</v>
      </c>
      <c r="K175" s="529">
        <f>IF($E$174=1,0,IF(OR($E$174=2,$E$174=3,$E$174=4,$E$174=5),$F$175))</f>
        <v>0</v>
      </c>
      <c r="L175" s="524"/>
      <c r="M175" s="529">
        <f>IF(OR($E$174=1,$E$174=2),0,$L$175)</f>
        <v>0</v>
      </c>
      <c r="N175" s="529">
        <f>IF(OR($E$174=1,$E$174=2),0,$L$175)</f>
        <v>0</v>
      </c>
      <c r="O175" s="529">
        <f>IF(OR($E$174=1,$E$174=2),0,$L$175)</f>
        <v>0</v>
      </c>
      <c r="P175" s="529">
        <f>IF(OR($E$174=1,$E$174=2),0,$L$175)</f>
        <v>0</v>
      </c>
      <c r="Q175" s="529">
        <f>IF(OR($E$174=1,$E$174=2),0,$L$175)</f>
        <v>0</v>
      </c>
      <c r="R175" s="524"/>
      <c r="S175" s="529">
        <f>IF(OR($E$174=1,$E$174=2,$E$174=3),0,$R$175)</f>
        <v>0</v>
      </c>
      <c r="T175" s="529">
        <f>IF(OR($E$174=1,$E$174=2,$E$174=3),0,$R$175)</f>
        <v>0</v>
      </c>
      <c r="U175" s="529">
        <f>IF(OR($E$174=1,$E$174=2,$E$174=3),0,$R$175)</f>
        <v>0</v>
      </c>
      <c r="V175" s="529">
        <f>IF(OR($E$174=1,$E$174=2,$E$174=3),0,$R$175)</f>
        <v>0</v>
      </c>
      <c r="W175" s="529">
        <f>IF(OR($E$174=1,$E$174=2,$E$174=3),0,$R$175)</f>
        <v>0</v>
      </c>
      <c r="X175" s="524"/>
      <c r="Y175" s="529">
        <f>IF($E$174=5,$X$175,0)</f>
        <v>0</v>
      </c>
      <c r="Z175" s="529">
        <f>IF($E$174=5,$X$175,0)</f>
        <v>0</v>
      </c>
      <c r="AA175" s="446"/>
      <c r="AB175" s="447"/>
    </row>
    <row r="176" spans="2:28" x14ac:dyDescent="0.2">
      <c r="B176" s="445"/>
      <c r="C176" s="688" t="str">
        <f>$C$20</f>
        <v xml:space="preserve">Option 5: </v>
      </c>
      <c r="D176" s="543" t="str">
        <f>IF($I$8=1,"SAIDI accidental",0)</f>
        <v>SAIDI accidental</v>
      </c>
      <c r="E176" s="528" t="s">
        <v>149</v>
      </c>
      <c r="F176" s="523">
        <v>0</v>
      </c>
      <c r="G176" s="529">
        <f>IF($E$174=1,0,IF(OR($E$174=2,$E$174=3,$E$174=4,$E$174=5),$F$176))</f>
        <v>0</v>
      </c>
      <c r="H176" s="529">
        <f>IF($E$174=1,0,IF(OR($E$174=2,$E$174=3,$E$174=4,$E$174=5),$F$176))</f>
        <v>0</v>
      </c>
      <c r="I176" s="529">
        <f>IF($E$174=1,0,IF(OR($E$174=2,$E$174=3,$E$174=4,$E$174=5),$F$176))</f>
        <v>0</v>
      </c>
      <c r="J176" s="529">
        <f>IF($E$174=1,0,IF(OR($E$174=2,$E$174=3,$E$174=4,$E$174=5),$F$176))</f>
        <v>0</v>
      </c>
      <c r="K176" s="529">
        <f>IF($E$174=1,0,IF(OR($E$174=2,$E$174=3,$E$174=4,$E$174=5),$F$176))</f>
        <v>0</v>
      </c>
      <c r="L176" s="524"/>
      <c r="M176" s="529">
        <f>IF(OR($E$174=1,$E$174=2),0,$L$176)</f>
        <v>0</v>
      </c>
      <c r="N176" s="529">
        <f>IF(OR($E$174=1,$E$174=2),0,$L$176)</f>
        <v>0</v>
      </c>
      <c r="O176" s="529">
        <f>IF(OR($E$174=1,$E$174=2),0,$L$176)</f>
        <v>0</v>
      </c>
      <c r="P176" s="529">
        <f>IF(OR($E$174=1,$E$174=2),0,$L$176)</f>
        <v>0</v>
      </c>
      <c r="Q176" s="529">
        <f>IF(OR($E$174=1,$E$174=2),0,$L$176)</f>
        <v>0</v>
      </c>
      <c r="R176" s="524"/>
      <c r="S176" s="529">
        <f>IF(OR($E$174=1,$E$174=2,$E$174=3),0,$R$176)</f>
        <v>0</v>
      </c>
      <c r="T176" s="529">
        <f>IF(OR($E$174=1,$E$174=2,$E$174=3),0,$R$176)</f>
        <v>0</v>
      </c>
      <c r="U176" s="529">
        <f>IF(OR($E$174=1,$E$174=2,$E$174=3),0,$R$176)</f>
        <v>0</v>
      </c>
      <c r="V176" s="529">
        <f>IF(OR($E$174=1,$E$174=2,$E$174=3),0,$R$176)</f>
        <v>0</v>
      </c>
      <c r="W176" s="529">
        <f>IF(OR($E$174=1,$E$174=2,$E$174=3),0,$R$176)</f>
        <v>0</v>
      </c>
      <c r="X176" s="524"/>
      <c r="Y176" s="529">
        <f>IF($E$174=5,$X$176,0)</f>
        <v>0</v>
      </c>
      <c r="Z176" s="529">
        <f>IF($E$174=5,$X$176,0)</f>
        <v>0</v>
      </c>
      <c r="AA176" s="446"/>
      <c r="AB176" s="447"/>
    </row>
    <row r="177" spans="2:28" x14ac:dyDescent="0.2">
      <c r="B177" s="445"/>
      <c r="C177" s="688" t="str">
        <f>$C$20</f>
        <v xml:space="preserve">Option 5: </v>
      </c>
      <c r="D177" s="543" t="str">
        <f>IF($I$8=1,"MAIFI momentary",0)</f>
        <v>MAIFI momentary</v>
      </c>
      <c r="E177" s="528" t="s">
        <v>148</v>
      </c>
      <c r="F177" s="524"/>
      <c r="G177" s="529">
        <f>IF($E$116=1,0,IF(OR($E$116=2,$E$116=3,$E$116=4,$E$116=5),$F$119))</f>
        <v>0</v>
      </c>
      <c r="H177" s="529">
        <f>IF($E$116=1,0,IF(OR($E$116=2,$E$116=3,$E$116=4,$E$116=5),$F$119))</f>
        <v>0</v>
      </c>
      <c r="I177" s="529">
        <f>IF($E$116=1,0,IF(OR($E$116=2,$E$116=3,$E$116=4,$E$116=5),$F$119))</f>
        <v>0</v>
      </c>
      <c r="J177" s="529">
        <f>IF($E$116=1,0,IF(OR($E$116=2,$E$116=3,$E$116=4,$E$116=5),$F$119))</f>
        <v>0</v>
      </c>
      <c r="K177" s="529">
        <f>IF($E$116=1,0,IF(OR($E$116=2,$E$116=3,$E$116=4,$E$116=5),$F$119))</f>
        <v>0</v>
      </c>
      <c r="L177" s="524"/>
      <c r="M177" s="529">
        <f>IF(OR($E$116=1,$E$116=2),0,$L$119)</f>
        <v>0</v>
      </c>
      <c r="N177" s="529">
        <f>IF(OR($E$116=1,$E$116=2),0,$L$119)</f>
        <v>0</v>
      </c>
      <c r="O177" s="529">
        <f>IF(OR($E$116=1,$E$116=2),0,$L$119)</f>
        <v>0</v>
      </c>
      <c r="P177" s="529">
        <f>IF(OR($E$116=1,$E$116=2),0,$L$119)</f>
        <v>0</v>
      </c>
      <c r="Q177" s="529">
        <f>IF(OR($E$116=1,$E$116=2),0,$L$119)</f>
        <v>0</v>
      </c>
      <c r="R177" s="524"/>
      <c r="S177" s="529">
        <f>IF(OR($E$116=1,$E$116=2,$E$116=3),0,$R$119)</f>
        <v>0</v>
      </c>
      <c r="T177" s="529">
        <f>IF(OR($E$116=1,$E$116=2,$E$116=3),0,$R$119)</f>
        <v>0</v>
      </c>
      <c r="U177" s="529">
        <f>IF(OR($E$116=1,$E$116=2,$E$116=3),0,$R$119)</f>
        <v>0</v>
      </c>
      <c r="V177" s="529">
        <f>IF(OR($E$116=1,$E$116=2,$E$116=3),0,$R$119)</f>
        <v>0</v>
      </c>
      <c r="W177" s="529">
        <f>IF(OR($E$116=1,$E$116=2,$E$116=3),0,$R$119)</f>
        <v>0</v>
      </c>
      <c r="X177" s="524"/>
      <c r="Y177" s="529">
        <f>IF($E$116=5,$X$119,0)</f>
        <v>0</v>
      </c>
      <c r="Z177" s="529">
        <f>IF($E$116=5,$X$119,0)</f>
        <v>0</v>
      </c>
      <c r="AA177" s="446"/>
      <c r="AB177" s="447"/>
    </row>
    <row r="178" spans="2:28" x14ac:dyDescent="0.2">
      <c r="B178" s="445"/>
      <c r="C178" s="688" t="str">
        <f>$C$20</f>
        <v xml:space="preserve">Option 5: </v>
      </c>
      <c r="D178" s="543" t="str">
        <f>IF($I$8=1,"Call centre response",0)</f>
        <v>Call centre response</v>
      </c>
      <c r="E178" s="528" t="s">
        <v>150</v>
      </c>
      <c r="F178" s="525"/>
      <c r="G178" s="530">
        <f>IF($E$174=1,0,IF(OR($E$174=2,$E$174=3,$E$174=4,$E$174=5),$F$178))</f>
        <v>0</v>
      </c>
      <c r="H178" s="530">
        <f>IF($E$174=1,0,IF(OR($E$174=2,$E$174=3,$E$174=4,$E$174=5),$F$178))</f>
        <v>0</v>
      </c>
      <c r="I178" s="530">
        <f>IF($E$174=1,0,IF(OR($E$174=2,$E$174=3,$E$174=4,$E$174=5),$F$178))</f>
        <v>0</v>
      </c>
      <c r="J178" s="530">
        <f>IF($E$174=1,0,IF(OR($E$174=2,$E$174=3,$E$174=4,$E$174=5),$F$178))</f>
        <v>0</v>
      </c>
      <c r="K178" s="530">
        <f>IF($E$174=1,0,IF(OR($E$174=2,$E$174=3,$E$174=4,$E$174=5),$F$178))</f>
        <v>0</v>
      </c>
      <c r="L178" s="525"/>
      <c r="M178" s="530">
        <f>IF(OR($E$174=1,$E$174=2),0,$L$178)</f>
        <v>0</v>
      </c>
      <c r="N178" s="530">
        <f>IF(OR($E$174=1,$E$174=2),0,$L$178)</f>
        <v>0</v>
      </c>
      <c r="O178" s="530">
        <f>IF(OR($E$174=1,$E$174=2),0,$L$178)</f>
        <v>0</v>
      </c>
      <c r="P178" s="530">
        <f>IF(OR($E$174=1,$E$174=2),0,$L$178)</f>
        <v>0</v>
      </c>
      <c r="Q178" s="530">
        <f>IF(OR($E$174=1,$E$174=2),0,$L$178)</f>
        <v>0</v>
      </c>
      <c r="R178" s="525"/>
      <c r="S178" s="530">
        <f>IF(OR($E$174=1,$E$174=2,$E$174=3),0,$R$178)</f>
        <v>0</v>
      </c>
      <c r="T178" s="530">
        <f>IF(OR($E$174=1,$E$174=2,$E$174=3),0,$R$178)</f>
        <v>0</v>
      </c>
      <c r="U178" s="530">
        <f>IF(OR($E$174=1,$E$174=2,$E$174=3),0,$R$178)</f>
        <v>0</v>
      </c>
      <c r="V178" s="530">
        <f>IF(OR($E$174=1,$E$174=2,$E$174=3),0,$R$178)</f>
        <v>0</v>
      </c>
      <c r="W178" s="530">
        <f>IF(OR($E$174=1,$E$174=2,$E$174=3),0,$R$178)</f>
        <v>0</v>
      </c>
      <c r="X178" s="525"/>
      <c r="Y178" s="530">
        <f>IF($E$174=5,$X$178,0)</f>
        <v>0</v>
      </c>
      <c r="Z178" s="530">
        <f>IF($E$174=5,$X$178,0)</f>
        <v>0</v>
      </c>
      <c r="AA178" s="446"/>
      <c r="AB178" s="447"/>
    </row>
    <row r="179" spans="2:28" x14ac:dyDescent="0.2">
      <c r="B179" s="445"/>
      <c r="C179" s="446"/>
      <c r="D179" s="544"/>
      <c r="E179" s="533"/>
      <c r="F179" s="534"/>
      <c r="G179" s="535"/>
      <c r="H179" s="535"/>
      <c r="I179" s="535"/>
      <c r="J179" s="535"/>
      <c r="K179" s="535"/>
      <c r="L179" s="535"/>
      <c r="M179" s="535"/>
      <c r="N179" s="535"/>
      <c r="O179" s="535"/>
      <c r="P179" s="535"/>
      <c r="Q179" s="535"/>
      <c r="R179" s="535"/>
      <c r="S179" s="535"/>
      <c r="T179" s="535"/>
      <c r="U179" s="535"/>
      <c r="V179" s="535"/>
      <c r="W179" s="535"/>
      <c r="X179" s="535"/>
      <c r="Y179" s="535"/>
      <c r="Z179" s="535"/>
      <c r="AA179" s="446"/>
      <c r="AB179" s="447"/>
    </row>
    <row r="180" spans="2:28" x14ac:dyDescent="0.2">
      <c r="B180" s="445"/>
      <c r="C180" s="446"/>
      <c r="D180" s="541" t="str">
        <f>$D$35</f>
        <v>Network Outage Costs</v>
      </c>
      <c r="E180" s="527"/>
      <c r="F180" s="521">
        <f>G12</f>
        <v>2018</v>
      </c>
      <c r="G180" s="522">
        <f t="shared" ref="G180:Z180" si="36">F180+1</f>
        <v>2019</v>
      </c>
      <c r="H180" s="522">
        <f t="shared" si="36"/>
        <v>2020</v>
      </c>
      <c r="I180" s="522">
        <f t="shared" si="36"/>
        <v>2021</v>
      </c>
      <c r="J180" s="522">
        <f t="shared" si="36"/>
        <v>2022</v>
      </c>
      <c r="K180" s="522">
        <f t="shared" si="36"/>
        <v>2023</v>
      </c>
      <c r="L180" s="522">
        <f t="shared" si="36"/>
        <v>2024</v>
      </c>
      <c r="M180" s="522">
        <f t="shared" si="36"/>
        <v>2025</v>
      </c>
      <c r="N180" s="522">
        <f t="shared" si="36"/>
        <v>2026</v>
      </c>
      <c r="O180" s="522">
        <f t="shared" si="36"/>
        <v>2027</v>
      </c>
      <c r="P180" s="522">
        <f t="shared" si="36"/>
        <v>2028</v>
      </c>
      <c r="Q180" s="522">
        <f t="shared" si="36"/>
        <v>2029</v>
      </c>
      <c r="R180" s="522">
        <f t="shared" si="36"/>
        <v>2030</v>
      </c>
      <c r="S180" s="522">
        <f t="shared" si="36"/>
        <v>2031</v>
      </c>
      <c r="T180" s="522">
        <f t="shared" si="36"/>
        <v>2032</v>
      </c>
      <c r="U180" s="522">
        <f t="shared" si="36"/>
        <v>2033</v>
      </c>
      <c r="V180" s="522">
        <f t="shared" si="36"/>
        <v>2034</v>
      </c>
      <c r="W180" s="522">
        <f t="shared" si="36"/>
        <v>2035</v>
      </c>
      <c r="X180" s="522">
        <f t="shared" si="36"/>
        <v>2036</v>
      </c>
      <c r="Y180" s="522">
        <f t="shared" si="36"/>
        <v>2037</v>
      </c>
      <c r="Z180" s="522">
        <f t="shared" si="36"/>
        <v>2038</v>
      </c>
      <c r="AA180" s="446"/>
      <c r="AB180" s="447"/>
    </row>
    <row r="181" spans="2:28" x14ac:dyDescent="0.2">
      <c r="B181" s="445"/>
      <c r="C181" s="688" t="str">
        <f>$C$20</f>
        <v xml:space="preserve">Option 5: </v>
      </c>
      <c r="D181" s="543" t="str">
        <f>$D$36</f>
        <v>Customer off supply</v>
      </c>
      <c r="E181" s="528" t="s">
        <v>149</v>
      </c>
      <c r="F181" s="523">
        <f>F176</f>
        <v>0</v>
      </c>
      <c r="G181" s="523">
        <f>G176</f>
        <v>0</v>
      </c>
      <c r="H181" s="536"/>
      <c r="I181" s="536"/>
      <c r="J181" s="536"/>
      <c r="K181" s="536"/>
      <c r="L181" s="536"/>
      <c r="M181" s="536"/>
      <c r="N181" s="536"/>
      <c r="O181" s="536"/>
      <c r="P181" s="536"/>
      <c r="Q181" s="536"/>
      <c r="R181" s="536"/>
      <c r="S181" s="536"/>
      <c r="T181" s="536"/>
      <c r="U181" s="536"/>
      <c r="V181" s="536"/>
      <c r="W181" s="536"/>
      <c r="X181" s="536"/>
      <c r="Y181" s="536"/>
      <c r="Z181" s="536"/>
      <c r="AA181" s="446"/>
      <c r="AB181" s="447"/>
    </row>
    <row r="182" spans="2:28" x14ac:dyDescent="0.2">
      <c r="B182" s="445"/>
      <c r="C182" s="446"/>
      <c r="D182" s="542"/>
      <c r="E182" s="533"/>
      <c r="F182" s="538"/>
      <c r="G182" s="538"/>
      <c r="H182" s="538"/>
      <c r="I182" s="538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8"/>
      <c r="V182" s="538"/>
      <c r="W182" s="538"/>
      <c r="X182" s="538"/>
      <c r="Y182" s="538"/>
      <c r="Z182" s="538"/>
      <c r="AA182" s="446"/>
      <c r="AB182" s="447"/>
    </row>
    <row r="183" spans="2:28" x14ac:dyDescent="0.2">
      <c r="B183" s="445"/>
      <c r="C183" s="446"/>
      <c r="D183" s="541" t="str">
        <f>D184</f>
        <v>Loss of F Factor Benefit</v>
      </c>
      <c r="E183" s="526"/>
      <c r="F183" s="521">
        <f>G12</f>
        <v>2018</v>
      </c>
      <c r="G183" s="522">
        <f t="shared" ref="G183:Z183" si="37">F183+1</f>
        <v>2019</v>
      </c>
      <c r="H183" s="522">
        <f t="shared" si="37"/>
        <v>2020</v>
      </c>
      <c r="I183" s="522">
        <f t="shared" si="37"/>
        <v>2021</v>
      </c>
      <c r="J183" s="522">
        <f t="shared" si="37"/>
        <v>2022</v>
      </c>
      <c r="K183" s="522">
        <f t="shared" si="37"/>
        <v>2023</v>
      </c>
      <c r="L183" s="522">
        <f t="shared" si="37"/>
        <v>2024</v>
      </c>
      <c r="M183" s="522">
        <f t="shared" si="37"/>
        <v>2025</v>
      </c>
      <c r="N183" s="522">
        <f t="shared" si="37"/>
        <v>2026</v>
      </c>
      <c r="O183" s="522">
        <f t="shared" si="37"/>
        <v>2027</v>
      </c>
      <c r="P183" s="522">
        <f t="shared" si="37"/>
        <v>2028</v>
      </c>
      <c r="Q183" s="522">
        <f t="shared" si="37"/>
        <v>2029</v>
      </c>
      <c r="R183" s="522">
        <f t="shared" si="37"/>
        <v>2030</v>
      </c>
      <c r="S183" s="522">
        <f t="shared" si="37"/>
        <v>2031</v>
      </c>
      <c r="T183" s="522">
        <f t="shared" si="37"/>
        <v>2032</v>
      </c>
      <c r="U183" s="522">
        <f t="shared" si="37"/>
        <v>2033</v>
      </c>
      <c r="V183" s="522">
        <f t="shared" si="37"/>
        <v>2034</v>
      </c>
      <c r="W183" s="522">
        <f t="shared" si="37"/>
        <v>2035</v>
      </c>
      <c r="X183" s="522">
        <f t="shared" si="37"/>
        <v>2036</v>
      </c>
      <c r="Y183" s="522">
        <f t="shared" si="37"/>
        <v>2037</v>
      </c>
      <c r="Z183" s="522">
        <f t="shared" si="37"/>
        <v>2038</v>
      </c>
      <c r="AA183" s="446"/>
      <c r="AB183" s="447"/>
    </row>
    <row r="184" spans="2:28" x14ac:dyDescent="0.2">
      <c r="B184" s="445"/>
      <c r="C184" s="688" t="str">
        <f>$C$20</f>
        <v xml:space="preserve">Option 5: </v>
      </c>
      <c r="D184" s="545" t="str">
        <f>$D$39</f>
        <v>Loss of F Factor Benefit</v>
      </c>
      <c r="E184" s="540" t="str">
        <f>$E$39</f>
        <v>(No. of fire start NOT avoided)</v>
      </c>
      <c r="F184" s="539"/>
      <c r="G184" s="539"/>
      <c r="H184" s="539"/>
      <c r="I184" s="539"/>
      <c r="J184" s="539"/>
      <c r="K184" s="539"/>
      <c r="L184" s="539"/>
      <c r="M184" s="539"/>
      <c r="N184" s="539"/>
      <c r="O184" s="539"/>
      <c r="P184" s="539"/>
      <c r="Q184" s="539"/>
      <c r="R184" s="539"/>
      <c r="S184" s="539"/>
      <c r="T184" s="539"/>
      <c r="U184" s="539"/>
      <c r="V184" s="539"/>
      <c r="W184" s="539"/>
      <c r="X184" s="539"/>
      <c r="Y184" s="539"/>
      <c r="Z184" s="539"/>
      <c r="AA184" s="446"/>
      <c r="AB184" s="447"/>
    </row>
    <row r="185" spans="2:28" x14ac:dyDescent="0.2">
      <c r="B185" s="445"/>
      <c r="C185" s="446"/>
      <c r="D185" s="537"/>
      <c r="E185" s="533"/>
      <c r="F185" s="538"/>
      <c r="G185" s="538"/>
      <c r="H185" s="538"/>
      <c r="I185" s="538"/>
      <c r="J185" s="538"/>
      <c r="K185" s="538"/>
      <c r="L185" s="538"/>
      <c r="M185" s="538"/>
      <c r="N185" s="538"/>
      <c r="O185" s="538"/>
      <c r="P185" s="538"/>
      <c r="Q185" s="538"/>
      <c r="R185" s="538"/>
      <c r="S185" s="538"/>
      <c r="T185" s="538"/>
      <c r="U185" s="538"/>
      <c r="V185" s="538"/>
      <c r="W185" s="538"/>
      <c r="X185" s="538"/>
      <c r="Y185" s="538"/>
      <c r="Z185" s="538"/>
      <c r="AA185" s="446"/>
      <c r="AB185" s="447"/>
    </row>
    <row r="186" spans="2:28" x14ac:dyDescent="0.2">
      <c r="B186" s="445"/>
      <c r="C186" s="446"/>
      <c r="D186" s="541" t="s">
        <v>116</v>
      </c>
      <c r="E186" s="526"/>
      <c r="F186" s="521">
        <f>G12</f>
        <v>2018</v>
      </c>
      <c r="G186" s="522">
        <f t="shared" ref="G186:Z186" si="38">F186+1</f>
        <v>2019</v>
      </c>
      <c r="H186" s="522">
        <f t="shared" si="38"/>
        <v>2020</v>
      </c>
      <c r="I186" s="522">
        <f t="shared" si="38"/>
        <v>2021</v>
      </c>
      <c r="J186" s="522">
        <f t="shared" si="38"/>
        <v>2022</v>
      </c>
      <c r="K186" s="522">
        <f t="shared" si="38"/>
        <v>2023</v>
      </c>
      <c r="L186" s="522">
        <f t="shared" si="38"/>
        <v>2024</v>
      </c>
      <c r="M186" s="522">
        <f t="shared" si="38"/>
        <v>2025</v>
      </c>
      <c r="N186" s="522">
        <f t="shared" si="38"/>
        <v>2026</v>
      </c>
      <c r="O186" s="522">
        <f t="shared" si="38"/>
        <v>2027</v>
      </c>
      <c r="P186" s="522">
        <f t="shared" si="38"/>
        <v>2028</v>
      </c>
      <c r="Q186" s="522">
        <f t="shared" si="38"/>
        <v>2029</v>
      </c>
      <c r="R186" s="522">
        <f t="shared" si="38"/>
        <v>2030</v>
      </c>
      <c r="S186" s="522">
        <f t="shared" si="38"/>
        <v>2031</v>
      </c>
      <c r="T186" s="522">
        <f t="shared" si="38"/>
        <v>2032</v>
      </c>
      <c r="U186" s="522">
        <f t="shared" si="38"/>
        <v>2033</v>
      </c>
      <c r="V186" s="522">
        <f t="shared" si="38"/>
        <v>2034</v>
      </c>
      <c r="W186" s="522">
        <f t="shared" si="38"/>
        <v>2035</v>
      </c>
      <c r="X186" s="522">
        <f t="shared" si="38"/>
        <v>2036</v>
      </c>
      <c r="Y186" s="522">
        <f t="shared" si="38"/>
        <v>2037</v>
      </c>
      <c r="Z186" s="522">
        <f t="shared" si="38"/>
        <v>2038</v>
      </c>
      <c r="AA186" s="446"/>
      <c r="AB186" s="447"/>
    </row>
    <row r="187" spans="2:28" x14ac:dyDescent="0.2">
      <c r="B187" s="445"/>
      <c r="C187" s="688" t="str">
        <f t="shared" ref="C187:C196" si="39">$C$20</f>
        <v xml:space="preserve">Option 5: </v>
      </c>
      <c r="D187" s="541" t="str">
        <f>$D$42</f>
        <v>Cost 1</v>
      </c>
      <c r="E187" s="518" t="s">
        <v>104</v>
      </c>
      <c r="F187" s="547"/>
      <c r="G187" s="547"/>
      <c r="H187" s="547"/>
      <c r="I187" s="547"/>
      <c r="J187" s="547"/>
      <c r="K187" s="547"/>
      <c r="L187" s="547"/>
      <c r="M187" s="547"/>
      <c r="N187" s="547"/>
      <c r="O187" s="547"/>
      <c r="P187" s="547"/>
      <c r="Q187" s="547"/>
      <c r="R187" s="547"/>
      <c r="S187" s="547"/>
      <c r="T187" s="547"/>
      <c r="U187" s="547"/>
      <c r="V187" s="547"/>
      <c r="W187" s="547"/>
      <c r="X187" s="547"/>
      <c r="Y187" s="547"/>
      <c r="Z187" s="547"/>
      <c r="AA187" s="446"/>
      <c r="AB187" s="447"/>
    </row>
    <row r="188" spans="2:28" x14ac:dyDescent="0.2">
      <c r="B188" s="445"/>
      <c r="C188" s="688" t="str">
        <f t="shared" si="39"/>
        <v xml:space="preserve">Option 5: </v>
      </c>
      <c r="D188" s="541" t="str">
        <f>$D$43</f>
        <v>Cost 2</v>
      </c>
      <c r="E188" s="518" t="s">
        <v>104</v>
      </c>
      <c r="F188" s="548"/>
      <c r="G188" s="548"/>
      <c r="H188" s="548"/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548"/>
      <c r="Z188" s="548"/>
      <c r="AA188" s="446"/>
      <c r="AB188" s="447"/>
    </row>
    <row r="189" spans="2:28" x14ac:dyDescent="0.2">
      <c r="B189" s="445"/>
      <c r="C189" s="688" t="str">
        <f t="shared" si="39"/>
        <v xml:space="preserve">Option 5: </v>
      </c>
      <c r="D189" s="541" t="str">
        <f>$D$44</f>
        <v>Cost 3</v>
      </c>
      <c r="E189" s="518" t="s">
        <v>104</v>
      </c>
      <c r="F189" s="549"/>
      <c r="G189" s="549"/>
      <c r="H189" s="549"/>
      <c r="I189" s="549"/>
      <c r="J189" s="549"/>
      <c r="K189" s="549"/>
      <c r="L189" s="549"/>
      <c r="M189" s="549"/>
      <c r="N189" s="549"/>
      <c r="O189" s="549"/>
      <c r="P189" s="549"/>
      <c r="Q189" s="549"/>
      <c r="R189" s="549"/>
      <c r="S189" s="549"/>
      <c r="T189" s="549"/>
      <c r="U189" s="549"/>
      <c r="V189" s="549"/>
      <c r="W189" s="549"/>
      <c r="X189" s="549"/>
      <c r="Y189" s="549"/>
      <c r="Z189" s="549"/>
      <c r="AA189" s="446"/>
      <c r="AB189" s="447"/>
    </row>
    <row r="190" spans="2:28" x14ac:dyDescent="0.2">
      <c r="B190" s="445"/>
      <c r="C190" s="688" t="str">
        <f t="shared" si="39"/>
        <v xml:space="preserve">Option 5: </v>
      </c>
      <c r="D190" s="541" t="str">
        <f>$D$45</f>
        <v>Cost 4</v>
      </c>
      <c r="E190" s="518" t="s">
        <v>104</v>
      </c>
      <c r="F190" s="549"/>
      <c r="G190" s="549"/>
      <c r="H190" s="549"/>
      <c r="I190" s="549"/>
      <c r="J190" s="549"/>
      <c r="K190" s="549"/>
      <c r="L190" s="549"/>
      <c r="M190" s="549"/>
      <c r="N190" s="549"/>
      <c r="O190" s="549"/>
      <c r="P190" s="549"/>
      <c r="Q190" s="549"/>
      <c r="R190" s="549"/>
      <c r="S190" s="549"/>
      <c r="T190" s="549"/>
      <c r="U190" s="549"/>
      <c r="V190" s="549"/>
      <c r="W190" s="549"/>
      <c r="X190" s="549"/>
      <c r="Y190" s="549"/>
      <c r="Z190" s="549"/>
      <c r="AA190" s="446"/>
      <c r="AB190" s="447"/>
    </row>
    <row r="191" spans="2:28" x14ac:dyDescent="0.2">
      <c r="B191" s="445"/>
      <c r="C191" s="688" t="str">
        <f t="shared" si="39"/>
        <v xml:space="preserve">Option 5: </v>
      </c>
      <c r="D191" s="541" t="str">
        <f>$D$46</f>
        <v>Cost 5</v>
      </c>
      <c r="E191" s="518" t="s">
        <v>104</v>
      </c>
      <c r="F191" s="549"/>
      <c r="G191" s="549"/>
      <c r="H191" s="549"/>
      <c r="I191" s="549"/>
      <c r="J191" s="549"/>
      <c r="K191" s="549"/>
      <c r="L191" s="549"/>
      <c r="M191" s="549"/>
      <c r="N191" s="549"/>
      <c r="O191" s="549"/>
      <c r="P191" s="549"/>
      <c r="Q191" s="549"/>
      <c r="R191" s="549"/>
      <c r="S191" s="549"/>
      <c r="T191" s="549"/>
      <c r="U191" s="549"/>
      <c r="V191" s="549"/>
      <c r="W191" s="549"/>
      <c r="X191" s="549"/>
      <c r="Y191" s="549"/>
      <c r="Z191" s="549"/>
      <c r="AA191" s="446"/>
      <c r="AB191" s="447"/>
    </row>
    <row r="192" spans="2:28" x14ac:dyDescent="0.2">
      <c r="B192" s="445"/>
      <c r="C192" s="688" t="str">
        <f t="shared" si="39"/>
        <v xml:space="preserve">Option 5: </v>
      </c>
      <c r="D192" s="541" t="s">
        <v>278</v>
      </c>
      <c r="E192" s="518" t="s">
        <v>104</v>
      </c>
      <c r="F192" s="549"/>
      <c r="G192" s="549"/>
      <c r="H192" s="549"/>
      <c r="I192" s="549"/>
      <c r="J192" s="549"/>
      <c r="K192" s="549"/>
      <c r="L192" s="549"/>
      <c r="M192" s="549"/>
      <c r="N192" s="549"/>
      <c r="O192" s="549"/>
      <c r="P192" s="549"/>
      <c r="Q192" s="549"/>
      <c r="R192" s="549"/>
      <c r="S192" s="549"/>
      <c r="T192" s="549"/>
      <c r="U192" s="549"/>
      <c r="V192" s="549"/>
      <c r="W192" s="549"/>
      <c r="X192" s="549"/>
      <c r="Y192" s="549"/>
      <c r="Z192" s="549"/>
      <c r="AA192" s="446"/>
      <c r="AB192" s="447"/>
    </row>
    <row r="193" spans="2:28" x14ac:dyDescent="0.2">
      <c r="B193" s="445"/>
      <c r="C193" s="688" t="str">
        <f t="shared" si="39"/>
        <v xml:space="preserve">Option 5: </v>
      </c>
      <c r="D193" s="541" t="s">
        <v>279</v>
      </c>
      <c r="E193" s="518" t="s">
        <v>104</v>
      </c>
      <c r="F193" s="549"/>
      <c r="G193" s="549"/>
      <c r="H193" s="549"/>
      <c r="I193" s="549"/>
      <c r="J193" s="549"/>
      <c r="K193" s="549"/>
      <c r="L193" s="549"/>
      <c r="M193" s="549"/>
      <c r="N193" s="549"/>
      <c r="O193" s="549"/>
      <c r="P193" s="549"/>
      <c r="Q193" s="549"/>
      <c r="R193" s="549"/>
      <c r="S193" s="549"/>
      <c r="T193" s="549"/>
      <c r="U193" s="549"/>
      <c r="V193" s="549"/>
      <c r="W193" s="549"/>
      <c r="X193" s="549"/>
      <c r="Y193" s="549"/>
      <c r="Z193" s="549"/>
      <c r="AA193" s="446"/>
      <c r="AB193" s="447"/>
    </row>
    <row r="194" spans="2:28" x14ac:dyDescent="0.2">
      <c r="B194" s="445"/>
      <c r="C194" s="688" t="str">
        <f t="shared" si="39"/>
        <v xml:space="preserve">Option 5: </v>
      </c>
      <c r="D194" s="541" t="s">
        <v>280</v>
      </c>
      <c r="E194" s="518" t="s">
        <v>104</v>
      </c>
      <c r="F194" s="549"/>
      <c r="G194" s="549"/>
      <c r="H194" s="549"/>
      <c r="I194" s="549"/>
      <c r="J194" s="549"/>
      <c r="K194" s="549"/>
      <c r="L194" s="549"/>
      <c r="M194" s="549"/>
      <c r="N194" s="549"/>
      <c r="O194" s="549"/>
      <c r="P194" s="549"/>
      <c r="Q194" s="549"/>
      <c r="R194" s="549"/>
      <c r="S194" s="549"/>
      <c r="T194" s="549"/>
      <c r="U194" s="549"/>
      <c r="V194" s="549"/>
      <c r="W194" s="549"/>
      <c r="X194" s="549"/>
      <c r="Y194" s="549"/>
      <c r="Z194" s="549"/>
      <c r="AA194" s="446"/>
      <c r="AB194" s="447"/>
    </row>
    <row r="195" spans="2:28" x14ac:dyDescent="0.2">
      <c r="B195" s="445"/>
      <c r="C195" s="688" t="str">
        <f t="shared" si="39"/>
        <v xml:space="preserve">Option 5: </v>
      </c>
      <c r="D195" s="541" t="s">
        <v>281</v>
      </c>
      <c r="E195" s="518" t="s">
        <v>104</v>
      </c>
      <c r="F195" s="549"/>
      <c r="G195" s="549"/>
      <c r="H195" s="549"/>
      <c r="I195" s="549"/>
      <c r="J195" s="549"/>
      <c r="K195" s="549"/>
      <c r="L195" s="549"/>
      <c r="M195" s="549"/>
      <c r="N195" s="549"/>
      <c r="O195" s="549"/>
      <c r="P195" s="549"/>
      <c r="Q195" s="549"/>
      <c r="R195" s="549"/>
      <c r="S195" s="549"/>
      <c r="T195" s="549"/>
      <c r="U195" s="549"/>
      <c r="V195" s="549"/>
      <c r="W195" s="549"/>
      <c r="X195" s="549"/>
      <c r="Y195" s="549"/>
      <c r="Z195" s="549"/>
      <c r="AA195" s="446"/>
      <c r="AB195" s="447"/>
    </row>
    <row r="196" spans="2:28" x14ac:dyDescent="0.2">
      <c r="B196" s="445"/>
      <c r="C196" s="688" t="str">
        <f t="shared" si="39"/>
        <v xml:space="preserve">Option 5: </v>
      </c>
      <c r="D196" s="541" t="s">
        <v>282</v>
      </c>
      <c r="E196" s="518" t="s">
        <v>104</v>
      </c>
      <c r="F196" s="549"/>
      <c r="G196" s="549"/>
      <c r="H196" s="549"/>
      <c r="I196" s="549"/>
      <c r="J196" s="549"/>
      <c r="K196" s="549"/>
      <c r="L196" s="549"/>
      <c r="M196" s="549"/>
      <c r="N196" s="549"/>
      <c r="O196" s="549"/>
      <c r="P196" s="549"/>
      <c r="Q196" s="549"/>
      <c r="R196" s="549"/>
      <c r="S196" s="549"/>
      <c r="T196" s="549"/>
      <c r="U196" s="549"/>
      <c r="V196" s="549"/>
      <c r="W196" s="549"/>
      <c r="X196" s="549"/>
      <c r="Y196" s="549"/>
      <c r="Z196" s="549"/>
      <c r="AA196" s="446"/>
      <c r="AB196" s="447"/>
    </row>
    <row r="197" spans="2:28" x14ac:dyDescent="0.2">
      <c r="B197" s="445"/>
      <c r="C197" s="446"/>
      <c r="D197" s="531"/>
      <c r="E197" s="532"/>
      <c r="F197" s="446"/>
      <c r="G197" s="446"/>
      <c r="H197" s="446"/>
      <c r="I197" s="446"/>
      <c r="J197" s="446"/>
      <c r="K197" s="511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499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5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1" t="s">
        <v>195</v>
      </c>
      <c r="E200" s="515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5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3" t="s">
        <v>196</v>
      </c>
      <c r="E202" s="554"/>
      <c r="F202" s="555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5"/>
      <c r="E203" s="515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3">
        <f>IF(F202=1,"Is the augmentation component over $5m?",0)</f>
        <v>0</v>
      </c>
      <c r="E204" s="554"/>
      <c r="F204" s="555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5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4"/>
      <c r="F206" s="555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5"/>
      <c r="F207" s="446"/>
      <c r="G207" s="552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6">
        <f>IF(AND(F202=1,F204=1),"Regulatory Investment Test is required!!!",0)</f>
        <v>0</v>
      </c>
      <c r="E208" s="515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7" t="str">
        <f>IF(OR(F202=2,F204=2),"Regulatory Investment Test is not compulsory for this business case, but recommended.",0)</f>
        <v>Regulatory Investment Test is not compulsory for this business case, but recommended.</v>
      </c>
      <c r="E209" s="554"/>
      <c r="F209" s="493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5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5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1" t="s">
        <v>118</v>
      </c>
      <c r="E212" s="515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5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3">
        <v>1</v>
      </c>
      <c r="D214" s="558" t="str">
        <f>IF($F$206=1,"VCR - NOT APPLICABLE","Value of Electricity to Customers (VCR)")</f>
        <v>Value of Electricity to Customers (VCR)</v>
      </c>
      <c r="E214" s="561" t="s">
        <v>217</v>
      </c>
      <c r="F214" s="562" t="s">
        <v>251</v>
      </c>
      <c r="G214" s="562">
        <f t="shared" ref="G214:Z214" si="40">G$186</f>
        <v>2019</v>
      </c>
      <c r="H214" s="562">
        <f t="shared" si="40"/>
        <v>2020</v>
      </c>
      <c r="I214" s="562">
        <f t="shared" si="40"/>
        <v>2021</v>
      </c>
      <c r="J214" s="562">
        <f t="shared" si="40"/>
        <v>2022</v>
      </c>
      <c r="K214" s="562">
        <f t="shared" si="40"/>
        <v>2023</v>
      </c>
      <c r="L214" s="562">
        <f t="shared" si="40"/>
        <v>2024</v>
      </c>
      <c r="M214" s="562">
        <f t="shared" si="40"/>
        <v>2025</v>
      </c>
      <c r="N214" s="562">
        <f t="shared" si="40"/>
        <v>2026</v>
      </c>
      <c r="O214" s="562">
        <f t="shared" si="40"/>
        <v>2027</v>
      </c>
      <c r="P214" s="562">
        <f t="shared" si="40"/>
        <v>2028</v>
      </c>
      <c r="Q214" s="562">
        <f t="shared" si="40"/>
        <v>2029</v>
      </c>
      <c r="R214" s="562">
        <f t="shared" si="40"/>
        <v>2030</v>
      </c>
      <c r="S214" s="562">
        <f t="shared" si="40"/>
        <v>2031</v>
      </c>
      <c r="T214" s="562">
        <f t="shared" si="40"/>
        <v>2032</v>
      </c>
      <c r="U214" s="562">
        <f t="shared" si="40"/>
        <v>2033</v>
      </c>
      <c r="V214" s="562">
        <f t="shared" si="40"/>
        <v>2034</v>
      </c>
      <c r="W214" s="562">
        <f t="shared" si="40"/>
        <v>2035</v>
      </c>
      <c r="X214" s="562">
        <f t="shared" si="40"/>
        <v>2036</v>
      </c>
      <c r="Y214" s="562">
        <f t="shared" si="40"/>
        <v>2037</v>
      </c>
      <c r="Z214" s="562">
        <f t="shared" si="40"/>
        <v>2038</v>
      </c>
      <c r="AA214" s="446"/>
      <c r="AB214" s="447"/>
    </row>
    <row r="215" spans="1:127" x14ac:dyDescent="0.2">
      <c r="B215" s="445"/>
      <c r="C215" s="533"/>
      <c r="D215" s="543" t="str">
        <f>IF($F$206=1,"VCR - N/A",$D$24)</f>
        <v>"Status Quo" Reference Case</v>
      </c>
      <c r="E215" s="559" t="str">
        <f t="shared" ref="E215:E220" si="41">IF($F$206=1," ","(MWh)")</f>
        <v>(MWh)</v>
      </c>
      <c r="F215" s="281"/>
      <c r="G215" s="548">
        <v>1000</v>
      </c>
      <c r="H215" s="548">
        <v>1000</v>
      </c>
      <c r="I215" s="548">
        <v>1000</v>
      </c>
      <c r="J215" s="548">
        <v>1000</v>
      </c>
      <c r="K215" s="548">
        <v>1000</v>
      </c>
      <c r="L215" s="548">
        <v>1000</v>
      </c>
      <c r="M215" s="548">
        <v>1000</v>
      </c>
      <c r="N215" s="548">
        <v>1000</v>
      </c>
      <c r="O215" s="548">
        <v>1000</v>
      </c>
      <c r="P215" s="548">
        <v>1000</v>
      </c>
      <c r="Q215" s="548">
        <v>1000</v>
      </c>
      <c r="R215" s="548">
        <v>1000</v>
      </c>
      <c r="S215" s="548">
        <v>1000</v>
      </c>
      <c r="T215" s="548">
        <v>1000</v>
      </c>
      <c r="U215" s="548">
        <v>1000</v>
      </c>
      <c r="V215" s="548">
        <v>1000</v>
      </c>
      <c r="W215" s="548">
        <v>1000</v>
      </c>
      <c r="X215" s="548">
        <v>1000</v>
      </c>
      <c r="Y215" s="548">
        <v>1000</v>
      </c>
      <c r="Z215" s="548">
        <v>1000</v>
      </c>
      <c r="AA215" s="446"/>
      <c r="AB215" s="447"/>
    </row>
    <row r="216" spans="1:127" x14ac:dyDescent="0.2">
      <c r="B216" s="445"/>
      <c r="C216" s="533"/>
      <c r="D216" s="543" t="str">
        <f>IF($F$206=1,"VCR - N/A",$D$53)</f>
        <v>Option 1: Perform Manual Neutral Integrity where UE Meters are Removed</v>
      </c>
      <c r="E216" s="559" t="str">
        <f t="shared" si="41"/>
        <v>(MWh)</v>
      </c>
      <c r="F216" s="281"/>
      <c r="G216" s="548">
        <v>1000</v>
      </c>
      <c r="H216" s="548">
        <v>1000</v>
      </c>
      <c r="I216" s="548">
        <v>1000</v>
      </c>
      <c r="J216" s="548">
        <v>1000</v>
      </c>
      <c r="K216" s="548">
        <v>1000</v>
      </c>
      <c r="L216" s="548">
        <v>1000</v>
      </c>
      <c r="M216" s="548">
        <v>1000</v>
      </c>
      <c r="N216" s="548">
        <v>1000</v>
      </c>
      <c r="O216" s="548">
        <v>1000</v>
      </c>
      <c r="P216" s="548">
        <v>1000</v>
      </c>
      <c r="Q216" s="548">
        <v>1000</v>
      </c>
      <c r="R216" s="548">
        <v>1000</v>
      </c>
      <c r="S216" s="548">
        <v>1000</v>
      </c>
      <c r="T216" s="548">
        <v>1000</v>
      </c>
      <c r="U216" s="548">
        <v>1000</v>
      </c>
      <c r="V216" s="548">
        <v>1000</v>
      </c>
      <c r="W216" s="548">
        <v>1000</v>
      </c>
      <c r="X216" s="548">
        <v>1000</v>
      </c>
      <c r="Y216" s="548">
        <v>1000</v>
      </c>
      <c r="Z216" s="548">
        <v>1000</v>
      </c>
      <c r="AA216" s="446"/>
      <c r="AB216" s="447"/>
    </row>
    <row r="217" spans="1:127" x14ac:dyDescent="0.2">
      <c r="B217" s="445"/>
      <c r="C217" s="533"/>
      <c r="D217" s="543" t="str">
        <f>IF($F$206=1,"VCR - N/A",$D$82)</f>
        <v>Option 2: Replace / Install Network Devices</v>
      </c>
      <c r="E217" s="559" t="str">
        <f t="shared" si="41"/>
        <v>(MWh)</v>
      </c>
      <c r="F217" s="281"/>
      <c r="G217" s="548">
        <v>1000</v>
      </c>
      <c r="H217" s="548">
        <v>1000</v>
      </c>
      <c r="I217" s="548">
        <v>1000</v>
      </c>
      <c r="J217" s="548">
        <v>1000</v>
      </c>
      <c r="K217" s="548">
        <v>1000</v>
      </c>
      <c r="L217" s="548">
        <v>1000</v>
      </c>
      <c r="M217" s="548">
        <v>1000</v>
      </c>
      <c r="N217" s="548">
        <v>1000</v>
      </c>
      <c r="O217" s="548">
        <v>1000</v>
      </c>
      <c r="P217" s="548">
        <v>1000</v>
      </c>
      <c r="Q217" s="548">
        <v>1000</v>
      </c>
      <c r="R217" s="548">
        <v>1000</v>
      </c>
      <c r="S217" s="548">
        <v>1000</v>
      </c>
      <c r="T217" s="548">
        <v>1000</v>
      </c>
      <c r="U217" s="548">
        <v>1000</v>
      </c>
      <c r="V217" s="548">
        <v>1000</v>
      </c>
      <c r="W217" s="548">
        <v>1000</v>
      </c>
      <c r="X217" s="548">
        <v>1000</v>
      </c>
      <c r="Y217" s="548">
        <v>1000</v>
      </c>
      <c r="Z217" s="548">
        <v>1000</v>
      </c>
      <c r="AA217" s="446"/>
      <c r="AB217" s="447"/>
    </row>
    <row r="218" spans="1:127" x14ac:dyDescent="0.2">
      <c r="B218" s="445"/>
      <c r="C218" s="533"/>
      <c r="D218" s="543" t="str">
        <f>IF($F$206=1,"VCR - N/A",$D$111)</f>
        <v>Option 3: Replace / Install 80% Network Devices, Purchase the Remaining 20% of the AMI data and Control Functionality</v>
      </c>
      <c r="E218" s="559" t="str">
        <f t="shared" si="41"/>
        <v>(MWh)</v>
      </c>
      <c r="F218" s="281"/>
      <c r="G218" s="548">
        <v>1000</v>
      </c>
      <c r="H218" s="548">
        <v>1000</v>
      </c>
      <c r="I218" s="548">
        <v>1000</v>
      </c>
      <c r="J218" s="548">
        <v>1000</v>
      </c>
      <c r="K218" s="548">
        <v>1000</v>
      </c>
      <c r="L218" s="548">
        <v>1000</v>
      </c>
      <c r="M218" s="548">
        <v>1000</v>
      </c>
      <c r="N218" s="548">
        <v>1000</v>
      </c>
      <c r="O218" s="548">
        <v>1000</v>
      </c>
      <c r="P218" s="548">
        <v>1000</v>
      </c>
      <c r="Q218" s="548">
        <v>1000</v>
      </c>
      <c r="R218" s="548">
        <v>1000</v>
      </c>
      <c r="S218" s="548">
        <v>1000</v>
      </c>
      <c r="T218" s="548">
        <v>1000</v>
      </c>
      <c r="U218" s="548">
        <v>1000</v>
      </c>
      <c r="V218" s="548">
        <v>1000</v>
      </c>
      <c r="W218" s="548">
        <v>1000</v>
      </c>
      <c r="X218" s="548">
        <v>1000</v>
      </c>
      <c r="Y218" s="548">
        <v>1000</v>
      </c>
      <c r="Z218" s="548">
        <v>1000</v>
      </c>
      <c r="AA218" s="446"/>
      <c r="AB218" s="447"/>
    </row>
    <row r="219" spans="1:127" x14ac:dyDescent="0.2">
      <c r="B219" s="445"/>
      <c r="C219" s="533"/>
      <c r="D219" s="543" t="str">
        <f>IF($F$206=1,"VCR - N/A",$D$140)</f>
        <v xml:space="preserve">Option 4: </v>
      </c>
      <c r="E219" s="559" t="str">
        <f t="shared" si="41"/>
        <v>(MWh)</v>
      </c>
      <c r="F219" s="281"/>
      <c r="G219" s="548">
        <v>1000</v>
      </c>
      <c r="H219" s="548">
        <v>1000</v>
      </c>
      <c r="I219" s="548">
        <v>1000</v>
      </c>
      <c r="J219" s="548">
        <v>1000</v>
      </c>
      <c r="K219" s="548">
        <v>1000</v>
      </c>
      <c r="L219" s="548">
        <v>1000</v>
      </c>
      <c r="M219" s="548">
        <v>1000</v>
      </c>
      <c r="N219" s="548">
        <v>1000</v>
      </c>
      <c r="O219" s="548">
        <v>1000</v>
      </c>
      <c r="P219" s="548">
        <v>1000</v>
      </c>
      <c r="Q219" s="548">
        <v>1000</v>
      </c>
      <c r="R219" s="548">
        <v>1000</v>
      </c>
      <c r="S219" s="548">
        <v>1000</v>
      </c>
      <c r="T219" s="548">
        <v>1000</v>
      </c>
      <c r="U219" s="548">
        <v>1000</v>
      </c>
      <c r="V219" s="548">
        <v>1000</v>
      </c>
      <c r="W219" s="548">
        <v>1000</v>
      </c>
      <c r="X219" s="548">
        <v>1000</v>
      </c>
      <c r="Y219" s="548">
        <v>1000</v>
      </c>
      <c r="Z219" s="548">
        <v>1000</v>
      </c>
      <c r="AA219" s="446"/>
      <c r="AB219" s="447"/>
    </row>
    <row r="220" spans="1:127" x14ac:dyDescent="0.2">
      <c r="B220" s="445"/>
      <c r="C220" s="533"/>
      <c r="D220" s="543" t="str">
        <f>IF($F$206=1,"VCR - N/A",$D$169)</f>
        <v xml:space="preserve">Option 5: </v>
      </c>
      <c r="E220" s="559" t="str">
        <f t="shared" si="41"/>
        <v>(MWh)</v>
      </c>
      <c r="F220" s="281"/>
      <c r="G220" s="548">
        <v>1000</v>
      </c>
      <c r="H220" s="548">
        <v>1000</v>
      </c>
      <c r="I220" s="548">
        <v>1000</v>
      </c>
      <c r="J220" s="548">
        <v>1000</v>
      </c>
      <c r="K220" s="548">
        <v>1000</v>
      </c>
      <c r="L220" s="548">
        <v>1000</v>
      </c>
      <c r="M220" s="548">
        <v>1000</v>
      </c>
      <c r="N220" s="548">
        <v>1000</v>
      </c>
      <c r="O220" s="548">
        <v>1000</v>
      </c>
      <c r="P220" s="548">
        <v>1000</v>
      </c>
      <c r="Q220" s="548">
        <v>1000</v>
      </c>
      <c r="R220" s="548">
        <v>1000</v>
      </c>
      <c r="S220" s="548">
        <v>1000</v>
      </c>
      <c r="T220" s="548">
        <v>1000</v>
      </c>
      <c r="U220" s="548">
        <v>1000</v>
      </c>
      <c r="V220" s="548">
        <v>1000</v>
      </c>
      <c r="W220" s="548">
        <v>1000</v>
      </c>
      <c r="X220" s="548">
        <v>1000</v>
      </c>
      <c r="Y220" s="548">
        <v>1000</v>
      </c>
      <c r="Z220" s="548">
        <v>1000</v>
      </c>
      <c r="AA220" s="446"/>
      <c r="AB220" s="447"/>
    </row>
    <row r="221" spans="1:127" x14ac:dyDescent="0.2">
      <c r="B221" s="445"/>
      <c r="C221" s="533"/>
      <c r="D221" s="566">
        <f>IF(F206=1,"Reliability corrective actions are not capacity requirements therefore there is zero VCR benefit.",0)</f>
        <v>0</v>
      </c>
      <c r="E221" s="515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4"/>
      <c r="B222" s="445"/>
      <c r="C222" s="533">
        <v>2</v>
      </c>
      <c r="D222" s="558" t="s">
        <v>211</v>
      </c>
      <c r="E222" s="561" t="s">
        <v>214</v>
      </c>
      <c r="F222" s="562"/>
      <c r="G222" s="562">
        <f t="shared" ref="G222:Z222" si="42">G$186</f>
        <v>2019</v>
      </c>
      <c r="H222" s="562">
        <f t="shared" si="42"/>
        <v>2020</v>
      </c>
      <c r="I222" s="562">
        <f t="shared" si="42"/>
        <v>2021</v>
      </c>
      <c r="J222" s="562">
        <f t="shared" si="42"/>
        <v>2022</v>
      </c>
      <c r="K222" s="562">
        <f t="shared" si="42"/>
        <v>2023</v>
      </c>
      <c r="L222" s="562">
        <f t="shared" si="42"/>
        <v>2024</v>
      </c>
      <c r="M222" s="562">
        <f t="shared" si="42"/>
        <v>2025</v>
      </c>
      <c r="N222" s="562">
        <f t="shared" si="42"/>
        <v>2026</v>
      </c>
      <c r="O222" s="562">
        <f t="shared" si="42"/>
        <v>2027</v>
      </c>
      <c r="P222" s="562">
        <f t="shared" si="42"/>
        <v>2028</v>
      </c>
      <c r="Q222" s="562">
        <f t="shared" si="42"/>
        <v>2029</v>
      </c>
      <c r="R222" s="562">
        <f t="shared" si="42"/>
        <v>2030</v>
      </c>
      <c r="S222" s="562">
        <f t="shared" si="42"/>
        <v>2031</v>
      </c>
      <c r="T222" s="562">
        <f t="shared" si="42"/>
        <v>2032</v>
      </c>
      <c r="U222" s="562">
        <f t="shared" si="42"/>
        <v>2033</v>
      </c>
      <c r="V222" s="562">
        <f t="shared" si="42"/>
        <v>2034</v>
      </c>
      <c r="W222" s="562">
        <f t="shared" si="42"/>
        <v>2035</v>
      </c>
      <c r="X222" s="562">
        <f t="shared" si="42"/>
        <v>2036</v>
      </c>
      <c r="Y222" s="562">
        <f t="shared" si="42"/>
        <v>2037</v>
      </c>
      <c r="Z222" s="562">
        <f t="shared" si="42"/>
        <v>2038</v>
      </c>
      <c r="AA222" s="446"/>
      <c r="AB222" s="447"/>
      <c r="AC222" s="514"/>
      <c r="AD222" s="514"/>
      <c r="AE222" s="514"/>
      <c r="AF222" s="514"/>
      <c r="AG222" s="514"/>
      <c r="AH222" s="514"/>
      <c r="AI222" s="514"/>
      <c r="AJ222" s="514"/>
      <c r="AK222" s="514"/>
      <c r="AL222" s="514"/>
      <c r="AM222" s="514"/>
      <c r="AN222" s="514"/>
      <c r="AO222" s="514"/>
      <c r="AP222" s="514"/>
      <c r="AQ222" s="514"/>
      <c r="AR222" s="514"/>
      <c r="AS222" s="514"/>
      <c r="AT222" s="514"/>
      <c r="AU222" s="514"/>
      <c r="AV222" s="514"/>
      <c r="AW222" s="514"/>
      <c r="AX222" s="514"/>
      <c r="AY222" s="514"/>
      <c r="AZ222" s="514"/>
      <c r="BA222" s="514"/>
      <c r="BB222" s="514"/>
      <c r="BC222" s="514"/>
      <c r="BD222" s="514"/>
      <c r="BE222" s="514"/>
      <c r="BF222" s="514"/>
      <c r="BG222" s="514"/>
      <c r="BH222" s="514"/>
      <c r="BI222" s="514"/>
      <c r="BJ222" s="514"/>
      <c r="BK222" s="514"/>
      <c r="BL222" s="514"/>
      <c r="BM222" s="514"/>
      <c r="BN222" s="514"/>
      <c r="BO222" s="514"/>
      <c r="BP222" s="514"/>
      <c r="BQ222" s="514"/>
      <c r="BR222" s="514"/>
      <c r="BS222" s="514"/>
      <c r="BT222" s="514"/>
      <c r="BU222" s="514"/>
      <c r="BV222" s="514"/>
      <c r="BW222" s="514"/>
      <c r="BX222" s="514"/>
      <c r="BY222" s="514"/>
      <c r="BZ222" s="514"/>
      <c r="CA222" s="514"/>
      <c r="CB222" s="514"/>
      <c r="CC222" s="514"/>
      <c r="CD222" s="514"/>
      <c r="CE222" s="514"/>
      <c r="CF222" s="514"/>
      <c r="CG222" s="514"/>
      <c r="CH222" s="514"/>
      <c r="CI222" s="514"/>
      <c r="CJ222" s="514"/>
      <c r="CK222" s="514"/>
      <c r="CL222" s="514"/>
      <c r="CM222" s="514"/>
      <c r="CN222" s="514"/>
      <c r="CO222" s="514"/>
      <c r="CP222" s="514"/>
      <c r="CQ222" s="514"/>
      <c r="CR222" s="514"/>
      <c r="CS222" s="514"/>
      <c r="CT222" s="514"/>
      <c r="CU222" s="514"/>
      <c r="CV222" s="514"/>
      <c r="CW222" s="514"/>
      <c r="CX222" s="514"/>
      <c r="CY222" s="514"/>
      <c r="CZ222" s="514"/>
      <c r="DA222" s="514"/>
      <c r="DB222" s="514"/>
      <c r="DC222" s="514"/>
      <c r="DD222" s="514"/>
      <c r="DE222" s="514"/>
      <c r="DF222" s="514"/>
      <c r="DG222" s="514"/>
      <c r="DH222" s="514"/>
      <c r="DI222" s="514"/>
      <c r="DJ222" s="514"/>
      <c r="DK222" s="514"/>
      <c r="DL222" s="514"/>
      <c r="DM222" s="514"/>
      <c r="DN222" s="514"/>
      <c r="DO222" s="514"/>
      <c r="DP222" s="514"/>
      <c r="DQ222" s="514"/>
      <c r="DR222" s="514"/>
      <c r="DS222" s="514"/>
      <c r="DT222" s="514"/>
      <c r="DU222" s="514"/>
      <c r="DV222" s="514"/>
      <c r="DW222" s="514"/>
    </row>
    <row r="223" spans="1:127" x14ac:dyDescent="0.2">
      <c r="B223" s="445"/>
      <c r="C223" s="533"/>
      <c r="D223" s="543" t="str">
        <f>$D$24</f>
        <v>"Status Quo" Reference Case</v>
      </c>
      <c r="E223" s="559" t="s">
        <v>174</v>
      </c>
      <c r="F223" s="281"/>
      <c r="G223" s="548"/>
      <c r="H223" s="548"/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446"/>
      <c r="AB223" s="447"/>
    </row>
    <row r="224" spans="1:127" x14ac:dyDescent="0.2">
      <c r="B224" s="445"/>
      <c r="C224" s="533"/>
      <c r="D224" s="543" t="str">
        <f>$D$53</f>
        <v>Option 1: Perform Manual Neutral Integrity where UE Meters are Removed</v>
      </c>
      <c r="E224" s="559" t="s">
        <v>174</v>
      </c>
      <c r="F224" s="281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48"/>
      <c r="W224" s="548"/>
      <c r="X224" s="548"/>
      <c r="Y224" s="548"/>
      <c r="Z224" s="548"/>
      <c r="AA224" s="446"/>
      <c r="AB224" s="447"/>
    </row>
    <row r="225" spans="1:127" x14ac:dyDescent="0.2">
      <c r="B225" s="445"/>
      <c r="C225" s="533"/>
      <c r="D225" s="543" t="str">
        <f>$D$82</f>
        <v>Option 2: Replace / Install Network Devices</v>
      </c>
      <c r="E225" s="559" t="s">
        <v>174</v>
      </c>
      <c r="F225" s="281"/>
      <c r="G225" s="549"/>
      <c r="H225" s="549"/>
      <c r="I225" s="549"/>
      <c r="J225" s="549"/>
      <c r="K225" s="549"/>
      <c r="L225" s="549"/>
      <c r="M225" s="549"/>
      <c r="N225" s="549"/>
      <c r="O225" s="549"/>
      <c r="P225" s="549"/>
      <c r="Q225" s="549"/>
      <c r="R225" s="549"/>
      <c r="S225" s="549"/>
      <c r="T225" s="549"/>
      <c r="U225" s="549"/>
      <c r="V225" s="549"/>
      <c r="W225" s="549"/>
      <c r="X225" s="549"/>
      <c r="Y225" s="549"/>
      <c r="Z225" s="549"/>
      <c r="AA225" s="446"/>
      <c r="AB225" s="447"/>
    </row>
    <row r="226" spans="1:127" x14ac:dyDescent="0.2">
      <c r="B226" s="445"/>
      <c r="C226" s="533"/>
      <c r="D226" s="543" t="str">
        <f>$D$111</f>
        <v>Option 3: Replace / Install 80% Network Devices, Purchase the Remaining 20% of the AMI data and Control Functionality</v>
      </c>
      <c r="E226" s="559" t="s">
        <v>174</v>
      </c>
      <c r="F226" s="281"/>
      <c r="G226" s="549"/>
      <c r="H226" s="549"/>
      <c r="I226" s="549"/>
      <c r="J226" s="549"/>
      <c r="K226" s="549"/>
      <c r="L226" s="549"/>
      <c r="M226" s="549"/>
      <c r="N226" s="549"/>
      <c r="O226" s="549"/>
      <c r="P226" s="549"/>
      <c r="Q226" s="549"/>
      <c r="R226" s="549"/>
      <c r="S226" s="549"/>
      <c r="T226" s="549"/>
      <c r="U226" s="549"/>
      <c r="V226" s="549"/>
      <c r="W226" s="549"/>
      <c r="X226" s="549"/>
      <c r="Y226" s="549"/>
      <c r="Z226" s="549"/>
      <c r="AA226" s="446"/>
      <c r="AB226" s="447"/>
    </row>
    <row r="227" spans="1:127" x14ac:dyDescent="0.2">
      <c r="B227" s="445"/>
      <c r="C227" s="533"/>
      <c r="D227" s="543" t="str">
        <f>$D$140</f>
        <v xml:space="preserve">Option 4: </v>
      </c>
      <c r="E227" s="559" t="s">
        <v>174</v>
      </c>
      <c r="F227" s="281"/>
      <c r="G227" s="549"/>
      <c r="H227" s="549"/>
      <c r="I227" s="549"/>
      <c r="J227" s="549"/>
      <c r="K227" s="549"/>
      <c r="L227" s="549"/>
      <c r="M227" s="549"/>
      <c r="N227" s="549"/>
      <c r="O227" s="549"/>
      <c r="P227" s="549"/>
      <c r="Q227" s="549"/>
      <c r="R227" s="549"/>
      <c r="S227" s="549"/>
      <c r="T227" s="549"/>
      <c r="U227" s="549"/>
      <c r="V227" s="549"/>
      <c r="W227" s="549"/>
      <c r="X227" s="549"/>
      <c r="Y227" s="549"/>
      <c r="Z227" s="549"/>
      <c r="AA227" s="446"/>
      <c r="AB227" s="447"/>
    </row>
    <row r="228" spans="1:127" x14ac:dyDescent="0.2">
      <c r="B228" s="445"/>
      <c r="C228" s="533"/>
      <c r="D228" s="543" t="str">
        <f>$D$169</f>
        <v xml:space="preserve">Option 5: </v>
      </c>
      <c r="E228" s="559" t="s">
        <v>174</v>
      </c>
      <c r="F228" s="281"/>
      <c r="G228" s="548"/>
      <c r="H228" s="548"/>
      <c r="I228" s="548"/>
      <c r="J228" s="548"/>
      <c r="K228" s="548"/>
      <c r="L228" s="548"/>
      <c r="M228" s="548"/>
      <c r="N228" s="548"/>
      <c r="O228" s="548"/>
      <c r="P228" s="548"/>
      <c r="Q228" s="548"/>
      <c r="R228" s="548"/>
      <c r="S228" s="548"/>
      <c r="T228" s="548"/>
      <c r="U228" s="548"/>
      <c r="V228" s="548"/>
      <c r="W228" s="548"/>
      <c r="X228" s="548"/>
      <c r="Y228" s="548"/>
      <c r="Z228" s="548"/>
      <c r="AA228" s="446"/>
      <c r="AB228" s="447"/>
    </row>
    <row r="229" spans="1:127" x14ac:dyDescent="0.2">
      <c r="B229" s="445"/>
      <c r="C229" s="533"/>
      <c r="D229" s="567"/>
      <c r="E229" s="515"/>
      <c r="F229" s="515"/>
      <c r="G229" s="515"/>
      <c r="H229" s="515"/>
      <c r="I229" s="515"/>
      <c r="J229" s="515"/>
      <c r="K229" s="515"/>
      <c r="L229" s="515"/>
      <c r="M229" s="515"/>
      <c r="N229" s="515"/>
      <c r="O229" s="515"/>
      <c r="P229" s="515"/>
      <c r="Q229" s="515"/>
      <c r="R229" s="515"/>
      <c r="S229" s="515"/>
      <c r="T229" s="515"/>
      <c r="U229" s="515"/>
      <c r="V229" s="515"/>
      <c r="W229" s="515"/>
      <c r="X229" s="515"/>
      <c r="Y229" s="515"/>
      <c r="Z229" s="515"/>
      <c r="AA229" s="446"/>
      <c r="AB229" s="447"/>
    </row>
    <row r="230" spans="1:127" x14ac:dyDescent="0.2">
      <c r="B230" s="445"/>
      <c r="C230" s="533">
        <v>3</v>
      </c>
      <c r="D230" s="558" t="s">
        <v>212</v>
      </c>
      <c r="E230" s="561" t="s">
        <v>215</v>
      </c>
      <c r="F230" s="562"/>
      <c r="G230" s="562">
        <f t="shared" ref="G230:Z230" si="43">G$186</f>
        <v>2019</v>
      </c>
      <c r="H230" s="562">
        <f t="shared" si="43"/>
        <v>2020</v>
      </c>
      <c r="I230" s="562">
        <f t="shared" si="43"/>
        <v>2021</v>
      </c>
      <c r="J230" s="562">
        <f t="shared" si="43"/>
        <v>2022</v>
      </c>
      <c r="K230" s="562">
        <f t="shared" si="43"/>
        <v>2023</v>
      </c>
      <c r="L230" s="562">
        <f t="shared" si="43"/>
        <v>2024</v>
      </c>
      <c r="M230" s="562">
        <f t="shared" si="43"/>
        <v>2025</v>
      </c>
      <c r="N230" s="562">
        <f t="shared" si="43"/>
        <v>2026</v>
      </c>
      <c r="O230" s="562">
        <f t="shared" si="43"/>
        <v>2027</v>
      </c>
      <c r="P230" s="562">
        <f t="shared" si="43"/>
        <v>2028</v>
      </c>
      <c r="Q230" s="562">
        <f t="shared" si="43"/>
        <v>2029</v>
      </c>
      <c r="R230" s="562">
        <f t="shared" si="43"/>
        <v>2030</v>
      </c>
      <c r="S230" s="562">
        <f t="shared" si="43"/>
        <v>2031</v>
      </c>
      <c r="T230" s="562">
        <f t="shared" si="43"/>
        <v>2032</v>
      </c>
      <c r="U230" s="562">
        <f t="shared" si="43"/>
        <v>2033</v>
      </c>
      <c r="V230" s="562">
        <f t="shared" si="43"/>
        <v>2034</v>
      </c>
      <c r="W230" s="562">
        <f t="shared" si="43"/>
        <v>2035</v>
      </c>
      <c r="X230" s="562">
        <f t="shared" si="43"/>
        <v>2036</v>
      </c>
      <c r="Y230" s="562">
        <f t="shared" si="43"/>
        <v>2037</v>
      </c>
      <c r="Z230" s="562">
        <f t="shared" si="43"/>
        <v>2038</v>
      </c>
      <c r="AA230" s="446"/>
      <c r="AB230" s="447"/>
    </row>
    <row r="231" spans="1:127" x14ac:dyDescent="0.2">
      <c r="B231" s="445"/>
      <c r="C231" s="533"/>
      <c r="D231" s="543" t="str">
        <f>$D$24</f>
        <v>"Status Quo" Reference Case</v>
      </c>
      <c r="E231" s="559" t="s">
        <v>104</v>
      </c>
      <c r="F231" s="281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446"/>
      <c r="AB231" s="447"/>
    </row>
    <row r="232" spans="1:127" x14ac:dyDescent="0.2">
      <c r="B232" s="445"/>
      <c r="C232" s="533"/>
      <c r="D232" s="543" t="str">
        <f>$D$53</f>
        <v>Option 1: Perform Manual Neutral Integrity where UE Meters are Removed</v>
      </c>
      <c r="E232" s="559" t="s">
        <v>104</v>
      </c>
      <c r="F232" s="281"/>
      <c r="G232" s="548"/>
      <c r="H232" s="548"/>
      <c r="I232" s="548"/>
      <c r="J232" s="548"/>
      <c r="K232" s="548"/>
      <c r="L232" s="548"/>
      <c r="M232" s="548"/>
      <c r="N232" s="548"/>
      <c r="O232" s="548"/>
      <c r="P232" s="548"/>
      <c r="Q232" s="548"/>
      <c r="R232" s="548"/>
      <c r="S232" s="548"/>
      <c r="T232" s="548"/>
      <c r="U232" s="548"/>
      <c r="V232" s="548"/>
      <c r="W232" s="548"/>
      <c r="X232" s="548"/>
      <c r="Y232" s="548"/>
      <c r="Z232" s="548"/>
      <c r="AA232" s="446"/>
      <c r="AB232" s="447"/>
    </row>
    <row r="233" spans="1:127" x14ac:dyDescent="0.2">
      <c r="B233" s="445"/>
      <c r="C233" s="533"/>
      <c r="D233" s="543" t="str">
        <f>$D$82</f>
        <v>Option 2: Replace / Install Network Devices</v>
      </c>
      <c r="E233" s="559" t="s">
        <v>104</v>
      </c>
      <c r="F233" s="281"/>
      <c r="G233" s="549"/>
      <c r="H233" s="549"/>
      <c r="I233" s="549"/>
      <c r="J233" s="549"/>
      <c r="K233" s="549"/>
      <c r="L233" s="549"/>
      <c r="M233" s="549"/>
      <c r="N233" s="549"/>
      <c r="O233" s="549"/>
      <c r="P233" s="549"/>
      <c r="Q233" s="549"/>
      <c r="R233" s="549"/>
      <c r="S233" s="549"/>
      <c r="T233" s="549"/>
      <c r="U233" s="549"/>
      <c r="V233" s="549"/>
      <c r="W233" s="549"/>
      <c r="X233" s="549"/>
      <c r="Y233" s="549"/>
      <c r="Z233" s="549"/>
      <c r="AA233" s="446"/>
      <c r="AB233" s="447"/>
    </row>
    <row r="234" spans="1:127" x14ac:dyDescent="0.2">
      <c r="B234" s="445"/>
      <c r="C234" s="533"/>
      <c r="D234" s="543" t="str">
        <f>$D$111</f>
        <v>Option 3: Replace / Install 80% Network Devices, Purchase the Remaining 20% of the AMI data and Control Functionality</v>
      </c>
      <c r="E234" s="559" t="s">
        <v>104</v>
      </c>
      <c r="F234" s="281"/>
      <c r="G234" s="549"/>
      <c r="H234" s="549"/>
      <c r="I234" s="549"/>
      <c r="J234" s="549"/>
      <c r="K234" s="549"/>
      <c r="L234" s="549"/>
      <c r="M234" s="549"/>
      <c r="N234" s="549"/>
      <c r="O234" s="549"/>
      <c r="P234" s="549"/>
      <c r="Q234" s="549"/>
      <c r="R234" s="549"/>
      <c r="S234" s="549"/>
      <c r="T234" s="549"/>
      <c r="U234" s="549"/>
      <c r="V234" s="549"/>
      <c r="W234" s="549"/>
      <c r="X234" s="549"/>
      <c r="Y234" s="549"/>
      <c r="Z234" s="549"/>
      <c r="AA234" s="446"/>
      <c r="AB234" s="447"/>
    </row>
    <row r="235" spans="1:127" x14ac:dyDescent="0.2">
      <c r="B235" s="445"/>
      <c r="C235" s="533"/>
      <c r="D235" s="543" t="str">
        <f>$D$140</f>
        <v xml:space="preserve">Option 4: </v>
      </c>
      <c r="E235" s="559" t="s">
        <v>104</v>
      </c>
      <c r="F235" s="281"/>
      <c r="G235" s="549"/>
      <c r="H235" s="549"/>
      <c r="I235" s="549"/>
      <c r="J235" s="549"/>
      <c r="K235" s="549"/>
      <c r="L235" s="549"/>
      <c r="M235" s="549"/>
      <c r="N235" s="549"/>
      <c r="O235" s="549"/>
      <c r="P235" s="549"/>
      <c r="Q235" s="549"/>
      <c r="R235" s="549"/>
      <c r="S235" s="549"/>
      <c r="T235" s="549"/>
      <c r="U235" s="549"/>
      <c r="V235" s="549"/>
      <c r="W235" s="549"/>
      <c r="X235" s="549"/>
      <c r="Y235" s="549"/>
      <c r="Z235" s="549"/>
      <c r="AA235" s="446"/>
      <c r="AB235" s="447"/>
    </row>
    <row r="236" spans="1:127" x14ac:dyDescent="0.2">
      <c r="B236" s="445"/>
      <c r="C236" s="533"/>
      <c r="D236" s="543" t="str">
        <f>$D$169</f>
        <v xml:space="preserve">Option 5: </v>
      </c>
      <c r="E236" s="559" t="s">
        <v>104</v>
      </c>
      <c r="F236" s="281"/>
      <c r="G236" s="548"/>
      <c r="H236" s="548"/>
      <c r="I236" s="548"/>
      <c r="J236" s="548"/>
      <c r="K236" s="548"/>
      <c r="L236" s="548"/>
      <c r="M236" s="548"/>
      <c r="N236" s="548"/>
      <c r="O236" s="548"/>
      <c r="P236" s="548"/>
      <c r="Q236" s="548"/>
      <c r="R236" s="548"/>
      <c r="S236" s="548"/>
      <c r="T236" s="548"/>
      <c r="U236" s="548"/>
      <c r="V236" s="548"/>
      <c r="W236" s="548"/>
      <c r="X236" s="548"/>
      <c r="Y236" s="548"/>
      <c r="Z236" s="548"/>
      <c r="AA236" s="446"/>
      <c r="AB236" s="447"/>
    </row>
    <row r="237" spans="1:127" x14ac:dyDescent="0.2">
      <c r="B237" s="445"/>
      <c r="C237" s="533"/>
      <c r="D237" s="567"/>
      <c r="E237" s="515"/>
      <c r="F237" s="515"/>
      <c r="G237" s="515"/>
      <c r="H237" s="515"/>
      <c r="I237" s="515"/>
      <c r="J237" s="515"/>
      <c r="K237" s="515"/>
      <c r="L237" s="515"/>
      <c r="M237" s="515"/>
      <c r="N237" s="515"/>
      <c r="O237" s="515"/>
      <c r="P237" s="515"/>
      <c r="Q237" s="515"/>
      <c r="R237" s="515"/>
      <c r="S237" s="515"/>
      <c r="T237" s="515"/>
      <c r="U237" s="515"/>
      <c r="V237" s="515"/>
      <c r="W237" s="515"/>
      <c r="X237" s="515"/>
      <c r="Y237" s="515"/>
      <c r="Z237" s="515"/>
      <c r="AA237" s="446"/>
      <c r="AB237" s="447"/>
    </row>
    <row r="238" spans="1:127" x14ac:dyDescent="0.2">
      <c r="B238" s="445"/>
      <c r="C238" s="533">
        <v>4</v>
      </c>
      <c r="D238" s="558" t="s">
        <v>213</v>
      </c>
      <c r="E238" s="561" t="s">
        <v>216</v>
      </c>
      <c r="F238" s="562"/>
      <c r="G238" s="562">
        <f t="shared" ref="G238:Z238" si="44">G$186</f>
        <v>2019</v>
      </c>
      <c r="H238" s="562">
        <f t="shared" si="44"/>
        <v>2020</v>
      </c>
      <c r="I238" s="562">
        <f t="shared" si="44"/>
        <v>2021</v>
      </c>
      <c r="J238" s="562">
        <f t="shared" si="44"/>
        <v>2022</v>
      </c>
      <c r="K238" s="562">
        <f t="shared" si="44"/>
        <v>2023</v>
      </c>
      <c r="L238" s="562">
        <f t="shared" si="44"/>
        <v>2024</v>
      </c>
      <c r="M238" s="562">
        <f t="shared" si="44"/>
        <v>2025</v>
      </c>
      <c r="N238" s="562">
        <f t="shared" si="44"/>
        <v>2026</v>
      </c>
      <c r="O238" s="562">
        <f t="shared" si="44"/>
        <v>2027</v>
      </c>
      <c r="P238" s="562">
        <f t="shared" si="44"/>
        <v>2028</v>
      </c>
      <c r="Q238" s="562">
        <f t="shared" si="44"/>
        <v>2029</v>
      </c>
      <c r="R238" s="562">
        <f t="shared" si="44"/>
        <v>2030</v>
      </c>
      <c r="S238" s="562">
        <f t="shared" si="44"/>
        <v>2031</v>
      </c>
      <c r="T238" s="562">
        <f t="shared" si="44"/>
        <v>2032</v>
      </c>
      <c r="U238" s="562">
        <f t="shared" si="44"/>
        <v>2033</v>
      </c>
      <c r="V238" s="562">
        <f t="shared" si="44"/>
        <v>2034</v>
      </c>
      <c r="W238" s="562">
        <f t="shared" si="44"/>
        <v>2035</v>
      </c>
      <c r="X238" s="562">
        <f t="shared" si="44"/>
        <v>2036</v>
      </c>
      <c r="Y238" s="562">
        <f t="shared" si="44"/>
        <v>2037</v>
      </c>
      <c r="Z238" s="562">
        <f t="shared" si="44"/>
        <v>2038</v>
      </c>
      <c r="AA238" s="446"/>
      <c r="AB238" s="447"/>
    </row>
    <row r="239" spans="1:127" s="343" customFormat="1" x14ac:dyDescent="0.2">
      <c r="A239" s="514"/>
      <c r="B239" s="445"/>
      <c r="C239" s="533"/>
      <c r="D239" s="543" t="str">
        <f>$D$24</f>
        <v>"Status Quo" Reference Case</v>
      </c>
      <c r="E239" s="559" t="s">
        <v>223</v>
      </c>
      <c r="F239" s="579"/>
      <c r="G239" s="580"/>
      <c r="H239" s="580"/>
      <c r="I239" s="580"/>
      <c r="J239" s="580"/>
      <c r="K239" s="580"/>
      <c r="L239" s="580"/>
      <c r="M239" s="580"/>
      <c r="N239" s="580"/>
      <c r="O239" s="580"/>
      <c r="P239" s="580"/>
      <c r="Q239" s="580"/>
      <c r="R239" s="580"/>
      <c r="S239" s="580"/>
      <c r="T239" s="580"/>
      <c r="U239" s="580"/>
      <c r="V239" s="580"/>
      <c r="W239" s="580"/>
      <c r="X239" s="580"/>
      <c r="Y239" s="580"/>
      <c r="Z239" s="580"/>
      <c r="AA239" s="446"/>
      <c r="AB239" s="447"/>
      <c r="AC239" s="514"/>
      <c r="AD239" s="514"/>
      <c r="AE239" s="514"/>
      <c r="AF239" s="514"/>
      <c r="AG239" s="514"/>
      <c r="AH239" s="514"/>
      <c r="AI239" s="514"/>
      <c r="AJ239" s="514"/>
      <c r="AK239" s="514"/>
      <c r="AL239" s="514"/>
      <c r="AM239" s="514"/>
      <c r="AN239" s="514"/>
      <c r="AO239" s="514"/>
      <c r="AP239" s="514"/>
      <c r="AQ239" s="514"/>
      <c r="AR239" s="514"/>
      <c r="AS239" s="514"/>
      <c r="AT239" s="514"/>
      <c r="AU239" s="514"/>
      <c r="AV239" s="514"/>
      <c r="AW239" s="514"/>
      <c r="AX239" s="514"/>
      <c r="AY239" s="514"/>
      <c r="AZ239" s="514"/>
      <c r="BA239" s="514"/>
      <c r="BB239" s="514"/>
      <c r="BC239" s="514"/>
      <c r="BD239" s="514"/>
      <c r="BE239" s="514"/>
      <c r="BF239" s="514"/>
      <c r="BG239" s="514"/>
      <c r="BH239" s="514"/>
      <c r="BI239" s="514"/>
      <c r="BJ239" s="514"/>
      <c r="BK239" s="514"/>
      <c r="BL239" s="514"/>
      <c r="BM239" s="514"/>
      <c r="BN239" s="514"/>
      <c r="BO239" s="514"/>
      <c r="BP239" s="514"/>
      <c r="BQ239" s="514"/>
      <c r="BR239" s="514"/>
      <c r="BS239" s="514"/>
      <c r="BT239" s="514"/>
      <c r="BU239" s="514"/>
      <c r="BV239" s="514"/>
      <c r="BW239" s="514"/>
      <c r="BX239" s="514"/>
      <c r="BY239" s="514"/>
      <c r="BZ239" s="514"/>
      <c r="CA239" s="514"/>
      <c r="CB239" s="514"/>
      <c r="CC239" s="514"/>
      <c r="CD239" s="514"/>
      <c r="CE239" s="514"/>
      <c r="CF239" s="514"/>
      <c r="CG239" s="514"/>
      <c r="CH239" s="514"/>
      <c r="CI239" s="514"/>
      <c r="CJ239" s="514"/>
      <c r="CK239" s="514"/>
      <c r="CL239" s="514"/>
      <c r="CM239" s="514"/>
      <c r="CN239" s="514"/>
      <c r="CO239" s="514"/>
      <c r="CP239" s="514"/>
      <c r="CQ239" s="514"/>
      <c r="CR239" s="514"/>
      <c r="CS239" s="514"/>
      <c r="CT239" s="514"/>
      <c r="CU239" s="514"/>
      <c r="CV239" s="514"/>
      <c r="CW239" s="514"/>
      <c r="CX239" s="514"/>
      <c r="CY239" s="514"/>
      <c r="CZ239" s="514"/>
      <c r="DA239" s="514"/>
      <c r="DB239" s="514"/>
      <c r="DC239" s="514"/>
      <c r="DD239" s="514"/>
      <c r="DE239" s="514"/>
      <c r="DF239" s="514"/>
      <c r="DG239" s="514"/>
      <c r="DH239" s="514"/>
      <c r="DI239" s="514"/>
      <c r="DJ239" s="514"/>
      <c r="DK239" s="514"/>
      <c r="DL239" s="514"/>
      <c r="DM239" s="514"/>
      <c r="DN239" s="514"/>
      <c r="DO239" s="514"/>
      <c r="DP239" s="514"/>
      <c r="DQ239" s="514"/>
      <c r="DR239" s="514"/>
      <c r="DS239" s="514"/>
      <c r="DT239" s="514"/>
      <c r="DU239" s="514"/>
      <c r="DV239" s="514"/>
      <c r="DW239" s="514"/>
    </row>
    <row r="240" spans="1:127" s="343" customFormat="1" x14ac:dyDescent="0.2">
      <c r="A240" s="514"/>
      <c r="B240" s="445"/>
      <c r="C240" s="533"/>
      <c r="D240" s="543" t="str">
        <f>$D$53</f>
        <v>Option 1: Perform Manual Neutral Integrity where UE Meters are Removed</v>
      </c>
      <c r="E240" s="559" t="str">
        <f>E239</f>
        <v>Pending AER guideline</v>
      </c>
      <c r="F240" s="579"/>
      <c r="G240" s="580"/>
      <c r="H240" s="580"/>
      <c r="I240" s="580"/>
      <c r="J240" s="580"/>
      <c r="K240" s="580"/>
      <c r="L240" s="580"/>
      <c r="M240" s="580"/>
      <c r="N240" s="580"/>
      <c r="O240" s="580"/>
      <c r="P240" s="580"/>
      <c r="Q240" s="580"/>
      <c r="R240" s="580"/>
      <c r="S240" s="580"/>
      <c r="T240" s="580"/>
      <c r="U240" s="580"/>
      <c r="V240" s="580"/>
      <c r="W240" s="580"/>
      <c r="X240" s="580"/>
      <c r="Y240" s="580"/>
      <c r="Z240" s="580"/>
      <c r="AA240" s="446"/>
      <c r="AB240" s="447"/>
      <c r="AC240" s="514"/>
      <c r="AD240" s="514"/>
      <c r="AE240" s="514"/>
      <c r="AF240" s="514"/>
      <c r="AG240" s="514"/>
      <c r="AH240" s="514"/>
      <c r="AI240" s="514"/>
      <c r="AJ240" s="514"/>
      <c r="AK240" s="514"/>
      <c r="AL240" s="514"/>
      <c r="AM240" s="514"/>
      <c r="AN240" s="514"/>
      <c r="AO240" s="514"/>
      <c r="AP240" s="514"/>
      <c r="AQ240" s="514"/>
      <c r="AR240" s="514"/>
      <c r="AS240" s="514"/>
      <c r="AT240" s="514"/>
      <c r="AU240" s="514"/>
      <c r="AV240" s="514"/>
      <c r="AW240" s="514"/>
      <c r="AX240" s="514"/>
      <c r="AY240" s="514"/>
      <c r="AZ240" s="514"/>
      <c r="BA240" s="514"/>
      <c r="BB240" s="514"/>
      <c r="BC240" s="514"/>
      <c r="BD240" s="514"/>
      <c r="BE240" s="514"/>
      <c r="BF240" s="514"/>
      <c r="BG240" s="514"/>
      <c r="BH240" s="514"/>
      <c r="BI240" s="514"/>
      <c r="BJ240" s="514"/>
      <c r="BK240" s="514"/>
      <c r="BL240" s="514"/>
      <c r="BM240" s="514"/>
      <c r="BN240" s="514"/>
      <c r="BO240" s="514"/>
      <c r="BP240" s="514"/>
      <c r="BQ240" s="514"/>
      <c r="BR240" s="514"/>
      <c r="BS240" s="514"/>
      <c r="BT240" s="514"/>
      <c r="BU240" s="514"/>
      <c r="BV240" s="514"/>
      <c r="BW240" s="514"/>
      <c r="BX240" s="514"/>
      <c r="BY240" s="514"/>
      <c r="BZ240" s="514"/>
      <c r="CA240" s="514"/>
      <c r="CB240" s="514"/>
      <c r="CC240" s="514"/>
      <c r="CD240" s="514"/>
      <c r="CE240" s="514"/>
      <c r="CF240" s="514"/>
      <c r="CG240" s="514"/>
      <c r="CH240" s="514"/>
      <c r="CI240" s="514"/>
      <c r="CJ240" s="514"/>
      <c r="CK240" s="514"/>
      <c r="CL240" s="514"/>
      <c r="CM240" s="514"/>
      <c r="CN240" s="514"/>
      <c r="CO240" s="514"/>
      <c r="CP240" s="514"/>
      <c r="CQ240" s="514"/>
      <c r="CR240" s="514"/>
      <c r="CS240" s="514"/>
      <c r="CT240" s="514"/>
      <c r="CU240" s="514"/>
      <c r="CV240" s="514"/>
      <c r="CW240" s="514"/>
      <c r="CX240" s="514"/>
      <c r="CY240" s="514"/>
      <c r="CZ240" s="514"/>
      <c r="DA240" s="514"/>
      <c r="DB240" s="514"/>
      <c r="DC240" s="514"/>
      <c r="DD240" s="514"/>
      <c r="DE240" s="514"/>
      <c r="DF240" s="514"/>
      <c r="DG240" s="514"/>
      <c r="DH240" s="514"/>
      <c r="DI240" s="514"/>
      <c r="DJ240" s="514"/>
      <c r="DK240" s="514"/>
      <c r="DL240" s="514"/>
      <c r="DM240" s="514"/>
      <c r="DN240" s="514"/>
      <c r="DO240" s="514"/>
      <c r="DP240" s="514"/>
      <c r="DQ240" s="514"/>
      <c r="DR240" s="514"/>
      <c r="DS240" s="514"/>
      <c r="DT240" s="514"/>
      <c r="DU240" s="514"/>
      <c r="DV240" s="514"/>
      <c r="DW240" s="514"/>
    </row>
    <row r="241" spans="1:127" s="343" customFormat="1" x14ac:dyDescent="0.2">
      <c r="A241" s="514"/>
      <c r="B241" s="445"/>
      <c r="C241" s="533"/>
      <c r="D241" s="543" t="str">
        <f>$D$82</f>
        <v>Option 2: Replace / Install Network Devices</v>
      </c>
      <c r="E241" s="559" t="str">
        <f>E240</f>
        <v>Pending AER guideline</v>
      </c>
      <c r="F241" s="579"/>
      <c r="G241" s="581"/>
      <c r="H241" s="581"/>
      <c r="I241" s="581"/>
      <c r="J241" s="581"/>
      <c r="K241" s="581"/>
      <c r="L241" s="581"/>
      <c r="M241" s="581"/>
      <c r="N241" s="581"/>
      <c r="O241" s="581"/>
      <c r="P241" s="581"/>
      <c r="Q241" s="581"/>
      <c r="R241" s="581"/>
      <c r="S241" s="581"/>
      <c r="T241" s="581"/>
      <c r="U241" s="581"/>
      <c r="V241" s="581"/>
      <c r="W241" s="581"/>
      <c r="X241" s="581"/>
      <c r="Y241" s="581"/>
      <c r="Z241" s="581"/>
      <c r="AA241" s="446"/>
      <c r="AB241" s="447"/>
      <c r="AC241" s="514"/>
      <c r="AD241" s="514"/>
      <c r="AE241" s="514"/>
      <c r="AF241" s="514"/>
      <c r="AG241" s="514"/>
      <c r="AH241" s="514"/>
      <c r="AI241" s="514"/>
      <c r="AJ241" s="514"/>
      <c r="AK241" s="514"/>
      <c r="AL241" s="514"/>
      <c r="AM241" s="514"/>
      <c r="AN241" s="514"/>
      <c r="AO241" s="514"/>
      <c r="AP241" s="514"/>
      <c r="AQ241" s="514"/>
      <c r="AR241" s="514"/>
      <c r="AS241" s="514"/>
      <c r="AT241" s="514"/>
      <c r="AU241" s="514"/>
      <c r="AV241" s="514"/>
      <c r="AW241" s="514"/>
      <c r="AX241" s="514"/>
      <c r="AY241" s="514"/>
      <c r="AZ241" s="514"/>
      <c r="BA241" s="514"/>
      <c r="BB241" s="514"/>
      <c r="BC241" s="514"/>
      <c r="BD241" s="514"/>
      <c r="BE241" s="514"/>
      <c r="BF241" s="514"/>
      <c r="BG241" s="514"/>
      <c r="BH241" s="514"/>
      <c r="BI241" s="514"/>
      <c r="BJ241" s="514"/>
      <c r="BK241" s="514"/>
      <c r="BL241" s="514"/>
      <c r="BM241" s="514"/>
      <c r="BN241" s="514"/>
      <c r="BO241" s="514"/>
      <c r="BP241" s="514"/>
      <c r="BQ241" s="514"/>
      <c r="BR241" s="514"/>
      <c r="BS241" s="514"/>
      <c r="BT241" s="514"/>
      <c r="BU241" s="514"/>
      <c r="BV241" s="514"/>
      <c r="BW241" s="514"/>
      <c r="BX241" s="514"/>
      <c r="BY241" s="514"/>
      <c r="BZ241" s="514"/>
      <c r="CA241" s="514"/>
      <c r="CB241" s="514"/>
      <c r="CC241" s="514"/>
      <c r="CD241" s="514"/>
      <c r="CE241" s="514"/>
      <c r="CF241" s="514"/>
      <c r="CG241" s="514"/>
      <c r="CH241" s="514"/>
      <c r="CI241" s="514"/>
      <c r="CJ241" s="514"/>
      <c r="CK241" s="514"/>
      <c r="CL241" s="514"/>
      <c r="CM241" s="514"/>
      <c r="CN241" s="514"/>
      <c r="CO241" s="514"/>
      <c r="CP241" s="514"/>
      <c r="CQ241" s="514"/>
      <c r="CR241" s="514"/>
      <c r="CS241" s="514"/>
      <c r="CT241" s="514"/>
      <c r="CU241" s="514"/>
      <c r="CV241" s="514"/>
      <c r="CW241" s="514"/>
      <c r="CX241" s="514"/>
      <c r="CY241" s="514"/>
      <c r="CZ241" s="514"/>
      <c r="DA241" s="514"/>
      <c r="DB241" s="514"/>
      <c r="DC241" s="514"/>
      <c r="DD241" s="514"/>
      <c r="DE241" s="514"/>
      <c r="DF241" s="514"/>
      <c r="DG241" s="514"/>
      <c r="DH241" s="514"/>
      <c r="DI241" s="514"/>
      <c r="DJ241" s="514"/>
      <c r="DK241" s="514"/>
      <c r="DL241" s="514"/>
      <c r="DM241" s="514"/>
      <c r="DN241" s="514"/>
      <c r="DO241" s="514"/>
      <c r="DP241" s="514"/>
      <c r="DQ241" s="514"/>
      <c r="DR241" s="514"/>
      <c r="DS241" s="514"/>
      <c r="DT241" s="514"/>
      <c r="DU241" s="514"/>
      <c r="DV241" s="514"/>
      <c r="DW241" s="514"/>
    </row>
    <row r="242" spans="1:127" s="343" customFormat="1" x14ac:dyDescent="0.2">
      <c r="A242" s="514"/>
      <c r="B242" s="445"/>
      <c r="C242" s="533"/>
      <c r="D242" s="543" t="str">
        <f>$D$111</f>
        <v>Option 3: Replace / Install 80% Network Devices, Purchase the Remaining 20% of the AMI data and Control Functionality</v>
      </c>
      <c r="E242" s="559" t="str">
        <f>E241</f>
        <v>Pending AER guideline</v>
      </c>
      <c r="F242" s="579"/>
      <c r="G242" s="581"/>
      <c r="H242" s="581"/>
      <c r="I242" s="581"/>
      <c r="J242" s="581"/>
      <c r="K242" s="581"/>
      <c r="L242" s="581"/>
      <c r="M242" s="581"/>
      <c r="N242" s="581"/>
      <c r="O242" s="581"/>
      <c r="P242" s="581"/>
      <c r="Q242" s="581"/>
      <c r="R242" s="581"/>
      <c r="S242" s="581"/>
      <c r="T242" s="581"/>
      <c r="U242" s="581"/>
      <c r="V242" s="581"/>
      <c r="W242" s="581"/>
      <c r="X242" s="581"/>
      <c r="Y242" s="581"/>
      <c r="Z242" s="581"/>
      <c r="AA242" s="446"/>
      <c r="AB242" s="447"/>
      <c r="AC242" s="514"/>
      <c r="AD242" s="514"/>
      <c r="AE242" s="514"/>
      <c r="AF242" s="514"/>
      <c r="AG242" s="514"/>
      <c r="AH242" s="514"/>
      <c r="AI242" s="514"/>
      <c r="AJ242" s="514"/>
      <c r="AK242" s="514"/>
      <c r="AL242" s="514"/>
      <c r="AM242" s="514"/>
      <c r="AN242" s="514"/>
      <c r="AO242" s="514"/>
      <c r="AP242" s="514"/>
      <c r="AQ242" s="514"/>
      <c r="AR242" s="514"/>
      <c r="AS242" s="514"/>
      <c r="AT242" s="514"/>
      <c r="AU242" s="514"/>
      <c r="AV242" s="514"/>
      <c r="AW242" s="514"/>
      <c r="AX242" s="514"/>
      <c r="AY242" s="514"/>
      <c r="AZ242" s="514"/>
      <c r="BA242" s="514"/>
      <c r="BB242" s="514"/>
      <c r="BC242" s="514"/>
      <c r="BD242" s="514"/>
      <c r="BE242" s="514"/>
      <c r="BF242" s="514"/>
      <c r="BG242" s="514"/>
      <c r="BH242" s="514"/>
      <c r="BI242" s="514"/>
      <c r="BJ242" s="514"/>
      <c r="BK242" s="514"/>
      <c r="BL242" s="514"/>
      <c r="BM242" s="514"/>
      <c r="BN242" s="514"/>
      <c r="BO242" s="514"/>
      <c r="BP242" s="514"/>
      <c r="BQ242" s="514"/>
      <c r="BR242" s="514"/>
      <c r="BS242" s="514"/>
      <c r="BT242" s="514"/>
      <c r="BU242" s="514"/>
      <c r="BV242" s="514"/>
      <c r="BW242" s="514"/>
      <c r="BX242" s="514"/>
      <c r="BY242" s="514"/>
      <c r="BZ242" s="514"/>
      <c r="CA242" s="514"/>
      <c r="CB242" s="514"/>
      <c r="CC242" s="514"/>
      <c r="CD242" s="514"/>
      <c r="CE242" s="514"/>
      <c r="CF242" s="514"/>
      <c r="CG242" s="514"/>
      <c r="CH242" s="514"/>
      <c r="CI242" s="514"/>
      <c r="CJ242" s="514"/>
      <c r="CK242" s="514"/>
      <c r="CL242" s="514"/>
      <c r="CM242" s="514"/>
      <c r="CN242" s="514"/>
      <c r="CO242" s="514"/>
      <c r="CP242" s="514"/>
      <c r="CQ242" s="514"/>
      <c r="CR242" s="514"/>
      <c r="CS242" s="514"/>
      <c r="CT242" s="514"/>
      <c r="CU242" s="514"/>
      <c r="CV242" s="514"/>
      <c r="CW242" s="514"/>
      <c r="CX242" s="514"/>
      <c r="CY242" s="514"/>
      <c r="CZ242" s="514"/>
      <c r="DA242" s="514"/>
      <c r="DB242" s="514"/>
      <c r="DC242" s="514"/>
      <c r="DD242" s="514"/>
      <c r="DE242" s="514"/>
      <c r="DF242" s="514"/>
      <c r="DG242" s="514"/>
      <c r="DH242" s="514"/>
      <c r="DI242" s="514"/>
      <c r="DJ242" s="514"/>
      <c r="DK242" s="514"/>
      <c r="DL242" s="514"/>
      <c r="DM242" s="514"/>
      <c r="DN242" s="514"/>
      <c r="DO242" s="514"/>
      <c r="DP242" s="514"/>
      <c r="DQ242" s="514"/>
      <c r="DR242" s="514"/>
      <c r="DS242" s="514"/>
      <c r="DT242" s="514"/>
      <c r="DU242" s="514"/>
      <c r="DV242" s="514"/>
      <c r="DW242" s="514"/>
    </row>
    <row r="243" spans="1:127" s="343" customFormat="1" x14ac:dyDescent="0.2">
      <c r="A243" s="514"/>
      <c r="B243" s="445"/>
      <c r="C243" s="533"/>
      <c r="D243" s="543" t="str">
        <f>$D$140</f>
        <v xml:space="preserve">Option 4: </v>
      </c>
      <c r="E243" s="559" t="str">
        <f>E242</f>
        <v>Pending AER guideline</v>
      </c>
      <c r="F243" s="579"/>
      <c r="G243" s="581"/>
      <c r="H243" s="581"/>
      <c r="I243" s="581"/>
      <c r="J243" s="581"/>
      <c r="K243" s="581"/>
      <c r="L243" s="581"/>
      <c r="M243" s="581"/>
      <c r="N243" s="581"/>
      <c r="O243" s="581"/>
      <c r="P243" s="581"/>
      <c r="Q243" s="581"/>
      <c r="R243" s="581"/>
      <c r="S243" s="581"/>
      <c r="T243" s="581"/>
      <c r="U243" s="581"/>
      <c r="V243" s="581"/>
      <c r="W243" s="581"/>
      <c r="X243" s="581"/>
      <c r="Y243" s="581"/>
      <c r="Z243" s="581"/>
      <c r="AA243" s="446"/>
      <c r="AB243" s="447"/>
      <c r="AC243" s="514"/>
      <c r="AD243" s="514"/>
      <c r="AE243" s="514"/>
      <c r="AF243" s="514"/>
      <c r="AG243" s="514"/>
      <c r="AH243" s="514"/>
      <c r="AI243" s="514"/>
      <c r="AJ243" s="514"/>
      <c r="AK243" s="514"/>
      <c r="AL243" s="514"/>
      <c r="AM243" s="514"/>
      <c r="AN243" s="514"/>
      <c r="AO243" s="514"/>
      <c r="AP243" s="514"/>
      <c r="AQ243" s="514"/>
      <c r="AR243" s="514"/>
      <c r="AS243" s="514"/>
      <c r="AT243" s="514"/>
      <c r="AU243" s="514"/>
      <c r="AV243" s="514"/>
      <c r="AW243" s="514"/>
      <c r="AX243" s="514"/>
      <c r="AY243" s="514"/>
      <c r="AZ243" s="514"/>
      <c r="BA243" s="514"/>
      <c r="BB243" s="514"/>
      <c r="BC243" s="514"/>
      <c r="BD243" s="514"/>
      <c r="BE243" s="514"/>
      <c r="BF243" s="514"/>
      <c r="BG243" s="514"/>
      <c r="BH243" s="514"/>
      <c r="BI243" s="514"/>
      <c r="BJ243" s="514"/>
      <c r="BK243" s="514"/>
      <c r="BL243" s="514"/>
      <c r="BM243" s="514"/>
      <c r="BN243" s="514"/>
      <c r="BO243" s="514"/>
      <c r="BP243" s="514"/>
      <c r="BQ243" s="514"/>
      <c r="BR243" s="514"/>
      <c r="BS243" s="514"/>
      <c r="BT243" s="514"/>
      <c r="BU243" s="514"/>
      <c r="BV243" s="514"/>
      <c r="BW243" s="514"/>
      <c r="BX243" s="514"/>
      <c r="BY243" s="514"/>
      <c r="BZ243" s="514"/>
      <c r="CA243" s="514"/>
      <c r="CB243" s="514"/>
      <c r="CC243" s="514"/>
      <c r="CD243" s="514"/>
      <c r="CE243" s="514"/>
      <c r="CF243" s="514"/>
      <c r="CG243" s="514"/>
      <c r="CH243" s="514"/>
      <c r="CI243" s="514"/>
      <c r="CJ243" s="514"/>
      <c r="CK243" s="514"/>
      <c r="CL243" s="514"/>
      <c r="CM243" s="514"/>
      <c r="CN243" s="514"/>
      <c r="CO243" s="514"/>
      <c r="CP243" s="514"/>
      <c r="CQ243" s="514"/>
      <c r="CR243" s="514"/>
      <c r="CS243" s="514"/>
      <c r="CT243" s="514"/>
      <c r="CU243" s="514"/>
      <c r="CV243" s="514"/>
      <c r="CW243" s="514"/>
      <c r="CX243" s="514"/>
      <c r="CY243" s="514"/>
      <c r="CZ243" s="514"/>
      <c r="DA243" s="514"/>
      <c r="DB243" s="514"/>
      <c r="DC243" s="514"/>
      <c r="DD243" s="514"/>
      <c r="DE243" s="514"/>
      <c r="DF243" s="514"/>
      <c r="DG243" s="514"/>
      <c r="DH243" s="514"/>
      <c r="DI243" s="514"/>
      <c r="DJ243" s="514"/>
      <c r="DK243" s="514"/>
      <c r="DL243" s="514"/>
      <c r="DM243" s="514"/>
      <c r="DN243" s="514"/>
      <c r="DO243" s="514"/>
      <c r="DP243" s="514"/>
      <c r="DQ243" s="514"/>
      <c r="DR243" s="514"/>
      <c r="DS243" s="514"/>
      <c r="DT243" s="514"/>
      <c r="DU243" s="514"/>
      <c r="DV243" s="514"/>
      <c r="DW243" s="514"/>
    </row>
    <row r="244" spans="1:127" s="343" customFormat="1" x14ac:dyDescent="0.2">
      <c r="A244" s="514"/>
      <c r="B244" s="445"/>
      <c r="C244" s="533"/>
      <c r="D244" s="543" t="str">
        <f>$D$169</f>
        <v xml:space="preserve">Option 5: </v>
      </c>
      <c r="E244" s="559" t="str">
        <f>E243</f>
        <v>Pending AER guideline</v>
      </c>
      <c r="F244" s="579"/>
      <c r="G244" s="580"/>
      <c r="H244" s="580"/>
      <c r="I244" s="580"/>
      <c r="J244" s="580"/>
      <c r="K244" s="580"/>
      <c r="L244" s="580"/>
      <c r="M244" s="580"/>
      <c r="N244" s="580"/>
      <c r="O244" s="580"/>
      <c r="P244" s="580"/>
      <c r="Q244" s="580"/>
      <c r="R244" s="580"/>
      <c r="S244" s="580"/>
      <c r="T244" s="580"/>
      <c r="U244" s="580"/>
      <c r="V244" s="580"/>
      <c r="W244" s="580"/>
      <c r="X244" s="580"/>
      <c r="Y244" s="580"/>
      <c r="Z244" s="580"/>
      <c r="AA244" s="446"/>
      <c r="AB244" s="447"/>
      <c r="AC244" s="514"/>
      <c r="AD244" s="514"/>
      <c r="AE244" s="514"/>
      <c r="AF244" s="514"/>
      <c r="AG244" s="514"/>
      <c r="AH244" s="514"/>
      <c r="AI244" s="514"/>
      <c r="AJ244" s="514"/>
      <c r="AK244" s="514"/>
      <c r="AL244" s="514"/>
      <c r="AM244" s="514"/>
      <c r="AN244" s="514"/>
      <c r="AO244" s="514"/>
      <c r="AP244" s="514"/>
      <c r="AQ244" s="514"/>
      <c r="AR244" s="514"/>
      <c r="AS244" s="514"/>
      <c r="AT244" s="514"/>
      <c r="AU244" s="514"/>
      <c r="AV244" s="514"/>
      <c r="AW244" s="514"/>
      <c r="AX244" s="514"/>
      <c r="AY244" s="514"/>
      <c r="AZ244" s="514"/>
      <c r="BA244" s="514"/>
      <c r="BB244" s="514"/>
      <c r="BC244" s="514"/>
      <c r="BD244" s="514"/>
      <c r="BE244" s="514"/>
      <c r="BF244" s="514"/>
      <c r="BG244" s="514"/>
      <c r="BH244" s="514"/>
      <c r="BI244" s="514"/>
      <c r="BJ244" s="514"/>
      <c r="BK244" s="514"/>
      <c r="BL244" s="514"/>
      <c r="BM244" s="514"/>
      <c r="BN244" s="514"/>
      <c r="BO244" s="514"/>
      <c r="BP244" s="514"/>
      <c r="BQ244" s="514"/>
      <c r="BR244" s="514"/>
      <c r="BS244" s="514"/>
      <c r="BT244" s="514"/>
      <c r="BU244" s="514"/>
      <c r="BV244" s="514"/>
      <c r="BW244" s="514"/>
      <c r="BX244" s="514"/>
      <c r="BY244" s="514"/>
      <c r="BZ244" s="514"/>
      <c r="CA244" s="514"/>
      <c r="CB244" s="514"/>
      <c r="CC244" s="514"/>
      <c r="CD244" s="514"/>
      <c r="CE244" s="514"/>
      <c r="CF244" s="514"/>
      <c r="CG244" s="514"/>
      <c r="CH244" s="514"/>
      <c r="CI244" s="514"/>
      <c r="CJ244" s="514"/>
      <c r="CK244" s="514"/>
      <c r="CL244" s="514"/>
      <c r="CM244" s="514"/>
      <c r="CN244" s="514"/>
      <c r="CO244" s="514"/>
      <c r="CP244" s="514"/>
      <c r="CQ244" s="514"/>
      <c r="CR244" s="514"/>
      <c r="CS244" s="514"/>
      <c r="CT244" s="514"/>
      <c r="CU244" s="514"/>
      <c r="CV244" s="514"/>
      <c r="CW244" s="514"/>
      <c r="CX244" s="514"/>
      <c r="CY244" s="514"/>
      <c r="CZ244" s="514"/>
      <c r="DA244" s="514"/>
      <c r="DB244" s="514"/>
      <c r="DC244" s="514"/>
      <c r="DD244" s="514"/>
      <c r="DE244" s="514"/>
      <c r="DF244" s="514"/>
      <c r="DG244" s="514"/>
      <c r="DH244" s="514"/>
      <c r="DI244" s="514"/>
      <c r="DJ244" s="514"/>
      <c r="DK244" s="514"/>
      <c r="DL244" s="514"/>
      <c r="DM244" s="514"/>
      <c r="DN244" s="514"/>
      <c r="DO244" s="514"/>
      <c r="DP244" s="514"/>
      <c r="DQ244" s="514"/>
      <c r="DR244" s="514"/>
      <c r="DS244" s="514"/>
      <c r="DT244" s="514"/>
      <c r="DU244" s="514"/>
      <c r="DV244" s="514"/>
      <c r="DW244" s="514"/>
    </row>
    <row r="245" spans="1:127" s="343" customFormat="1" x14ac:dyDescent="0.2">
      <c r="A245" s="514"/>
      <c r="B245" s="568"/>
      <c r="C245" s="533"/>
      <c r="D245" s="563"/>
      <c r="E245" s="569"/>
      <c r="F245" s="563"/>
      <c r="G245" s="563"/>
      <c r="H245" s="563"/>
      <c r="I245" s="563"/>
      <c r="J245" s="563"/>
      <c r="K245" s="563"/>
      <c r="L245" s="563"/>
      <c r="M245" s="563"/>
      <c r="N245" s="563"/>
      <c r="O245" s="563"/>
      <c r="P245" s="563"/>
      <c r="Q245" s="563"/>
      <c r="R245" s="563"/>
      <c r="S245" s="563"/>
      <c r="T245" s="563"/>
      <c r="U245" s="563"/>
      <c r="V245" s="563"/>
      <c r="W245" s="563"/>
      <c r="X245" s="563"/>
      <c r="Y245" s="563"/>
      <c r="Z245" s="563"/>
      <c r="AA245" s="563"/>
      <c r="AB245" s="564"/>
      <c r="AC245" s="514"/>
      <c r="AD245" s="514"/>
      <c r="AE245" s="514"/>
      <c r="AF245" s="514"/>
      <c r="AG245" s="514"/>
      <c r="AH245" s="514"/>
      <c r="AI245" s="514"/>
      <c r="AJ245" s="514"/>
      <c r="AK245" s="514"/>
      <c r="AL245" s="514"/>
      <c r="AM245" s="514"/>
      <c r="AN245" s="514"/>
      <c r="AO245" s="514"/>
      <c r="AP245" s="514"/>
      <c r="AQ245" s="514"/>
      <c r="AR245" s="514"/>
      <c r="AS245" s="514"/>
      <c r="AT245" s="514"/>
      <c r="AU245" s="514"/>
      <c r="AV245" s="514"/>
      <c r="AW245" s="514"/>
      <c r="AX245" s="514"/>
      <c r="AY245" s="514"/>
      <c r="AZ245" s="514"/>
      <c r="BA245" s="514"/>
      <c r="BB245" s="514"/>
      <c r="BC245" s="514"/>
      <c r="BD245" s="514"/>
      <c r="BE245" s="514"/>
      <c r="BF245" s="514"/>
      <c r="BG245" s="514"/>
      <c r="BH245" s="514"/>
      <c r="BI245" s="514"/>
      <c r="BJ245" s="514"/>
      <c r="BK245" s="514"/>
      <c r="BL245" s="514"/>
      <c r="BM245" s="514"/>
      <c r="BN245" s="514"/>
      <c r="BO245" s="514"/>
      <c r="BP245" s="514"/>
      <c r="BQ245" s="514"/>
      <c r="BR245" s="514"/>
      <c r="BS245" s="514"/>
      <c r="BT245" s="514"/>
      <c r="BU245" s="514"/>
      <c r="BV245" s="514"/>
      <c r="BW245" s="514"/>
      <c r="BX245" s="514"/>
      <c r="BY245" s="514"/>
      <c r="BZ245" s="514"/>
      <c r="CA245" s="514"/>
      <c r="CB245" s="514"/>
      <c r="CC245" s="514"/>
      <c r="CD245" s="514"/>
      <c r="CE245" s="514"/>
      <c r="CF245" s="514"/>
      <c r="CG245" s="514"/>
      <c r="CH245" s="514"/>
      <c r="CI245" s="514"/>
      <c r="CJ245" s="514"/>
      <c r="CK245" s="514"/>
      <c r="CL245" s="514"/>
      <c r="CM245" s="514"/>
      <c r="CN245" s="514"/>
      <c r="CO245" s="514"/>
      <c r="CP245" s="514"/>
      <c r="CQ245" s="514"/>
      <c r="CR245" s="514"/>
      <c r="CS245" s="514"/>
      <c r="CT245" s="514"/>
      <c r="CU245" s="514"/>
      <c r="CV245" s="514"/>
      <c r="CW245" s="514"/>
      <c r="CX245" s="514"/>
      <c r="CY245" s="514"/>
      <c r="CZ245" s="514"/>
      <c r="DA245" s="514"/>
      <c r="DB245" s="514"/>
      <c r="DC245" s="514"/>
      <c r="DD245" s="514"/>
      <c r="DE245" s="514"/>
      <c r="DF245" s="514"/>
      <c r="DG245" s="514"/>
      <c r="DH245" s="514"/>
      <c r="DI245" s="514"/>
      <c r="DJ245" s="514"/>
      <c r="DK245" s="514"/>
      <c r="DL245" s="514"/>
      <c r="DM245" s="514"/>
      <c r="DN245" s="514"/>
      <c r="DO245" s="514"/>
      <c r="DP245" s="514"/>
      <c r="DQ245" s="514"/>
      <c r="DR245" s="514"/>
      <c r="DS245" s="514"/>
      <c r="DT245" s="514"/>
      <c r="DU245" s="514"/>
      <c r="DV245" s="514"/>
      <c r="DW245" s="514"/>
    </row>
    <row r="246" spans="1:127" s="343" customFormat="1" x14ac:dyDescent="0.2">
      <c r="A246" s="514"/>
      <c r="B246" s="445"/>
      <c r="C246" s="533">
        <v>5</v>
      </c>
      <c r="D246" s="558" t="s">
        <v>218</v>
      </c>
      <c r="E246" s="561" t="s">
        <v>219</v>
      </c>
      <c r="F246" s="562"/>
      <c r="G246" s="562">
        <f t="shared" ref="G246:Z246" si="45">G$186</f>
        <v>2019</v>
      </c>
      <c r="H246" s="562">
        <f t="shared" si="45"/>
        <v>2020</v>
      </c>
      <c r="I246" s="562">
        <f t="shared" si="45"/>
        <v>2021</v>
      </c>
      <c r="J246" s="562">
        <f t="shared" si="45"/>
        <v>2022</v>
      </c>
      <c r="K246" s="562">
        <f t="shared" si="45"/>
        <v>2023</v>
      </c>
      <c r="L246" s="562">
        <f t="shared" si="45"/>
        <v>2024</v>
      </c>
      <c r="M246" s="562">
        <f t="shared" si="45"/>
        <v>2025</v>
      </c>
      <c r="N246" s="562">
        <f t="shared" si="45"/>
        <v>2026</v>
      </c>
      <c r="O246" s="562">
        <f t="shared" si="45"/>
        <v>2027</v>
      </c>
      <c r="P246" s="562">
        <f t="shared" si="45"/>
        <v>2028</v>
      </c>
      <c r="Q246" s="562">
        <f t="shared" si="45"/>
        <v>2029</v>
      </c>
      <c r="R246" s="562">
        <f t="shared" si="45"/>
        <v>2030</v>
      </c>
      <c r="S246" s="562">
        <f t="shared" si="45"/>
        <v>2031</v>
      </c>
      <c r="T246" s="562">
        <f t="shared" si="45"/>
        <v>2032</v>
      </c>
      <c r="U246" s="562">
        <f t="shared" si="45"/>
        <v>2033</v>
      </c>
      <c r="V246" s="562">
        <f t="shared" si="45"/>
        <v>2034</v>
      </c>
      <c r="W246" s="562">
        <f t="shared" si="45"/>
        <v>2035</v>
      </c>
      <c r="X246" s="562">
        <f t="shared" si="45"/>
        <v>2036</v>
      </c>
      <c r="Y246" s="562">
        <f t="shared" si="45"/>
        <v>2037</v>
      </c>
      <c r="Z246" s="562">
        <f t="shared" si="45"/>
        <v>2038</v>
      </c>
      <c r="AA246" s="446"/>
      <c r="AB246" s="447"/>
      <c r="AC246" s="514"/>
      <c r="AD246" s="514"/>
      <c r="AE246" s="514"/>
      <c r="AF246" s="514"/>
      <c r="AG246" s="514"/>
      <c r="AH246" s="514"/>
      <c r="AI246" s="514"/>
      <c r="AJ246" s="514"/>
      <c r="AK246" s="514"/>
      <c r="AL246" s="514"/>
      <c r="AM246" s="514"/>
      <c r="AN246" s="514"/>
      <c r="AO246" s="514"/>
      <c r="AP246" s="514"/>
      <c r="AQ246" s="514"/>
      <c r="AR246" s="514"/>
      <c r="AS246" s="514"/>
      <c r="AT246" s="514"/>
      <c r="AU246" s="514"/>
      <c r="AV246" s="514"/>
      <c r="AW246" s="514"/>
      <c r="AX246" s="514"/>
      <c r="AY246" s="514"/>
      <c r="AZ246" s="514"/>
      <c r="BA246" s="514"/>
      <c r="BB246" s="514"/>
      <c r="BC246" s="514"/>
      <c r="BD246" s="514"/>
      <c r="BE246" s="514"/>
      <c r="BF246" s="514"/>
      <c r="BG246" s="514"/>
      <c r="BH246" s="514"/>
      <c r="BI246" s="514"/>
      <c r="BJ246" s="514"/>
      <c r="BK246" s="514"/>
      <c r="BL246" s="514"/>
      <c r="BM246" s="514"/>
      <c r="BN246" s="514"/>
      <c r="BO246" s="514"/>
      <c r="BP246" s="514"/>
      <c r="BQ246" s="514"/>
      <c r="BR246" s="514"/>
      <c r="BS246" s="514"/>
      <c r="BT246" s="514"/>
      <c r="BU246" s="514"/>
      <c r="BV246" s="514"/>
      <c r="BW246" s="514"/>
      <c r="BX246" s="514"/>
      <c r="BY246" s="514"/>
      <c r="BZ246" s="514"/>
      <c r="CA246" s="514"/>
      <c r="CB246" s="514"/>
      <c r="CC246" s="514"/>
      <c r="CD246" s="514"/>
      <c r="CE246" s="514"/>
      <c r="CF246" s="514"/>
      <c r="CG246" s="514"/>
      <c r="CH246" s="514"/>
      <c r="CI246" s="514"/>
      <c r="CJ246" s="514"/>
      <c r="CK246" s="514"/>
      <c r="CL246" s="514"/>
      <c r="CM246" s="514"/>
      <c r="CN246" s="514"/>
      <c r="CO246" s="514"/>
      <c r="CP246" s="514"/>
      <c r="CQ246" s="514"/>
      <c r="CR246" s="514"/>
      <c r="CS246" s="514"/>
      <c r="CT246" s="514"/>
      <c r="CU246" s="514"/>
      <c r="CV246" s="514"/>
      <c r="CW246" s="514"/>
      <c r="CX246" s="514"/>
      <c r="CY246" s="514"/>
      <c r="CZ246" s="514"/>
      <c r="DA246" s="514"/>
      <c r="DB246" s="514"/>
      <c r="DC246" s="514"/>
      <c r="DD246" s="514"/>
      <c r="DE246" s="514"/>
      <c r="DF246" s="514"/>
      <c r="DG246" s="514"/>
      <c r="DH246" s="514"/>
      <c r="DI246" s="514"/>
      <c r="DJ246" s="514"/>
      <c r="DK246" s="514"/>
      <c r="DL246" s="514"/>
      <c r="DM246" s="514"/>
      <c r="DN246" s="514"/>
      <c r="DO246" s="514"/>
      <c r="DP246" s="514"/>
      <c r="DQ246" s="514"/>
      <c r="DR246" s="514"/>
      <c r="DS246" s="514"/>
      <c r="DT246" s="514"/>
      <c r="DU246" s="514"/>
      <c r="DV246" s="514"/>
      <c r="DW246" s="514"/>
    </row>
    <row r="247" spans="1:127" x14ac:dyDescent="0.2">
      <c r="B247" s="445"/>
      <c r="C247" s="533"/>
      <c r="D247" s="543" t="str">
        <f>$D$24</f>
        <v>"Status Quo" Reference Case</v>
      </c>
      <c r="E247" s="559" t="s">
        <v>174</v>
      </c>
      <c r="F247" s="281"/>
      <c r="G247" s="548"/>
      <c r="H247" s="548"/>
      <c r="I247" s="548"/>
      <c r="J247" s="548"/>
      <c r="K247" s="548"/>
      <c r="L247" s="548"/>
      <c r="M247" s="548"/>
      <c r="N247" s="548"/>
      <c r="O247" s="548"/>
      <c r="P247" s="548"/>
      <c r="Q247" s="548"/>
      <c r="R247" s="548"/>
      <c r="S247" s="548"/>
      <c r="T247" s="548"/>
      <c r="U247" s="548"/>
      <c r="V247" s="548"/>
      <c r="W247" s="548"/>
      <c r="X247" s="548"/>
      <c r="Y247" s="548"/>
      <c r="Z247" s="548"/>
      <c r="AA247" s="446"/>
      <c r="AB247" s="447"/>
    </row>
    <row r="248" spans="1:127" x14ac:dyDescent="0.2">
      <c r="B248" s="445"/>
      <c r="C248" s="533"/>
      <c r="D248" s="543" t="str">
        <f>$D$53</f>
        <v>Option 1: Perform Manual Neutral Integrity where UE Meters are Removed</v>
      </c>
      <c r="E248" s="559" t="s">
        <v>174</v>
      </c>
      <c r="F248" s="281"/>
      <c r="G248" s="548"/>
      <c r="H248" s="548"/>
      <c r="I248" s="548"/>
      <c r="J248" s="548"/>
      <c r="K248" s="548"/>
      <c r="L248" s="548"/>
      <c r="M248" s="548"/>
      <c r="N248" s="548"/>
      <c r="O248" s="548"/>
      <c r="P248" s="548"/>
      <c r="Q248" s="548"/>
      <c r="R248" s="548"/>
      <c r="S248" s="548"/>
      <c r="T248" s="548"/>
      <c r="U248" s="548"/>
      <c r="V248" s="548"/>
      <c r="W248" s="548"/>
      <c r="X248" s="548"/>
      <c r="Y248" s="548"/>
      <c r="Z248" s="548"/>
      <c r="AA248" s="446"/>
      <c r="AB248" s="447"/>
    </row>
    <row r="249" spans="1:127" x14ac:dyDescent="0.2">
      <c r="B249" s="445"/>
      <c r="C249" s="533"/>
      <c r="D249" s="543" t="str">
        <f>$D$82</f>
        <v>Option 2: Replace / Install Network Devices</v>
      </c>
      <c r="E249" s="559" t="s">
        <v>174</v>
      </c>
      <c r="F249" s="281"/>
      <c r="G249" s="549"/>
      <c r="H249" s="549"/>
      <c r="I249" s="549"/>
      <c r="J249" s="549"/>
      <c r="K249" s="549"/>
      <c r="L249" s="549"/>
      <c r="M249" s="549"/>
      <c r="N249" s="549"/>
      <c r="O249" s="549"/>
      <c r="P249" s="549"/>
      <c r="Q249" s="549"/>
      <c r="R249" s="549"/>
      <c r="S249" s="549"/>
      <c r="T249" s="549"/>
      <c r="U249" s="549"/>
      <c r="V249" s="549"/>
      <c r="W249" s="549"/>
      <c r="X249" s="549"/>
      <c r="Y249" s="549"/>
      <c r="Z249" s="549"/>
      <c r="AA249" s="446"/>
      <c r="AB249" s="447"/>
    </row>
    <row r="250" spans="1:127" x14ac:dyDescent="0.2">
      <c r="B250" s="445"/>
      <c r="C250" s="533"/>
      <c r="D250" s="543" t="str">
        <f>$D$111</f>
        <v>Option 3: Replace / Install 80% Network Devices, Purchase the Remaining 20% of the AMI data and Control Functionality</v>
      </c>
      <c r="E250" s="559" t="s">
        <v>174</v>
      </c>
      <c r="F250" s="281"/>
      <c r="G250" s="549"/>
      <c r="H250" s="549"/>
      <c r="I250" s="549"/>
      <c r="J250" s="549"/>
      <c r="K250" s="549"/>
      <c r="L250" s="549"/>
      <c r="M250" s="549"/>
      <c r="N250" s="549"/>
      <c r="O250" s="549"/>
      <c r="P250" s="549"/>
      <c r="Q250" s="549"/>
      <c r="R250" s="549"/>
      <c r="S250" s="549"/>
      <c r="T250" s="549"/>
      <c r="U250" s="549"/>
      <c r="V250" s="549"/>
      <c r="W250" s="549"/>
      <c r="X250" s="549"/>
      <c r="Y250" s="549"/>
      <c r="Z250" s="549"/>
      <c r="AA250" s="446"/>
      <c r="AB250" s="447"/>
    </row>
    <row r="251" spans="1:127" x14ac:dyDescent="0.2">
      <c r="B251" s="445"/>
      <c r="C251" s="533"/>
      <c r="D251" s="543" t="str">
        <f>$D$140</f>
        <v xml:space="preserve">Option 4: </v>
      </c>
      <c r="E251" s="559" t="s">
        <v>174</v>
      </c>
      <c r="F251" s="281"/>
      <c r="G251" s="549"/>
      <c r="H251" s="549"/>
      <c r="I251" s="549"/>
      <c r="J251" s="549"/>
      <c r="K251" s="549"/>
      <c r="L251" s="549"/>
      <c r="M251" s="549"/>
      <c r="N251" s="549"/>
      <c r="O251" s="549"/>
      <c r="P251" s="549"/>
      <c r="Q251" s="549"/>
      <c r="R251" s="549"/>
      <c r="S251" s="549"/>
      <c r="T251" s="549"/>
      <c r="U251" s="549"/>
      <c r="V251" s="549"/>
      <c r="W251" s="549"/>
      <c r="X251" s="549"/>
      <c r="Y251" s="549"/>
      <c r="Z251" s="549"/>
      <c r="AA251" s="446"/>
      <c r="AB251" s="447"/>
    </row>
    <row r="252" spans="1:127" x14ac:dyDescent="0.2">
      <c r="B252" s="445"/>
      <c r="C252" s="533"/>
      <c r="D252" s="543" t="str">
        <f>$D$169</f>
        <v xml:space="preserve">Option 5: </v>
      </c>
      <c r="E252" s="559" t="s">
        <v>174</v>
      </c>
      <c r="F252" s="281"/>
      <c r="G252" s="548"/>
      <c r="H252" s="548"/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548"/>
      <c r="Z252" s="548"/>
      <c r="AA252" s="446"/>
      <c r="AB252" s="447"/>
    </row>
    <row r="253" spans="1:127" s="343" customFormat="1" x14ac:dyDescent="0.2">
      <c r="A253" s="514"/>
      <c r="B253" s="568"/>
      <c r="C253" s="533"/>
      <c r="D253" s="563"/>
      <c r="E253" s="569"/>
      <c r="F253" s="563"/>
      <c r="G253" s="563"/>
      <c r="H253" s="563"/>
      <c r="I253" s="563"/>
      <c r="J253" s="563"/>
      <c r="K253" s="563"/>
      <c r="L253" s="563"/>
      <c r="M253" s="563"/>
      <c r="N253" s="563"/>
      <c r="O253" s="563"/>
      <c r="P253" s="563"/>
      <c r="Q253" s="563"/>
      <c r="R253" s="563"/>
      <c r="S253" s="563"/>
      <c r="T253" s="563"/>
      <c r="U253" s="563"/>
      <c r="V253" s="563"/>
      <c r="W253" s="563"/>
      <c r="X253" s="563"/>
      <c r="Y253" s="563"/>
      <c r="Z253" s="563"/>
      <c r="AA253" s="563"/>
      <c r="AB253" s="564"/>
      <c r="AC253" s="514"/>
      <c r="AD253" s="514"/>
      <c r="AE253" s="514"/>
      <c r="AF253" s="514"/>
      <c r="AG253" s="514"/>
      <c r="AH253" s="514"/>
      <c r="AI253" s="514"/>
      <c r="AJ253" s="514"/>
      <c r="AK253" s="514"/>
      <c r="AL253" s="514"/>
      <c r="AM253" s="514"/>
      <c r="AN253" s="514"/>
      <c r="AO253" s="514"/>
      <c r="AP253" s="514"/>
      <c r="AQ253" s="514"/>
      <c r="AR253" s="514"/>
      <c r="AS253" s="514"/>
      <c r="AT253" s="514"/>
      <c r="AU253" s="514"/>
      <c r="AV253" s="514"/>
      <c r="AW253" s="514"/>
      <c r="AX253" s="514"/>
      <c r="AY253" s="514"/>
      <c r="AZ253" s="514"/>
      <c r="BA253" s="514"/>
      <c r="BB253" s="514"/>
      <c r="BC253" s="514"/>
      <c r="BD253" s="514"/>
      <c r="BE253" s="514"/>
      <c r="BF253" s="514"/>
      <c r="BG253" s="514"/>
      <c r="BH253" s="514"/>
      <c r="BI253" s="514"/>
      <c r="BJ253" s="514"/>
      <c r="BK253" s="514"/>
      <c r="BL253" s="514"/>
      <c r="BM253" s="514"/>
      <c r="BN253" s="514"/>
      <c r="BO253" s="514"/>
      <c r="BP253" s="514"/>
      <c r="BQ253" s="514"/>
      <c r="BR253" s="514"/>
      <c r="BS253" s="514"/>
      <c r="BT253" s="514"/>
      <c r="BU253" s="514"/>
      <c r="BV253" s="514"/>
      <c r="BW253" s="514"/>
      <c r="BX253" s="514"/>
      <c r="BY253" s="514"/>
      <c r="BZ253" s="514"/>
      <c r="CA253" s="514"/>
      <c r="CB253" s="514"/>
      <c r="CC253" s="514"/>
      <c r="CD253" s="514"/>
      <c r="CE253" s="514"/>
      <c r="CF253" s="514"/>
      <c r="CG253" s="514"/>
      <c r="CH253" s="514"/>
      <c r="CI253" s="514"/>
      <c r="CJ253" s="514"/>
      <c r="CK253" s="514"/>
      <c r="CL253" s="514"/>
      <c r="CM253" s="514"/>
      <c r="CN253" s="514"/>
      <c r="CO253" s="514"/>
      <c r="CP253" s="514"/>
      <c r="CQ253" s="514"/>
      <c r="CR253" s="514"/>
      <c r="CS253" s="514"/>
      <c r="CT253" s="514"/>
      <c r="CU253" s="514"/>
      <c r="CV253" s="514"/>
      <c r="CW253" s="514"/>
      <c r="CX253" s="514"/>
      <c r="CY253" s="514"/>
      <c r="CZ253" s="514"/>
      <c r="DA253" s="514"/>
      <c r="DB253" s="514"/>
      <c r="DC253" s="514"/>
      <c r="DD253" s="514"/>
      <c r="DE253" s="514"/>
      <c r="DF253" s="514"/>
      <c r="DG253" s="514"/>
      <c r="DH253" s="514"/>
      <c r="DI253" s="514"/>
      <c r="DJ253" s="514"/>
      <c r="DK253" s="514"/>
      <c r="DL253" s="514"/>
      <c r="DM253" s="514"/>
      <c r="DN253" s="514"/>
      <c r="DO253" s="514"/>
      <c r="DP253" s="514"/>
      <c r="DQ253" s="514"/>
      <c r="DR253" s="514"/>
      <c r="DS253" s="514"/>
      <c r="DT253" s="514"/>
      <c r="DU253" s="514"/>
      <c r="DV253" s="514"/>
      <c r="DW253" s="514"/>
    </row>
    <row r="254" spans="1:127" s="343" customFormat="1" x14ac:dyDescent="0.2">
      <c r="A254" s="514"/>
      <c r="B254" s="445"/>
      <c r="C254" s="533">
        <v>6</v>
      </c>
      <c r="D254" s="558" t="s">
        <v>231</v>
      </c>
      <c r="E254" s="561" t="s">
        <v>222</v>
      </c>
      <c r="F254" s="562"/>
      <c r="G254" s="562">
        <f t="shared" ref="G254:Z254" si="46">G$186</f>
        <v>2019</v>
      </c>
      <c r="H254" s="562">
        <f t="shared" si="46"/>
        <v>2020</v>
      </c>
      <c r="I254" s="562">
        <f t="shared" si="46"/>
        <v>2021</v>
      </c>
      <c r="J254" s="562">
        <f t="shared" si="46"/>
        <v>2022</v>
      </c>
      <c r="K254" s="562">
        <f t="shared" si="46"/>
        <v>2023</v>
      </c>
      <c r="L254" s="562">
        <f t="shared" si="46"/>
        <v>2024</v>
      </c>
      <c r="M254" s="562">
        <f t="shared" si="46"/>
        <v>2025</v>
      </c>
      <c r="N254" s="562">
        <f t="shared" si="46"/>
        <v>2026</v>
      </c>
      <c r="O254" s="562">
        <f t="shared" si="46"/>
        <v>2027</v>
      </c>
      <c r="P254" s="562">
        <f t="shared" si="46"/>
        <v>2028</v>
      </c>
      <c r="Q254" s="562">
        <f t="shared" si="46"/>
        <v>2029</v>
      </c>
      <c r="R254" s="562">
        <f t="shared" si="46"/>
        <v>2030</v>
      </c>
      <c r="S254" s="562">
        <f t="shared" si="46"/>
        <v>2031</v>
      </c>
      <c r="T254" s="562">
        <f t="shared" si="46"/>
        <v>2032</v>
      </c>
      <c r="U254" s="562">
        <f t="shared" si="46"/>
        <v>2033</v>
      </c>
      <c r="V254" s="562">
        <f t="shared" si="46"/>
        <v>2034</v>
      </c>
      <c r="W254" s="562">
        <f t="shared" si="46"/>
        <v>2035</v>
      </c>
      <c r="X254" s="562">
        <f t="shared" si="46"/>
        <v>2036</v>
      </c>
      <c r="Y254" s="562">
        <f t="shared" si="46"/>
        <v>2037</v>
      </c>
      <c r="Z254" s="562">
        <f t="shared" si="46"/>
        <v>2038</v>
      </c>
      <c r="AA254" s="446"/>
      <c r="AB254" s="447"/>
      <c r="AC254" s="514"/>
      <c r="AD254" s="514"/>
      <c r="AE254" s="514"/>
      <c r="AF254" s="514"/>
      <c r="AG254" s="514"/>
      <c r="AH254" s="514"/>
      <c r="AI254" s="514"/>
      <c r="AJ254" s="514"/>
      <c r="AK254" s="514"/>
      <c r="AL254" s="514"/>
      <c r="AM254" s="514"/>
      <c r="AN254" s="514"/>
      <c r="AO254" s="514"/>
      <c r="AP254" s="514"/>
      <c r="AQ254" s="514"/>
      <c r="AR254" s="514"/>
      <c r="AS254" s="514"/>
      <c r="AT254" s="514"/>
      <c r="AU254" s="514"/>
      <c r="AV254" s="514"/>
      <c r="AW254" s="514"/>
      <c r="AX254" s="514"/>
      <c r="AY254" s="514"/>
      <c r="AZ254" s="514"/>
      <c r="BA254" s="514"/>
      <c r="BB254" s="514"/>
      <c r="BC254" s="514"/>
      <c r="BD254" s="514"/>
      <c r="BE254" s="514"/>
      <c r="BF254" s="514"/>
      <c r="BG254" s="514"/>
      <c r="BH254" s="514"/>
      <c r="BI254" s="514"/>
      <c r="BJ254" s="514"/>
      <c r="BK254" s="514"/>
      <c r="BL254" s="514"/>
      <c r="BM254" s="514"/>
      <c r="BN254" s="514"/>
      <c r="BO254" s="514"/>
      <c r="BP254" s="514"/>
      <c r="BQ254" s="514"/>
      <c r="BR254" s="514"/>
      <c r="BS254" s="514"/>
      <c r="BT254" s="514"/>
      <c r="BU254" s="514"/>
      <c r="BV254" s="514"/>
      <c r="BW254" s="514"/>
      <c r="BX254" s="514"/>
      <c r="BY254" s="514"/>
      <c r="BZ254" s="514"/>
      <c r="CA254" s="514"/>
      <c r="CB254" s="514"/>
      <c r="CC254" s="514"/>
      <c r="CD254" s="514"/>
      <c r="CE254" s="514"/>
      <c r="CF254" s="514"/>
      <c r="CG254" s="514"/>
      <c r="CH254" s="514"/>
      <c r="CI254" s="514"/>
      <c r="CJ254" s="514"/>
      <c r="CK254" s="514"/>
      <c r="CL254" s="514"/>
      <c r="CM254" s="514"/>
      <c r="CN254" s="514"/>
      <c r="CO254" s="514"/>
      <c r="CP254" s="514"/>
      <c r="CQ254" s="514"/>
      <c r="CR254" s="514"/>
      <c r="CS254" s="514"/>
      <c r="CT254" s="514"/>
      <c r="CU254" s="514"/>
      <c r="CV254" s="514"/>
      <c r="CW254" s="514"/>
      <c r="CX254" s="514"/>
      <c r="CY254" s="514"/>
      <c r="CZ254" s="514"/>
      <c r="DA254" s="514"/>
      <c r="DB254" s="514"/>
      <c r="DC254" s="514"/>
      <c r="DD254" s="514"/>
      <c r="DE254" s="514"/>
      <c r="DF254" s="514"/>
      <c r="DG254" s="514"/>
      <c r="DH254" s="514"/>
      <c r="DI254" s="514"/>
      <c r="DJ254" s="514"/>
      <c r="DK254" s="514"/>
      <c r="DL254" s="514"/>
      <c r="DM254" s="514"/>
      <c r="DN254" s="514"/>
      <c r="DO254" s="514"/>
      <c r="DP254" s="514"/>
      <c r="DQ254" s="514"/>
      <c r="DR254" s="514"/>
      <c r="DS254" s="514"/>
      <c r="DT254" s="514"/>
      <c r="DU254" s="514"/>
      <c r="DV254" s="514"/>
      <c r="DW254" s="514"/>
    </row>
    <row r="255" spans="1:127" s="343" customFormat="1" x14ac:dyDescent="0.2">
      <c r="A255" s="514"/>
      <c r="B255" s="445"/>
      <c r="C255" s="533"/>
      <c r="D255" s="543" t="str">
        <f>$D$24</f>
        <v>"Status Quo" Reference Case</v>
      </c>
      <c r="E255" s="559" t="s">
        <v>223</v>
      </c>
      <c r="F255" s="579"/>
      <c r="G255" s="580"/>
      <c r="H255" s="580"/>
      <c r="I255" s="580"/>
      <c r="J255" s="580"/>
      <c r="K255" s="580"/>
      <c r="L255" s="580"/>
      <c r="M255" s="580"/>
      <c r="N255" s="580"/>
      <c r="O255" s="580"/>
      <c r="P255" s="580"/>
      <c r="Q255" s="580"/>
      <c r="R255" s="580"/>
      <c r="S255" s="580"/>
      <c r="T255" s="580"/>
      <c r="U255" s="580"/>
      <c r="V255" s="580"/>
      <c r="W255" s="580"/>
      <c r="X255" s="580"/>
      <c r="Y255" s="580"/>
      <c r="Z255" s="580"/>
      <c r="AA255" s="446"/>
      <c r="AB255" s="447"/>
      <c r="AC255" s="514"/>
      <c r="AD255" s="514"/>
      <c r="AE255" s="514"/>
      <c r="AF255" s="514"/>
      <c r="AG255" s="514"/>
      <c r="AH255" s="514"/>
      <c r="AI255" s="514"/>
      <c r="AJ255" s="514"/>
      <c r="AK255" s="514"/>
      <c r="AL255" s="514"/>
      <c r="AM255" s="514"/>
      <c r="AN255" s="514"/>
      <c r="AO255" s="514"/>
      <c r="AP255" s="514"/>
      <c r="AQ255" s="514"/>
      <c r="AR255" s="514"/>
      <c r="AS255" s="514"/>
      <c r="AT255" s="514"/>
      <c r="AU255" s="514"/>
      <c r="AV255" s="514"/>
      <c r="AW255" s="514"/>
      <c r="AX255" s="514"/>
      <c r="AY255" s="514"/>
      <c r="AZ255" s="514"/>
      <c r="BA255" s="514"/>
      <c r="BB255" s="514"/>
      <c r="BC255" s="514"/>
      <c r="BD255" s="514"/>
      <c r="BE255" s="514"/>
      <c r="BF255" s="514"/>
      <c r="BG255" s="514"/>
      <c r="BH255" s="514"/>
      <c r="BI255" s="514"/>
      <c r="BJ255" s="514"/>
      <c r="BK255" s="514"/>
      <c r="BL255" s="514"/>
      <c r="BM255" s="514"/>
      <c r="BN255" s="514"/>
      <c r="BO255" s="514"/>
      <c r="BP255" s="514"/>
      <c r="BQ255" s="514"/>
      <c r="BR255" s="514"/>
      <c r="BS255" s="514"/>
      <c r="BT255" s="514"/>
      <c r="BU255" s="514"/>
      <c r="BV255" s="514"/>
      <c r="BW255" s="514"/>
      <c r="BX255" s="514"/>
      <c r="BY255" s="514"/>
      <c r="BZ255" s="514"/>
      <c r="CA255" s="514"/>
      <c r="CB255" s="514"/>
      <c r="CC255" s="514"/>
      <c r="CD255" s="514"/>
      <c r="CE255" s="514"/>
      <c r="CF255" s="514"/>
      <c r="CG255" s="514"/>
      <c r="CH255" s="514"/>
      <c r="CI255" s="514"/>
      <c r="CJ255" s="514"/>
      <c r="CK255" s="514"/>
      <c r="CL255" s="514"/>
      <c r="CM255" s="514"/>
      <c r="CN255" s="514"/>
      <c r="CO255" s="514"/>
      <c r="CP255" s="514"/>
      <c r="CQ255" s="514"/>
      <c r="CR255" s="514"/>
      <c r="CS255" s="514"/>
      <c r="CT255" s="514"/>
      <c r="CU255" s="514"/>
      <c r="CV255" s="514"/>
      <c r="CW255" s="514"/>
      <c r="CX255" s="514"/>
      <c r="CY255" s="514"/>
      <c r="CZ255" s="514"/>
      <c r="DA255" s="514"/>
      <c r="DB255" s="514"/>
      <c r="DC255" s="514"/>
      <c r="DD255" s="514"/>
      <c r="DE255" s="514"/>
      <c r="DF255" s="514"/>
      <c r="DG255" s="514"/>
      <c r="DH255" s="514"/>
      <c r="DI255" s="514"/>
      <c r="DJ255" s="514"/>
      <c r="DK255" s="514"/>
      <c r="DL255" s="514"/>
      <c r="DM255" s="514"/>
      <c r="DN255" s="514"/>
      <c r="DO255" s="514"/>
      <c r="DP255" s="514"/>
      <c r="DQ255" s="514"/>
      <c r="DR255" s="514"/>
      <c r="DS255" s="514"/>
      <c r="DT255" s="514"/>
      <c r="DU255" s="514"/>
      <c r="DV255" s="514"/>
      <c r="DW255" s="514"/>
    </row>
    <row r="256" spans="1:127" s="343" customFormat="1" x14ac:dyDescent="0.2">
      <c r="A256" s="514"/>
      <c r="B256" s="445"/>
      <c r="C256" s="533"/>
      <c r="D256" s="543" t="str">
        <f>$D$53</f>
        <v>Option 1: Perform Manual Neutral Integrity where UE Meters are Removed</v>
      </c>
      <c r="E256" s="559" t="str">
        <f>E255</f>
        <v>Pending AER guideline</v>
      </c>
      <c r="F256" s="579"/>
      <c r="G256" s="580"/>
      <c r="H256" s="580"/>
      <c r="I256" s="580"/>
      <c r="J256" s="580"/>
      <c r="K256" s="580"/>
      <c r="L256" s="580"/>
      <c r="M256" s="580"/>
      <c r="N256" s="580"/>
      <c r="O256" s="580"/>
      <c r="P256" s="580"/>
      <c r="Q256" s="580"/>
      <c r="R256" s="580"/>
      <c r="S256" s="580"/>
      <c r="T256" s="580"/>
      <c r="U256" s="580"/>
      <c r="V256" s="580"/>
      <c r="W256" s="580"/>
      <c r="X256" s="580"/>
      <c r="Y256" s="580"/>
      <c r="Z256" s="580"/>
      <c r="AA256" s="446"/>
      <c r="AB256" s="447"/>
      <c r="AC256" s="514"/>
      <c r="AD256" s="514"/>
      <c r="AE256" s="514"/>
      <c r="AF256" s="514"/>
      <c r="AG256" s="514"/>
      <c r="AH256" s="514"/>
      <c r="AI256" s="514"/>
      <c r="AJ256" s="514"/>
      <c r="AK256" s="514"/>
      <c r="AL256" s="514"/>
      <c r="AM256" s="514"/>
      <c r="AN256" s="514"/>
      <c r="AO256" s="514"/>
      <c r="AP256" s="514"/>
      <c r="AQ256" s="514"/>
      <c r="AR256" s="514"/>
      <c r="AS256" s="514"/>
      <c r="AT256" s="514"/>
      <c r="AU256" s="514"/>
      <c r="AV256" s="514"/>
      <c r="AW256" s="514"/>
      <c r="AX256" s="514"/>
      <c r="AY256" s="514"/>
      <c r="AZ256" s="514"/>
      <c r="BA256" s="514"/>
      <c r="BB256" s="514"/>
      <c r="BC256" s="514"/>
      <c r="BD256" s="514"/>
      <c r="BE256" s="514"/>
      <c r="BF256" s="514"/>
      <c r="BG256" s="514"/>
      <c r="BH256" s="514"/>
      <c r="BI256" s="514"/>
      <c r="BJ256" s="514"/>
      <c r="BK256" s="514"/>
      <c r="BL256" s="514"/>
      <c r="BM256" s="514"/>
      <c r="BN256" s="514"/>
      <c r="BO256" s="514"/>
      <c r="BP256" s="514"/>
      <c r="BQ256" s="514"/>
      <c r="BR256" s="514"/>
      <c r="BS256" s="514"/>
      <c r="BT256" s="514"/>
      <c r="BU256" s="514"/>
      <c r="BV256" s="514"/>
      <c r="BW256" s="514"/>
      <c r="BX256" s="514"/>
      <c r="BY256" s="514"/>
      <c r="BZ256" s="514"/>
      <c r="CA256" s="514"/>
      <c r="CB256" s="514"/>
      <c r="CC256" s="514"/>
      <c r="CD256" s="514"/>
      <c r="CE256" s="514"/>
      <c r="CF256" s="514"/>
      <c r="CG256" s="514"/>
      <c r="CH256" s="514"/>
      <c r="CI256" s="514"/>
      <c r="CJ256" s="514"/>
      <c r="CK256" s="514"/>
      <c r="CL256" s="514"/>
      <c r="CM256" s="514"/>
      <c r="CN256" s="514"/>
      <c r="CO256" s="514"/>
      <c r="CP256" s="514"/>
      <c r="CQ256" s="514"/>
      <c r="CR256" s="514"/>
      <c r="CS256" s="514"/>
      <c r="CT256" s="514"/>
      <c r="CU256" s="514"/>
      <c r="CV256" s="514"/>
      <c r="CW256" s="514"/>
      <c r="CX256" s="514"/>
      <c r="CY256" s="514"/>
      <c r="CZ256" s="514"/>
      <c r="DA256" s="514"/>
      <c r="DB256" s="514"/>
      <c r="DC256" s="514"/>
      <c r="DD256" s="514"/>
      <c r="DE256" s="514"/>
      <c r="DF256" s="514"/>
      <c r="DG256" s="514"/>
      <c r="DH256" s="514"/>
      <c r="DI256" s="514"/>
      <c r="DJ256" s="514"/>
      <c r="DK256" s="514"/>
      <c r="DL256" s="514"/>
      <c r="DM256" s="514"/>
      <c r="DN256" s="514"/>
      <c r="DO256" s="514"/>
      <c r="DP256" s="514"/>
      <c r="DQ256" s="514"/>
      <c r="DR256" s="514"/>
      <c r="DS256" s="514"/>
      <c r="DT256" s="514"/>
      <c r="DU256" s="514"/>
      <c r="DV256" s="514"/>
      <c r="DW256" s="514"/>
    </row>
    <row r="257" spans="1:257" s="343" customFormat="1" x14ac:dyDescent="0.2">
      <c r="A257" s="514"/>
      <c r="B257" s="445"/>
      <c r="C257" s="533"/>
      <c r="D257" s="543" t="str">
        <f>$D$82</f>
        <v>Option 2: Replace / Install Network Devices</v>
      </c>
      <c r="E257" s="559" t="str">
        <f>E256</f>
        <v>Pending AER guideline</v>
      </c>
      <c r="F257" s="579"/>
      <c r="G257" s="581"/>
      <c r="H257" s="581"/>
      <c r="I257" s="581"/>
      <c r="J257" s="581"/>
      <c r="K257" s="581"/>
      <c r="L257" s="581"/>
      <c r="M257" s="581"/>
      <c r="N257" s="581"/>
      <c r="O257" s="581"/>
      <c r="P257" s="581"/>
      <c r="Q257" s="581"/>
      <c r="R257" s="581"/>
      <c r="S257" s="581"/>
      <c r="T257" s="581"/>
      <c r="U257" s="581"/>
      <c r="V257" s="581"/>
      <c r="W257" s="581"/>
      <c r="X257" s="581"/>
      <c r="Y257" s="581"/>
      <c r="Z257" s="581"/>
      <c r="AA257" s="446"/>
      <c r="AB257" s="447"/>
      <c r="AC257" s="514"/>
      <c r="AD257" s="514"/>
      <c r="AE257" s="514"/>
      <c r="AF257" s="514"/>
      <c r="AG257" s="514"/>
      <c r="AH257" s="514"/>
      <c r="AI257" s="514"/>
      <c r="AJ257" s="514"/>
      <c r="AK257" s="514"/>
      <c r="AL257" s="514"/>
      <c r="AM257" s="514"/>
      <c r="AN257" s="514"/>
      <c r="AO257" s="514"/>
      <c r="AP257" s="514"/>
      <c r="AQ257" s="514"/>
      <c r="AR257" s="514"/>
      <c r="AS257" s="514"/>
      <c r="AT257" s="514"/>
      <c r="AU257" s="514"/>
      <c r="AV257" s="514"/>
      <c r="AW257" s="514"/>
      <c r="AX257" s="514"/>
      <c r="AY257" s="514"/>
      <c r="AZ257" s="514"/>
      <c r="BA257" s="514"/>
      <c r="BB257" s="514"/>
      <c r="BC257" s="514"/>
      <c r="BD257" s="514"/>
      <c r="BE257" s="514"/>
      <c r="BF257" s="514"/>
      <c r="BG257" s="514"/>
      <c r="BH257" s="514"/>
      <c r="BI257" s="514"/>
      <c r="BJ257" s="514"/>
      <c r="BK257" s="514"/>
      <c r="BL257" s="514"/>
      <c r="BM257" s="514"/>
      <c r="BN257" s="514"/>
      <c r="BO257" s="514"/>
      <c r="BP257" s="514"/>
      <c r="BQ257" s="514"/>
      <c r="BR257" s="514"/>
      <c r="BS257" s="514"/>
      <c r="BT257" s="514"/>
      <c r="BU257" s="514"/>
      <c r="BV257" s="514"/>
      <c r="BW257" s="514"/>
      <c r="BX257" s="514"/>
      <c r="BY257" s="514"/>
      <c r="BZ257" s="514"/>
      <c r="CA257" s="514"/>
      <c r="CB257" s="514"/>
      <c r="CC257" s="514"/>
      <c r="CD257" s="514"/>
      <c r="CE257" s="514"/>
      <c r="CF257" s="514"/>
      <c r="CG257" s="514"/>
      <c r="CH257" s="514"/>
      <c r="CI257" s="514"/>
      <c r="CJ257" s="514"/>
      <c r="CK257" s="514"/>
      <c r="CL257" s="514"/>
      <c r="CM257" s="514"/>
      <c r="CN257" s="514"/>
      <c r="CO257" s="514"/>
      <c r="CP257" s="514"/>
      <c r="CQ257" s="514"/>
      <c r="CR257" s="514"/>
      <c r="CS257" s="514"/>
      <c r="CT257" s="514"/>
      <c r="CU257" s="514"/>
      <c r="CV257" s="514"/>
      <c r="CW257" s="514"/>
      <c r="CX257" s="514"/>
      <c r="CY257" s="514"/>
      <c r="CZ257" s="514"/>
      <c r="DA257" s="514"/>
      <c r="DB257" s="514"/>
      <c r="DC257" s="514"/>
      <c r="DD257" s="514"/>
      <c r="DE257" s="514"/>
      <c r="DF257" s="514"/>
      <c r="DG257" s="514"/>
      <c r="DH257" s="514"/>
      <c r="DI257" s="514"/>
      <c r="DJ257" s="514"/>
      <c r="DK257" s="514"/>
      <c r="DL257" s="514"/>
      <c r="DM257" s="514"/>
      <c r="DN257" s="514"/>
      <c r="DO257" s="514"/>
      <c r="DP257" s="514"/>
      <c r="DQ257" s="514"/>
      <c r="DR257" s="514"/>
      <c r="DS257" s="514"/>
      <c r="DT257" s="514"/>
      <c r="DU257" s="514"/>
      <c r="DV257" s="514"/>
      <c r="DW257" s="514"/>
    </row>
    <row r="258" spans="1:257" s="343" customFormat="1" x14ac:dyDescent="0.2">
      <c r="A258" s="514"/>
      <c r="B258" s="445"/>
      <c r="C258" s="533"/>
      <c r="D258" s="543" t="str">
        <f>$D$111</f>
        <v>Option 3: Replace / Install 80% Network Devices, Purchase the Remaining 20% of the AMI data and Control Functionality</v>
      </c>
      <c r="E258" s="559" t="str">
        <f>E257</f>
        <v>Pending AER guideline</v>
      </c>
      <c r="F258" s="579"/>
      <c r="G258" s="581"/>
      <c r="H258" s="581"/>
      <c r="I258" s="581"/>
      <c r="J258" s="581"/>
      <c r="K258" s="581"/>
      <c r="L258" s="581"/>
      <c r="M258" s="581"/>
      <c r="N258" s="581"/>
      <c r="O258" s="581"/>
      <c r="P258" s="581"/>
      <c r="Q258" s="581"/>
      <c r="R258" s="581"/>
      <c r="S258" s="581"/>
      <c r="T258" s="581"/>
      <c r="U258" s="581"/>
      <c r="V258" s="581"/>
      <c r="W258" s="581"/>
      <c r="X258" s="581"/>
      <c r="Y258" s="581"/>
      <c r="Z258" s="581"/>
      <c r="AA258" s="446"/>
      <c r="AB258" s="447"/>
      <c r="AC258" s="514"/>
      <c r="AD258" s="514"/>
      <c r="AE258" s="514"/>
      <c r="AF258" s="514"/>
      <c r="AG258" s="514"/>
      <c r="AH258" s="514"/>
      <c r="AI258" s="514"/>
      <c r="AJ258" s="514"/>
      <c r="AK258" s="514"/>
      <c r="AL258" s="514"/>
      <c r="AM258" s="514"/>
      <c r="AN258" s="514"/>
      <c r="AO258" s="514"/>
      <c r="AP258" s="514"/>
      <c r="AQ258" s="514"/>
      <c r="AR258" s="514"/>
      <c r="AS258" s="514"/>
      <c r="AT258" s="514"/>
      <c r="AU258" s="514"/>
      <c r="AV258" s="514"/>
      <c r="AW258" s="514"/>
      <c r="AX258" s="514"/>
      <c r="AY258" s="514"/>
      <c r="AZ258" s="514"/>
      <c r="BA258" s="514"/>
      <c r="BB258" s="514"/>
      <c r="BC258" s="514"/>
      <c r="BD258" s="514"/>
      <c r="BE258" s="514"/>
      <c r="BF258" s="514"/>
      <c r="BG258" s="514"/>
      <c r="BH258" s="514"/>
      <c r="BI258" s="514"/>
      <c r="BJ258" s="514"/>
      <c r="BK258" s="514"/>
      <c r="BL258" s="514"/>
      <c r="BM258" s="514"/>
      <c r="BN258" s="514"/>
      <c r="BO258" s="514"/>
      <c r="BP258" s="514"/>
      <c r="BQ258" s="514"/>
      <c r="BR258" s="514"/>
      <c r="BS258" s="514"/>
      <c r="BT258" s="514"/>
      <c r="BU258" s="514"/>
      <c r="BV258" s="514"/>
      <c r="BW258" s="514"/>
      <c r="BX258" s="514"/>
      <c r="BY258" s="514"/>
      <c r="BZ258" s="514"/>
      <c r="CA258" s="514"/>
      <c r="CB258" s="514"/>
      <c r="CC258" s="514"/>
      <c r="CD258" s="514"/>
      <c r="CE258" s="514"/>
      <c r="CF258" s="514"/>
      <c r="CG258" s="514"/>
      <c r="CH258" s="514"/>
      <c r="CI258" s="514"/>
      <c r="CJ258" s="514"/>
      <c r="CK258" s="514"/>
      <c r="CL258" s="514"/>
      <c r="CM258" s="514"/>
      <c r="CN258" s="514"/>
      <c r="CO258" s="514"/>
      <c r="CP258" s="514"/>
      <c r="CQ258" s="514"/>
      <c r="CR258" s="514"/>
      <c r="CS258" s="514"/>
      <c r="CT258" s="514"/>
      <c r="CU258" s="514"/>
      <c r="CV258" s="514"/>
      <c r="CW258" s="514"/>
      <c r="CX258" s="514"/>
      <c r="CY258" s="514"/>
      <c r="CZ258" s="514"/>
      <c r="DA258" s="514"/>
      <c r="DB258" s="514"/>
      <c r="DC258" s="514"/>
      <c r="DD258" s="514"/>
      <c r="DE258" s="514"/>
      <c r="DF258" s="514"/>
      <c r="DG258" s="514"/>
      <c r="DH258" s="514"/>
      <c r="DI258" s="514"/>
      <c r="DJ258" s="514"/>
      <c r="DK258" s="514"/>
      <c r="DL258" s="514"/>
      <c r="DM258" s="514"/>
      <c r="DN258" s="514"/>
      <c r="DO258" s="514"/>
      <c r="DP258" s="514"/>
      <c r="DQ258" s="514"/>
      <c r="DR258" s="514"/>
      <c r="DS258" s="514"/>
      <c r="DT258" s="514"/>
      <c r="DU258" s="514"/>
      <c r="DV258" s="514"/>
      <c r="DW258" s="514"/>
    </row>
    <row r="259" spans="1:257" s="343" customFormat="1" x14ac:dyDescent="0.2">
      <c r="A259" s="514"/>
      <c r="B259" s="445"/>
      <c r="C259" s="533"/>
      <c r="D259" s="543" t="str">
        <f>$D$140</f>
        <v xml:space="preserve">Option 4: </v>
      </c>
      <c r="E259" s="559" t="str">
        <f>E258</f>
        <v>Pending AER guideline</v>
      </c>
      <c r="F259" s="579"/>
      <c r="G259" s="581"/>
      <c r="H259" s="581"/>
      <c r="I259" s="581"/>
      <c r="J259" s="581"/>
      <c r="K259" s="581"/>
      <c r="L259" s="581"/>
      <c r="M259" s="581"/>
      <c r="N259" s="581"/>
      <c r="O259" s="581"/>
      <c r="P259" s="581"/>
      <c r="Q259" s="581"/>
      <c r="R259" s="581"/>
      <c r="S259" s="581"/>
      <c r="T259" s="581"/>
      <c r="U259" s="581"/>
      <c r="V259" s="581"/>
      <c r="W259" s="581"/>
      <c r="X259" s="581"/>
      <c r="Y259" s="581"/>
      <c r="Z259" s="581"/>
      <c r="AA259" s="446"/>
      <c r="AB259" s="447"/>
      <c r="AC259" s="514"/>
      <c r="AD259" s="514"/>
      <c r="AE259" s="514"/>
      <c r="AF259" s="514"/>
      <c r="AG259" s="514"/>
      <c r="AH259" s="514"/>
      <c r="AI259" s="514"/>
      <c r="AJ259" s="514"/>
      <c r="AK259" s="514"/>
      <c r="AL259" s="514"/>
      <c r="AM259" s="514"/>
      <c r="AN259" s="514"/>
      <c r="AO259" s="514"/>
      <c r="AP259" s="514"/>
      <c r="AQ259" s="514"/>
      <c r="AR259" s="514"/>
      <c r="AS259" s="514"/>
      <c r="AT259" s="514"/>
      <c r="AU259" s="514"/>
      <c r="AV259" s="514"/>
      <c r="AW259" s="514"/>
      <c r="AX259" s="514"/>
      <c r="AY259" s="514"/>
      <c r="AZ259" s="514"/>
      <c r="BA259" s="514"/>
      <c r="BB259" s="514"/>
      <c r="BC259" s="514"/>
      <c r="BD259" s="514"/>
      <c r="BE259" s="514"/>
      <c r="BF259" s="514"/>
      <c r="BG259" s="514"/>
      <c r="BH259" s="514"/>
      <c r="BI259" s="514"/>
      <c r="BJ259" s="514"/>
      <c r="BK259" s="514"/>
      <c r="BL259" s="514"/>
      <c r="BM259" s="514"/>
      <c r="BN259" s="514"/>
      <c r="BO259" s="514"/>
      <c r="BP259" s="514"/>
      <c r="BQ259" s="514"/>
      <c r="BR259" s="514"/>
      <c r="BS259" s="514"/>
      <c r="BT259" s="514"/>
      <c r="BU259" s="514"/>
      <c r="BV259" s="514"/>
      <c r="BW259" s="514"/>
      <c r="BX259" s="514"/>
      <c r="BY259" s="514"/>
      <c r="BZ259" s="514"/>
      <c r="CA259" s="514"/>
      <c r="CB259" s="514"/>
      <c r="CC259" s="514"/>
      <c r="CD259" s="514"/>
      <c r="CE259" s="514"/>
      <c r="CF259" s="514"/>
      <c r="CG259" s="514"/>
      <c r="CH259" s="514"/>
      <c r="CI259" s="514"/>
      <c r="CJ259" s="514"/>
      <c r="CK259" s="514"/>
      <c r="CL259" s="514"/>
      <c r="CM259" s="514"/>
      <c r="CN259" s="514"/>
      <c r="CO259" s="514"/>
      <c r="CP259" s="514"/>
      <c r="CQ259" s="514"/>
      <c r="CR259" s="514"/>
      <c r="CS259" s="514"/>
      <c r="CT259" s="514"/>
      <c r="CU259" s="514"/>
      <c r="CV259" s="514"/>
      <c r="CW259" s="514"/>
      <c r="CX259" s="514"/>
      <c r="CY259" s="514"/>
      <c r="CZ259" s="514"/>
      <c r="DA259" s="514"/>
      <c r="DB259" s="514"/>
      <c r="DC259" s="514"/>
      <c r="DD259" s="514"/>
      <c r="DE259" s="514"/>
      <c r="DF259" s="514"/>
      <c r="DG259" s="514"/>
      <c r="DH259" s="514"/>
      <c r="DI259" s="514"/>
      <c r="DJ259" s="514"/>
      <c r="DK259" s="514"/>
      <c r="DL259" s="514"/>
      <c r="DM259" s="514"/>
      <c r="DN259" s="514"/>
      <c r="DO259" s="514"/>
      <c r="DP259" s="514"/>
      <c r="DQ259" s="514"/>
      <c r="DR259" s="514"/>
      <c r="DS259" s="514"/>
      <c r="DT259" s="514"/>
      <c r="DU259" s="514"/>
      <c r="DV259" s="514"/>
      <c r="DW259" s="514"/>
    </row>
    <row r="260" spans="1:257" s="343" customFormat="1" x14ac:dyDescent="0.2">
      <c r="A260" s="514"/>
      <c r="B260" s="445"/>
      <c r="C260" s="533"/>
      <c r="D260" s="543" t="str">
        <f>$D$169</f>
        <v xml:space="preserve">Option 5: </v>
      </c>
      <c r="E260" s="559" t="str">
        <f>E259</f>
        <v>Pending AER guideline</v>
      </c>
      <c r="F260" s="579"/>
      <c r="G260" s="580"/>
      <c r="H260" s="580"/>
      <c r="I260" s="580"/>
      <c r="J260" s="580"/>
      <c r="K260" s="580"/>
      <c r="L260" s="580"/>
      <c r="M260" s="580"/>
      <c r="N260" s="580"/>
      <c r="O260" s="580"/>
      <c r="P260" s="580"/>
      <c r="Q260" s="580"/>
      <c r="R260" s="580"/>
      <c r="S260" s="580"/>
      <c r="T260" s="580"/>
      <c r="U260" s="580"/>
      <c r="V260" s="580"/>
      <c r="W260" s="580"/>
      <c r="X260" s="580"/>
      <c r="Y260" s="580"/>
      <c r="Z260" s="580"/>
      <c r="AA260" s="446"/>
      <c r="AB260" s="447"/>
      <c r="AC260" s="514"/>
      <c r="AD260" s="514"/>
      <c r="AE260" s="514"/>
      <c r="AF260" s="514"/>
      <c r="AG260" s="514"/>
      <c r="AH260" s="514"/>
      <c r="AI260" s="514"/>
      <c r="AJ260" s="514"/>
      <c r="AK260" s="514"/>
      <c r="AL260" s="514"/>
      <c r="AM260" s="514"/>
      <c r="AN260" s="514"/>
      <c r="AO260" s="514"/>
      <c r="AP260" s="514"/>
      <c r="AQ260" s="514"/>
      <c r="AR260" s="514"/>
      <c r="AS260" s="514"/>
      <c r="AT260" s="514"/>
      <c r="AU260" s="514"/>
      <c r="AV260" s="514"/>
      <c r="AW260" s="514"/>
      <c r="AX260" s="514"/>
      <c r="AY260" s="514"/>
      <c r="AZ260" s="514"/>
      <c r="BA260" s="514"/>
      <c r="BB260" s="514"/>
      <c r="BC260" s="514"/>
      <c r="BD260" s="514"/>
      <c r="BE260" s="514"/>
      <c r="BF260" s="514"/>
      <c r="BG260" s="514"/>
      <c r="BH260" s="514"/>
      <c r="BI260" s="514"/>
      <c r="BJ260" s="514"/>
      <c r="BK260" s="514"/>
      <c r="BL260" s="514"/>
      <c r="BM260" s="514"/>
      <c r="BN260" s="514"/>
      <c r="BO260" s="514"/>
      <c r="BP260" s="514"/>
      <c r="BQ260" s="514"/>
      <c r="BR260" s="514"/>
      <c r="BS260" s="514"/>
      <c r="BT260" s="514"/>
      <c r="BU260" s="514"/>
      <c r="BV260" s="514"/>
      <c r="BW260" s="514"/>
      <c r="BX260" s="514"/>
      <c r="BY260" s="514"/>
      <c r="BZ260" s="514"/>
      <c r="CA260" s="514"/>
      <c r="CB260" s="514"/>
      <c r="CC260" s="514"/>
      <c r="CD260" s="514"/>
      <c r="CE260" s="514"/>
      <c r="CF260" s="514"/>
      <c r="CG260" s="514"/>
      <c r="CH260" s="514"/>
      <c r="CI260" s="514"/>
      <c r="CJ260" s="514"/>
      <c r="CK260" s="514"/>
      <c r="CL260" s="514"/>
      <c r="CM260" s="514"/>
      <c r="CN260" s="514"/>
      <c r="CO260" s="514"/>
      <c r="CP260" s="514"/>
      <c r="CQ260" s="514"/>
      <c r="CR260" s="514"/>
      <c r="CS260" s="514"/>
      <c r="CT260" s="514"/>
      <c r="CU260" s="514"/>
      <c r="CV260" s="514"/>
      <c r="CW260" s="514"/>
      <c r="CX260" s="514"/>
      <c r="CY260" s="514"/>
      <c r="CZ260" s="514"/>
      <c r="DA260" s="514"/>
      <c r="DB260" s="514"/>
      <c r="DC260" s="514"/>
      <c r="DD260" s="514"/>
      <c r="DE260" s="514"/>
      <c r="DF260" s="514"/>
      <c r="DG260" s="514"/>
      <c r="DH260" s="514"/>
      <c r="DI260" s="514"/>
      <c r="DJ260" s="514"/>
      <c r="DK260" s="514"/>
      <c r="DL260" s="514"/>
      <c r="DM260" s="514"/>
      <c r="DN260" s="514"/>
      <c r="DO260" s="514"/>
      <c r="DP260" s="514"/>
      <c r="DQ260" s="514"/>
      <c r="DR260" s="514"/>
      <c r="DS260" s="514"/>
      <c r="DT260" s="514"/>
      <c r="DU260" s="514"/>
      <c r="DV260" s="514"/>
      <c r="DW260" s="514"/>
    </row>
    <row r="261" spans="1:257" s="343" customFormat="1" x14ac:dyDescent="0.2">
      <c r="A261" s="514"/>
      <c r="B261" s="568"/>
      <c r="C261" s="533"/>
      <c r="D261" s="563"/>
      <c r="E261" s="569"/>
      <c r="F261" s="563"/>
      <c r="G261" s="563"/>
      <c r="H261" s="563"/>
      <c r="I261" s="563"/>
      <c r="J261" s="563"/>
      <c r="K261" s="563"/>
      <c r="L261" s="563"/>
      <c r="M261" s="563"/>
      <c r="N261" s="563"/>
      <c r="O261" s="563"/>
      <c r="P261" s="563"/>
      <c r="Q261" s="563"/>
      <c r="R261" s="563"/>
      <c r="S261" s="563"/>
      <c r="T261" s="563"/>
      <c r="U261" s="563"/>
      <c r="V261" s="563"/>
      <c r="W261" s="563"/>
      <c r="X261" s="563"/>
      <c r="Y261" s="563"/>
      <c r="Z261" s="563"/>
      <c r="AA261" s="563"/>
      <c r="AB261" s="564"/>
      <c r="AC261" s="514"/>
      <c r="AD261" s="514"/>
      <c r="AE261" s="514"/>
      <c r="AF261" s="514"/>
      <c r="AG261" s="514"/>
      <c r="AH261" s="514"/>
      <c r="AI261" s="514"/>
      <c r="AJ261" s="514"/>
      <c r="AK261" s="514"/>
      <c r="AL261" s="514"/>
      <c r="AM261" s="514"/>
      <c r="AN261" s="514"/>
      <c r="AO261" s="514"/>
      <c r="AP261" s="514"/>
      <c r="AQ261" s="514"/>
      <c r="AR261" s="514"/>
      <c r="AS261" s="514"/>
      <c r="AT261" s="514"/>
      <c r="AU261" s="514"/>
      <c r="AV261" s="514"/>
      <c r="AW261" s="514"/>
      <c r="AX261" s="514"/>
      <c r="AY261" s="514"/>
      <c r="AZ261" s="514"/>
      <c r="BA261" s="514"/>
      <c r="BB261" s="514"/>
      <c r="BC261" s="514"/>
      <c r="BD261" s="514"/>
      <c r="BE261" s="514"/>
      <c r="BF261" s="514"/>
      <c r="BG261" s="514"/>
      <c r="BH261" s="514"/>
      <c r="BI261" s="514"/>
      <c r="BJ261" s="514"/>
      <c r="BK261" s="514"/>
      <c r="BL261" s="514"/>
      <c r="BM261" s="514"/>
      <c r="BN261" s="514"/>
      <c r="BO261" s="514"/>
      <c r="BP261" s="514"/>
      <c r="BQ261" s="514"/>
      <c r="BR261" s="514"/>
      <c r="BS261" s="514"/>
      <c r="BT261" s="514"/>
      <c r="BU261" s="514"/>
      <c r="BV261" s="514"/>
      <c r="BW261" s="514"/>
      <c r="BX261" s="514"/>
      <c r="BY261" s="514"/>
      <c r="BZ261" s="514"/>
      <c r="CA261" s="514"/>
      <c r="CB261" s="514"/>
      <c r="CC261" s="514"/>
      <c r="CD261" s="514"/>
      <c r="CE261" s="514"/>
      <c r="CF261" s="514"/>
      <c r="CG261" s="514"/>
      <c r="CH261" s="514"/>
      <c r="CI261" s="514"/>
      <c r="CJ261" s="514"/>
      <c r="CK261" s="514"/>
      <c r="CL261" s="514"/>
      <c r="CM261" s="514"/>
      <c r="CN261" s="514"/>
      <c r="CO261" s="514"/>
      <c r="CP261" s="514"/>
      <c r="CQ261" s="514"/>
      <c r="CR261" s="514"/>
      <c r="CS261" s="514"/>
      <c r="CT261" s="514"/>
      <c r="CU261" s="514"/>
      <c r="CV261" s="514"/>
      <c r="CW261" s="514"/>
      <c r="CX261" s="514"/>
      <c r="CY261" s="514"/>
      <c r="CZ261" s="514"/>
      <c r="DA261" s="514"/>
      <c r="DB261" s="514"/>
      <c r="DC261" s="514"/>
      <c r="DD261" s="514"/>
      <c r="DE261" s="514"/>
      <c r="DF261" s="514"/>
      <c r="DG261" s="514"/>
      <c r="DH261" s="514"/>
      <c r="DI261" s="514"/>
      <c r="DJ261" s="514"/>
      <c r="DK261" s="514"/>
      <c r="DL261" s="514"/>
      <c r="DM261" s="514"/>
      <c r="DN261" s="514"/>
      <c r="DO261" s="514"/>
      <c r="DP261" s="514"/>
      <c r="DQ261" s="514"/>
      <c r="DR261" s="514"/>
      <c r="DS261" s="514"/>
      <c r="DT261" s="514"/>
      <c r="DU261" s="514"/>
      <c r="DV261" s="514"/>
      <c r="DW261" s="514"/>
    </row>
    <row r="262" spans="1:257" x14ac:dyDescent="0.2">
      <c r="B262" s="445"/>
      <c r="C262" s="533">
        <v>7</v>
      </c>
      <c r="D262" s="558" t="s">
        <v>177</v>
      </c>
      <c r="E262" s="561" t="s">
        <v>224</v>
      </c>
      <c r="F262" s="562"/>
      <c r="G262" s="562">
        <f t="shared" ref="G262:Z262" si="47">G$186</f>
        <v>2019</v>
      </c>
      <c r="H262" s="562">
        <f t="shared" si="47"/>
        <v>2020</v>
      </c>
      <c r="I262" s="562">
        <f t="shared" si="47"/>
        <v>2021</v>
      </c>
      <c r="J262" s="562">
        <f t="shared" si="47"/>
        <v>2022</v>
      </c>
      <c r="K262" s="562">
        <f t="shared" si="47"/>
        <v>2023</v>
      </c>
      <c r="L262" s="562">
        <f t="shared" si="47"/>
        <v>2024</v>
      </c>
      <c r="M262" s="562">
        <f t="shared" si="47"/>
        <v>2025</v>
      </c>
      <c r="N262" s="562">
        <f t="shared" si="47"/>
        <v>2026</v>
      </c>
      <c r="O262" s="562">
        <f t="shared" si="47"/>
        <v>2027</v>
      </c>
      <c r="P262" s="562">
        <f t="shared" si="47"/>
        <v>2028</v>
      </c>
      <c r="Q262" s="562">
        <f t="shared" si="47"/>
        <v>2029</v>
      </c>
      <c r="R262" s="562">
        <f t="shared" si="47"/>
        <v>2030</v>
      </c>
      <c r="S262" s="562">
        <f t="shared" si="47"/>
        <v>2031</v>
      </c>
      <c r="T262" s="562">
        <f t="shared" si="47"/>
        <v>2032</v>
      </c>
      <c r="U262" s="562">
        <f t="shared" si="47"/>
        <v>2033</v>
      </c>
      <c r="V262" s="562">
        <f t="shared" si="47"/>
        <v>2034</v>
      </c>
      <c r="W262" s="562">
        <f t="shared" si="47"/>
        <v>2035</v>
      </c>
      <c r="X262" s="562">
        <f t="shared" si="47"/>
        <v>2036</v>
      </c>
      <c r="Y262" s="562">
        <f t="shared" si="47"/>
        <v>2037</v>
      </c>
      <c r="Z262" s="562">
        <f t="shared" si="47"/>
        <v>2038</v>
      </c>
      <c r="AA262" s="446"/>
      <c r="AB262" s="447"/>
    </row>
    <row r="263" spans="1:257" x14ac:dyDescent="0.2">
      <c r="B263" s="445"/>
      <c r="C263" s="533"/>
      <c r="D263" s="543" t="str">
        <f>$D$24</f>
        <v>"Status Quo" Reference Case</v>
      </c>
      <c r="E263" s="559" t="s">
        <v>174</v>
      </c>
      <c r="F263" s="281"/>
      <c r="G263" s="548"/>
      <c r="H263" s="548"/>
      <c r="I263" s="548"/>
      <c r="J263" s="548"/>
      <c r="K263" s="548"/>
      <c r="L263" s="548"/>
      <c r="M263" s="548"/>
      <c r="N263" s="548"/>
      <c r="O263" s="548"/>
      <c r="P263" s="548"/>
      <c r="Q263" s="548"/>
      <c r="R263" s="548"/>
      <c r="S263" s="548"/>
      <c r="T263" s="548"/>
      <c r="U263" s="548"/>
      <c r="V263" s="548"/>
      <c r="W263" s="548"/>
      <c r="X263" s="548"/>
      <c r="Y263" s="548"/>
      <c r="Z263" s="548"/>
      <c r="AA263" s="446"/>
      <c r="AB263" s="447"/>
    </row>
    <row r="264" spans="1:257" x14ac:dyDescent="0.2">
      <c r="B264" s="445"/>
      <c r="C264" s="533"/>
      <c r="D264" s="543" t="str">
        <f>$D$53</f>
        <v>Option 1: Perform Manual Neutral Integrity where UE Meters are Removed</v>
      </c>
      <c r="E264" s="559" t="s">
        <v>174</v>
      </c>
      <c r="F264" s="281"/>
      <c r="G264" s="548"/>
      <c r="H264" s="548"/>
      <c r="I264" s="548"/>
      <c r="J264" s="548"/>
      <c r="K264" s="548"/>
      <c r="L264" s="548"/>
      <c r="M264" s="548"/>
      <c r="N264" s="548"/>
      <c r="O264" s="548"/>
      <c r="P264" s="548"/>
      <c r="Q264" s="548"/>
      <c r="R264" s="548"/>
      <c r="S264" s="548"/>
      <c r="T264" s="548"/>
      <c r="U264" s="548"/>
      <c r="V264" s="548"/>
      <c r="W264" s="548"/>
      <c r="X264" s="548"/>
      <c r="Y264" s="548"/>
      <c r="Z264" s="548"/>
      <c r="AA264" s="446"/>
      <c r="AB264" s="447"/>
    </row>
    <row r="265" spans="1:257" x14ac:dyDescent="0.2">
      <c r="B265" s="445"/>
      <c r="C265" s="533"/>
      <c r="D265" s="543" t="str">
        <f>$D$82</f>
        <v>Option 2: Replace / Install Network Devices</v>
      </c>
      <c r="E265" s="559" t="s">
        <v>174</v>
      </c>
      <c r="F265" s="281"/>
      <c r="G265" s="549"/>
      <c r="H265" s="549"/>
      <c r="I265" s="549"/>
      <c r="J265" s="549"/>
      <c r="K265" s="549"/>
      <c r="L265" s="549"/>
      <c r="M265" s="549"/>
      <c r="N265" s="549"/>
      <c r="O265" s="549"/>
      <c r="P265" s="549"/>
      <c r="Q265" s="549"/>
      <c r="R265" s="549"/>
      <c r="S265" s="549"/>
      <c r="T265" s="549"/>
      <c r="U265" s="549"/>
      <c r="V265" s="549"/>
      <c r="W265" s="549"/>
      <c r="X265" s="549"/>
      <c r="Y265" s="549"/>
      <c r="Z265" s="549"/>
      <c r="AA265" s="446"/>
      <c r="AB265" s="447"/>
    </row>
    <row r="266" spans="1:257" x14ac:dyDescent="0.2">
      <c r="B266" s="445"/>
      <c r="C266" s="533"/>
      <c r="D266" s="543" t="str">
        <f>$D$111</f>
        <v>Option 3: Replace / Install 80% Network Devices, Purchase the Remaining 20% of the AMI data and Control Functionality</v>
      </c>
      <c r="E266" s="559" t="s">
        <v>174</v>
      </c>
      <c r="F266" s="281"/>
      <c r="G266" s="549"/>
      <c r="H266" s="549"/>
      <c r="I266" s="549"/>
      <c r="J266" s="549"/>
      <c r="K266" s="549"/>
      <c r="L266" s="549"/>
      <c r="M266" s="549"/>
      <c r="N266" s="549"/>
      <c r="O266" s="549"/>
      <c r="P266" s="549"/>
      <c r="Q266" s="549"/>
      <c r="R266" s="549"/>
      <c r="S266" s="549"/>
      <c r="T266" s="549"/>
      <c r="U266" s="549"/>
      <c r="V266" s="549"/>
      <c r="W266" s="549"/>
      <c r="X266" s="549"/>
      <c r="Y266" s="549"/>
      <c r="Z266" s="549"/>
      <c r="AA266" s="446"/>
      <c r="AB266" s="447"/>
    </row>
    <row r="267" spans="1:257" x14ac:dyDescent="0.2">
      <c r="B267" s="445"/>
      <c r="C267" s="533"/>
      <c r="D267" s="543" t="str">
        <f>$D$140</f>
        <v xml:space="preserve">Option 4: </v>
      </c>
      <c r="E267" s="559" t="s">
        <v>174</v>
      </c>
      <c r="F267" s="281"/>
      <c r="G267" s="549"/>
      <c r="H267" s="549"/>
      <c r="I267" s="549"/>
      <c r="J267" s="549"/>
      <c r="K267" s="549"/>
      <c r="L267" s="549"/>
      <c r="M267" s="549"/>
      <c r="N267" s="549"/>
      <c r="O267" s="549"/>
      <c r="P267" s="549"/>
      <c r="Q267" s="549"/>
      <c r="R267" s="549"/>
      <c r="S267" s="549"/>
      <c r="T267" s="549"/>
      <c r="U267" s="549"/>
      <c r="V267" s="549"/>
      <c r="W267" s="549"/>
      <c r="X267" s="549"/>
      <c r="Y267" s="549"/>
      <c r="Z267" s="549"/>
      <c r="AA267" s="446"/>
      <c r="AB267" s="447"/>
    </row>
    <row r="268" spans="1:257" x14ac:dyDescent="0.2">
      <c r="B268" s="445"/>
      <c r="C268" s="533"/>
      <c r="D268" s="543" t="str">
        <f>$D$169</f>
        <v xml:space="preserve">Option 5: </v>
      </c>
      <c r="E268" s="559" t="s">
        <v>174</v>
      </c>
      <c r="F268" s="281"/>
      <c r="G268" s="548"/>
      <c r="H268" s="548"/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446"/>
      <c r="AB268" s="447"/>
    </row>
    <row r="269" spans="1:257" x14ac:dyDescent="0.2">
      <c r="B269" s="568"/>
      <c r="C269" s="533"/>
      <c r="D269" s="563"/>
      <c r="E269" s="569"/>
      <c r="F269" s="563"/>
      <c r="G269" s="563"/>
      <c r="H269" s="563"/>
      <c r="I269" s="563"/>
      <c r="J269" s="563"/>
      <c r="K269" s="563"/>
      <c r="L269" s="563"/>
      <c r="M269" s="563"/>
      <c r="N269" s="563"/>
      <c r="O269" s="563"/>
      <c r="P269" s="563"/>
      <c r="Q269" s="563"/>
      <c r="R269" s="563"/>
      <c r="S269" s="563"/>
      <c r="T269" s="563"/>
      <c r="U269" s="563"/>
      <c r="V269" s="563"/>
      <c r="W269" s="563"/>
      <c r="X269" s="563"/>
      <c r="Y269" s="563"/>
      <c r="Z269" s="563"/>
      <c r="AA269" s="563"/>
      <c r="AB269" s="564"/>
    </row>
    <row r="270" spans="1:257" x14ac:dyDescent="0.2">
      <c r="B270" s="445"/>
      <c r="C270" s="533">
        <v>8</v>
      </c>
      <c r="D270" s="558" t="s">
        <v>175</v>
      </c>
      <c r="E270" s="561" t="s">
        <v>225</v>
      </c>
      <c r="F270" s="562"/>
      <c r="G270" s="562">
        <f t="shared" ref="G270:Z270" si="48">G$186</f>
        <v>2019</v>
      </c>
      <c r="H270" s="562">
        <f t="shared" si="48"/>
        <v>2020</v>
      </c>
      <c r="I270" s="562">
        <f t="shared" si="48"/>
        <v>2021</v>
      </c>
      <c r="J270" s="562">
        <f t="shared" si="48"/>
        <v>2022</v>
      </c>
      <c r="K270" s="562">
        <f t="shared" si="48"/>
        <v>2023</v>
      </c>
      <c r="L270" s="562">
        <f t="shared" si="48"/>
        <v>2024</v>
      </c>
      <c r="M270" s="562">
        <f t="shared" si="48"/>
        <v>2025</v>
      </c>
      <c r="N270" s="562">
        <f t="shared" si="48"/>
        <v>2026</v>
      </c>
      <c r="O270" s="562">
        <f t="shared" si="48"/>
        <v>2027</v>
      </c>
      <c r="P270" s="562">
        <f t="shared" si="48"/>
        <v>2028</v>
      </c>
      <c r="Q270" s="562">
        <f t="shared" si="48"/>
        <v>2029</v>
      </c>
      <c r="R270" s="562">
        <f t="shared" si="48"/>
        <v>2030</v>
      </c>
      <c r="S270" s="562">
        <f t="shared" si="48"/>
        <v>2031</v>
      </c>
      <c r="T270" s="562">
        <f t="shared" si="48"/>
        <v>2032</v>
      </c>
      <c r="U270" s="562">
        <f t="shared" si="48"/>
        <v>2033</v>
      </c>
      <c r="V270" s="562">
        <f t="shared" si="48"/>
        <v>2034</v>
      </c>
      <c r="W270" s="562">
        <f t="shared" si="48"/>
        <v>2035</v>
      </c>
      <c r="X270" s="562">
        <f t="shared" si="48"/>
        <v>2036</v>
      </c>
      <c r="Y270" s="562">
        <f t="shared" si="48"/>
        <v>2037</v>
      </c>
      <c r="Z270" s="562">
        <f t="shared" si="48"/>
        <v>2038</v>
      </c>
      <c r="AA270" s="446"/>
      <c r="AB270" s="447"/>
    </row>
    <row r="271" spans="1:257" x14ac:dyDescent="0.2">
      <c r="B271" s="445"/>
      <c r="C271" s="533"/>
      <c r="D271" s="543" t="str">
        <f>$D$24</f>
        <v>"Status Quo" Reference Case</v>
      </c>
      <c r="E271" s="559" t="s">
        <v>226</v>
      </c>
      <c r="F271" s="579"/>
      <c r="G271" s="580"/>
      <c r="H271" s="580"/>
      <c r="I271" s="580"/>
      <c r="J271" s="580"/>
      <c r="K271" s="580"/>
      <c r="L271" s="580"/>
      <c r="M271" s="580"/>
      <c r="N271" s="580"/>
      <c r="O271" s="580"/>
      <c r="P271" s="580"/>
      <c r="Q271" s="580"/>
      <c r="R271" s="580"/>
      <c r="S271" s="580"/>
      <c r="T271" s="580"/>
      <c r="U271" s="580"/>
      <c r="V271" s="580"/>
      <c r="W271" s="580"/>
      <c r="X271" s="580"/>
      <c r="Y271" s="580"/>
      <c r="Z271" s="580"/>
      <c r="AA271" s="446"/>
      <c r="AB271" s="447"/>
      <c r="AC271" s="514"/>
      <c r="AD271" s="514"/>
      <c r="AE271" s="514"/>
      <c r="AF271" s="514"/>
      <c r="AG271" s="514"/>
      <c r="AH271" s="514"/>
      <c r="AI271" s="514"/>
      <c r="AJ271" s="514"/>
      <c r="AK271" s="514"/>
      <c r="AL271" s="514"/>
      <c r="AM271" s="514"/>
      <c r="AN271" s="514"/>
      <c r="AO271" s="514"/>
      <c r="AP271" s="514"/>
      <c r="AQ271" s="514"/>
      <c r="AR271" s="514"/>
      <c r="AS271" s="514"/>
      <c r="AT271" s="514"/>
      <c r="AU271" s="514"/>
      <c r="AV271" s="514"/>
      <c r="AW271" s="514"/>
      <c r="AX271" s="514"/>
      <c r="AY271" s="514"/>
      <c r="AZ271" s="514"/>
      <c r="BA271" s="514"/>
      <c r="BB271" s="514"/>
      <c r="BC271" s="514"/>
      <c r="BD271" s="514"/>
      <c r="BE271" s="514"/>
      <c r="BF271" s="514"/>
      <c r="BG271" s="514"/>
      <c r="BH271" s="514"/>
      <c r="BI271" s="514"/>
      <c r="BJ271" s="514"/>
      <c r="BK271" s="514"/>
      <c r="BL271" s="514"/>
      <c r="BM271" s="514"/>
      <c r="BN271" s="514"/>
      <c r="BO271" s="514"/>
      <c r="BP271" s="514"/>
      <c r="BQ271" s="514"/>
      <c r="BR271" s="514"/>
      <c r="BS271" s="514"/>
      <c r="BT271" s="514"/>
      <c r="BU271" s="514"/>
      <c r="BV271" s="514"/>
      <c r="BW271" s="514"/>
      <c r="BX271" s="514"/>
      <c r="BY271" s="514"/>
      <c r="BZ271" s="514"/>
      <c r="CA271" s="514"/>
      <c r="CB271" s="514"/>
      <c r="CC271" s="514"/>
      <c r="CD271" s="514"/>
      <c r="CE271" s="514"/>
      <c r="CF271" s="514"/>
      <c r="CG271" s="514"/>
      <c r="CH271" s="514"/>
      <c r="CI271" s="514"/>
      <c r="CJ271" s="514"/>
      <c r="CK271" s="514"/>
      <c r="CL271" s="514"/>
      <c r="CM271" s="514"/>
      <c r="CN271" s="514"/>
      <c r="CO271" s="514"/>
      <c r="CP271" s="514"/>
      <c r="CQ271" s="514"/>
      <c r="CR271" s="514"/>
      <c r="CS271" s="514"/>
      <c r="CT271" s="514"/>
      <c r="CU271" s="514"/>
      <c r="CV271" s="514"/>
      <c r="CW271" s="514"/>
      <c r="CX271" s="514"/>
      <c r="CY271" s="514"/>
      <c r="CZ271" s="514"/>
      <c r="DA271" s="514"/>
      <c r="DB271" s="514"/>
      <c r="DC271" s="514"/>
      <c r="DD271" s="514"/>
      <c r="DE271" s="514"/>
      <c r="DF271" s="514"/>
      <c r="DG271" s="514"/>
      <c r="DH271" s="514"/>
      <c r="DI271" s="514"/>
      <c r="DJ271" s="514"/>
      <c r="DK271" s="514"/>
      <c r="DL271" s="514"/>
      <c r="DM271" s="514"/>
      <c r="DN271" s="514"/>
      <c r="DO271" s="514"/>
      <c r="DP271" s="514"/>
      <c r="DQ271" s="514"/>
      <c r="DR271" s="514"/>
      <c r="DS271" s="514"/>
      <c r="DT271" s="514"/>
      <c r="DU271" s="514"/>
      <c r="DV271" s="514"/>
      <c r="DW271" s="514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3"/>
      <c r="D272" s="543" t="str">
        <f>$D$53</f>
        <v>Option 1: Perform Manual Neutral Integrity where UE Meters are Removed</v>
      </c>
      <c r="E272" s="559" t="str">
        <f>E271</f>
        <v>To be determined by the AER</v>
      </c>
      <c r="F272" s="579"/>
      <c r="G272" s="580"/>
      <c r="H272" s="580"/>
      <c r="I272" s="580"/>
      <c r="J272" s="580"/>
      <c r="K272" s="580"/>
      <c r="L272" s="580"/>
      <c r="M272" s="580"/>
      <c r="N272" s="580"/>
      <c r="O272" s="580"/>
      <c r="P272" s="580"/>
      <c r="Q272" s="580"/>
      <c r="R272" s="580"/>
      <c r="S272" s="580"/>
      <c r="T272" s="580"/>
      <c r="U272" s="580"/>
      <c r="V272" s="580"/>
      <c r="W272" s="580"/>
      <c r="X272" s="580"/>
      <c r="Y272" s="580"/>
      <c r="Z272" s="580"/>
      <c r="AA272" s="446"/>
      <c r="AB272" s="447"/>
      <c r="AC272" s="514"/>
      <c r="AD272" s="514"/>
      <c r="AE272" s="514"/>
      <c r="AF272" s="514"/>
      <c r="AG272" s="514"/>
      <c r="AH272" s="514"/>
      <c r="AI272" s="514"/>
      <c r="AJ272" s="514"/>
      <c r="AK272" s="514"/>
      <c r="AL272" s="514"/>
      <c r="AM272" s="514"/>
      <c r="AN272" s="514"/>
      <c r="AO272" s="514"/>
      <c r="AP272" s="514"/>
      <c r="AQ272" s="514"/>
      <c r="AR272" s="514"/>
      <c r="AS272" s="514"/>
      <c r="AT272" s="514"/>
      <c r="AU272" s="514"/>
      <c r="AV272" s="514"/>
      <c r="AW272" s="514"/>
      <c r="AX272" s="514"/>
      <c r="AY272" s="514"/>
      <c r="AZ272" s="514"/>
      <c r="BA272" s="514"/>
      <c r="BB272" s="514"/>
      <c r="BC272" s="514"/>
      <c r="BD272" s="514"/>
      <c r="BE272" s="514"/>
      <c r="BF272" s="514"/>
      <c r="BG272" s="514"/>
      <c r="BH272" s="514"/>
      <c r="BI272" s="514"/>
      <c r="BJ272" s="514"/>
      <c r="BK272" s="514"/>
      <c r="BL272" s="514"/>
      <c r="BM272" s="514"/>
      <c r="BN272" s="514"/>
      <c r="BO272" s="514"/>
      <c r="BP272" s="514"/>
      <c r="BQ272" s="514"/>
      <c r="BR272" s="514"/>
      <c r="BS272" s="514"/>
      <c r="BT272" s="514"/>
      <c r="BU272" s="514"/>
      <c r="BV272" s="514"/>
      <c r="BW272" s="514"/>
      <c r="BX272" s="514"/>
      <c r="BY272" s="514"/>
      <c r="BZ272" s="514"/>
      <c r="CA272" s="514"/>
      <c r="CB272" s="514"/>
      <c r="CC272" s="514"/>
      <c r="CD272" s="514"/>
      <c r="CE272" s="514"/>
      <c r="CF272" s="514"/>
      <c r="CG272" s="514"/>
      <c r="CH272" s="514"/>
      <c r="CI272" s="514"/>
      <c r="CJ272" s="514"/>
      <c r="CK272" s="514"/>
      <c r="CL272" s="514"/>
      <c r="CM272" s="514"/>
      <c r="CN272" s="514"/>
      <c r="CO272" s="514"/>
      <c r="CP272" s="514"/>
      <c r="CQ272" s="514"/>
      <c r="CR272" s="514"/>
      <c r="CS272" s="514"/>
      <c r="CT272" s="514"/>
      <c r="CU272" s="514"/>
      <c r="CV272" s="514"/>
      <c r="CW272" s="514"/>
      <c r="CX272" s="514"/>
      <c r="CY272" s="514"/>
      <c r="CZ272" s="514"/>
      <c r="DA272" s="514"/>
      <c r="DB272" s="514"/>
      <c r="DC272" s="514"/>
      <c r="DD272" s="514"/>
      <c r="DE272" s="514"/>
      <c r="DF272" s="514"/>
      <c r="DG272" s="514"/>
      <c r="DH272" s="514"/>
      <c r="DI272" s="514"/>
      <c r="DJ272" s="514"/>
      <c r="DK272" s="514"/>
      <c r="DL272" s="514"/>
      <c r="DM272" s="514"/>
      <c r="DN272" s="514"/>
      <c r="DO272" s="514"/>
      <c r="DP272" s="514"/>
      <c r="DQ272" s="514"/>
      <c r="DR272" s="514"/>
      <c r="DS272" s="514"/>
      <c r="DT272" s="514"/>
      <c r="DU272" s="514"/>
      <c r="DV272" s="514"/>
      <c r="DW272" s="514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3"/>
      <c r="D273" s="543" t="str">
        <f>$D$82</f>
        <v>Option 2: Replace / Install Network Devices</v>
      </c>
      <c r="E273" s="559" t="str">
        <f>E272</f>
        <v>To be determined by the AER</v>
      </c>
      <c r="F273" s="579"/>
      <c r="G273" s="581"/>
      <c r="H273" s="581"/>
      <c r="I273" s="581"/>
      <c r="J273" s="581"/>
      <c r="K273" s="581"/>
      <c r="L273" s="581"/>
      <c r="M273" s="581"/>
      <c r="N273" s="581"/>
      <c r="O273" s="581"/>
      <c r="P273" s="581"/>
      <c r="Q273" s="581"/>
      <c r="R273" s="581"/>
      <c r="S273" s="581"/>
      <c r="T273" s="581"/>
      <c r="U273" s="581"/>
      <c r="V273" s="581"/>
      <c r="W273" s="581"/>
      <c r="X273" s="581"/>
      <c r="Y273" s="581"/>
      <c r="Z273" s="581"/>
      <c r="AA273" s="446"/>
      <c r="AB273" s="447"/>
      <c r="AC273" s="514"/>
      <c r="AD273" s="514"/>
      <c r="AE273" s="514"/>
      <c r="AF273" s="514"/>
      <c r="AG273" s="514"/>
      <c r="AH273" s="514"/>
      <c r="AI273" s="514"/>
      <c r="AJ273" s="514"/>
      <c r="AK273" s="514"/>
      <c r="AL273" s="514"/>
      <c r="AM273" s="514"/>
      <c r="AN273" s="514"/>
      <c r="AO273" s="514"/>
      <c r="AP273" s="514"/>
      <c r="AQ273" s="514"/>
      <c r="AR273" s="514"/>
      <c r="AS273" s="514"/>
      <c r="AT273" s="514"/>
      <c r="AU273" s="514"/>
      <c r="AV273" s="514"/>
      <c r="AW273" s="514"/>
      <c r="AX273" s="514"/>
      <c r="AY273" s="514"/>
      <c r="AZ273" s="514"/>
      <c r="BA273" s="514"/>
      <c r="BB273" s="514"/>
      <c r="BC273" s="514"/>
      <c r="BD273" s="514"/>
      <c r="BE273" s="514"/>
      <c r="BF273" s="514"/>
      <c r="BG273" s="514"/>
      <c r="BH273" s="514"/>
      <c r="BI273" s="514"/>
      <c r="BJ273" s="514"/>
      <c r="BK273" s="514"/>
      <c r="BL273" s="514"/>
      <c r="BM273" s="514"/>
      <c r="BN273" s="514"/>
      <c r="BO273" s="514"/>
      <c r="BP273" s="514"/>
      <c r="BQ273" s="514"/>
      <c r="BR273" s="514"/>
      <c r="BS273" s="514"/>
      <c r="BT273" s="514"/>
      <c r="BU273" s="514"/>
      <c r="BV273" s="514"/>
      <c r="BW273" s="514"/>
      <c r="BX273" s="514"/>
      <c r="BY273" s="514"/>
      <c r="BZ273" s="514"/>
      <c r="CA273" s="514"/>
      <c r="CB273" s="514"/>
      <c r="CC273" s="514"/>
      <c r="CD273" s="514"/>
      <c r="CE273" s="514"/>
      <c r="CF273" s="514"/>
      <c r="CG273" s="514"/>
      <c r="CH273" s="514"/>
      <c r="CI273" s="514"/>
      <c r="CJ273" s="514"/>
      <c r="CK273" s="514"/>
      <c r="CL273" s="514"/>
      <c r="CM273" s="514"/>
      <c r="CN273" s="514"/>
      <c r="CO273" s="514"/>
      <c r="CP273" s="514"/>
      <c r="CQ273" s="514"/>
      <c r="CR273" s="514"/>
      <c r="CS273" s="514"/>
      <c r="CT273" s="514"/>
      <c r="CU273" s="514"/>
      <c r="CV273" s="514"/>
      <c r="CW273" s="514"/>
      <c r="CX273" s="514"/>
      <c r="CY273" s="514"/>
      <c r="CZ273" s="514"/>
      <c r="DA273" s="514"/>
      <c r="DB273" s="514"/>
      <c r="DC273" s="514"/>
      <c r="DD273" s="514"/>
      <c r="DE273" s="514"/>
      <c r="DF273" s="514"/>
      <c r="DG273" s="514"/>
      <c r="DH273" s="514"/>
      <c r="DI273" s="514"/>
      <c r="DJ273" s="514"/>
      <c r="DK273" s="514"/>
      <c r="DL273" s="514"/>
      <c r="DM273" s="514"/>
      <c r="DN273" s="514"/>
      <c r="DO273" s="514"/>
      <c r="DP273" s="514"/>
      <c r="DQ273" s="514"/>
      <c r="DR273" s="514"/>
      <c r="DS273" s="514"/>
      <c r="DT273" s="514"/>
      <c r="DU273" s="514"/>
      <c r="DV273" s="514"/>
      <c r="DW273" s="514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3"/>
      <c r="D274" s="543" t="str">
        <f>$D$111</f>
        <v>Option 3: Replace / Install 80% Network Devices, Purchase the Remaining 20% of the AMI data and Control Functionality</v>
      </c>
      <c r="E274" s="559" t="str">
        <f>E273</f>
        <v>To be determined by the AER</v>
      </c>
      <c r="F274" s="579"/>
      <c r="G274" s="581"/>
      <c r="H274" s="581"/>
      <c r="I274" s="581"/>
      <c r="J274" s="581"/>
      <c r="K274" s="581"/>
      <c r="L274" s="581"/>
      <c r="M274" s="581"/>
      <c r="N274" s="581"/>
      <c r="O274" s="581"/>
      <c r="P274" s="581"/>
      <c r="Q274" s="581"/>
      <c r="R274" s="581"/>
      <c r="S274" s="581"/>
      <c r="T274" s="581"/>
      <c r="U274" s="581"/>
      <c r="V274" s="581"/>
      <c r="W274" s="581"/>
      <c r="X274" s="581"/>
      <c r="Y274" s="581"/>
      <c r="Z274" s="581"/>
      <c r="AA274" s="446"/>
      <c r="AB274" s="447"/>
      <c r="AC274" s="514"/>
      <c r="AD274" s="514"/>
      <c r="AE274" s="514"/>
      <c r="AF274" s="514"/>
      <c r="AG274" s="514"/>
      <c r="AH274" s="514"/>
      <c r="AI274" s="514"/>
      <c r="AJ274" s="514"/>
      <c r="AK274" s="514"/>
      <c r="AL274" s="514"/>
      <c r="AM274" s="514"/>
      <c r="AN274" s="514"/>
      <c r="AO274" s="514"/>
      <c r="AP274" s="514"/>
      <c r="AQ274" s="514"/>
      <c r="AR274" s="514"/>
      <c r="AS274" s="514"/>
      <c r="AT274" s="514"/>
      <c r="AU274" s="514"/>
      <c r="AV274" s="514"/>
      <c r="AW274" s="514"/>
      <c r="AX274" s="514"/>
      <c r="AY274" s="514"/>
      <c r="AZ274" s="514"/>
      <c r="BA274" s="514"/>
      <c r="BB274" s="514"/>
      <c r="BC274" s="514"/>
      <c r="BD274" s="514"/>
      <c r="BE274" s="514"/>
      <c r="BF274" s="514"/>
      <c r="BG274" s="514"/>
      <c r="BH274" s="514"/>
      <c r="BI274" s="514"/>
      <c r="BJ274" s="514"/>
      <c r="BK274" s="514"/>
      <c r="BL274" s="514"/>
      <c r="BM274" s="514"/>
      <c r="BN274" s="514"/>
      <c r="BO274" s="514"/>
      <c r="BP274" s="514"/>
      <c r="BQ274" s="514"/>
      <c r="BR274" s="514"/>
      <c r="BS274" s="514"/>
      <c r="BT274" s="514"/>
      <c r="BU274" s="514"/>
      <c r="BV274" s="514"/>
      <c r="BW274" s="514"/>
      <c r="BX274" s="514"/>
      <c r="BY274" s="514"/>
      <c r="BZ274" s="514"/>
      <c r="CA274" s="514"/>
      <c r="CB274" s="514"/>
      <c r="CC274" s="514"/>
      <c r="CD274" s="514"/>
      <c r="CE274" s="514"/>
      <c r="CF274" s="514"/>
      <c r="CG274" s="514"/>
      <c r="CH274" s="514"/>
      <c r="CI274" s="514"/>
      <c r="CJ274" s="514"/>
      <c r="CK274" s="514"/>
      <c r="CL274" s="514"/>
      <c r="CM274" s="514"/>
      <c r="CN274" s="514"/>
      <c r="CO274" s="514"/>
      <c r="CP274" s="514"/>
      <c r="CQ274" s="514"/>
      <c r="CR274" s="514"/>
      <c r="CS274" s="514"/>
      <c r="CT274" s="514"/>
      <c r="CU274" s="514"/>
      <c r="CV274" s="514"/>
      <c r="CW274" s="514"/>
      <c r="CX274" s="514"/>
      <c r="CY274" s="514"/>
      <c r="CZ274" s="514"/>
      <c r="DA274" s="514"/>
      <c r="DB274" s="514"/>
      <c r="DC274" s="514"/>
      <c r="DD274" s="514"/>
      <c r="DE274" s="514"/>
      <c r="DF274" s="514"/>
      <c r="DG274" s="514"/>
      <c r="DH274" s="514"/>
      <c r="DI274" s="514"/>
      <c r="DJ274" s="514"/>
      <c r="DK274" s="514"/>
      <c r="DL274" s="514"/>
      <c r="DM274" s="514"/>
      <c r="DN274" s="514"/>
      <c r="DO274" s="514"/>
      <c r="DP274" s="514"/>
      <c r="DQ274" s="514"/>
      <c r="DR274" s="514"/>
      <c r="DS274" s="514"/>
      <c r="DT274" s="514"/>
      <c r="DU274" s="514"/>
      <c r="DV274" s="514"/>
      <c r="DW274" s="514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3"/>
      <c r="D275" s="543" t="str">
        <f>$D$140</f>
        <v xml:space="preserve">Option 4: </v>
      </c>
      <c r="E275" s="559" t="str">
        <f>E274</f>
        <v>To be determined by the AER</v>
      </c>
      <c r="F275" s="579"/>
      <c r="G275" s="581"/>
      <c r="H275" s="581"/>
      <c r="I275" s="581"/>
      <c r="J275" s="581"/>
      <c r="K275" s="581"/>
      <c r="L275" s="581"/>
      <c r="M275" s="581"/>
      <c r="N275" s="581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581"/>
      <c r="AA275" s="446"/>
      <c r="AB275" s="447"/>
      <c r="AC275" s="514"/>
      <c r="AD275" s="514"/>
      <c r="AE275" s="514"/>
      <c r="AF275" s="514"/>
      <c r="AG275" s="514"/>
      <c r="AH275" s="514"/>
      <c r="AI275" s="514"/>
      <c r="AJ275" s="514"/>
      <c r="AK275" s="514"/>
      <c r="AL275" s="514"/>
      <c r="AM275" s="514"/>
      <c r="AN275" s="514"/>
      <c r="AO275" s="514"/>
      <c r="AP275" s="514"/>
      <c r="AQ275" s="514"/>
      <c r="AR275" s="514"/>
      <c r="AS275" s="514"/>
      <c r="AT275" s="514"/>
      <c r="AU275" s="514"/>
      <c r="AV275" s="514"/>
      <c r="AW275" s="514"/>
      <c r="AX275" s="514"/>
      <c r="AY275" s="514"/>
      <c r="AZ275" s="514"/>
      <c r="BA275" s="514"/>
      <c r="BB275" s="514"/>
      <c r="BC275" s="514"/>
      <c r="BD275" s="514"/>
      <c r="BE275" s="514"/>
      <c r="BF275" s="514"/>
      <c r="BG275" s="514"/>
      <c r="BH275" s="514"/>
      <c r="BI275" s="514"/>
      <c r="BJ275" s="514"/>
      <c r="BK275" s="514"/>
      <c r="BL275" s="514"/>
      <c r="BM275" s="514"/>
      <c r="BN275" s="514"/>
      <c r="BO275" s="514"/>
      <c r="BP275" s="514"/>
      <c r="BQ275" s="514"/>
      <c r="BR275" s="514"/>
      <c r="BS275" s="514"/>
      <c r="BT275" s="514"/>
      <c r="BU275" s="514"/>
      <c r="BV275" s="514"/>
      <c r="BW275" s="514"/>
      <c r="BX275" s="514"/>
      <c r="BY275" s="514"/>
      <c r="BZ275" s="514"/>
      <c r="CA275" s="514"/>
      <c r="CB275" s="514"/>
      <c r="CC275" s="514"/>
      <c r="CD275" s="514"/>
      <c r="CE275" s="514"/>
      <c r="CF275" s="514"/>
      <c r="CG275" s="514"/>
      <c r="CH275" s="514"/>
      <c r="CI275" s="514"/>
      <c r="CJ275" s="514"/>
      <c r="CK275" s="514"/>
      <c r="CL275" s="514"/>
      <c r="CM275" s="514"/>
      <c r="CN275" s="514"/>
      <c r="CO275" s="514"/>
      <c r="CP275" s="514"/>
      <c r="CQ275" s="514"/>
      <c r="CR275" s="514"/>
      <c r="CS275" s="514"/>
      <c r="CT275" s="514"/>
      <c r="CU275" s="514"/>
      <c r="CV275" s="514"/>
      <c r="CW275" s="514"/>
      <c r="CX275" s="514"/>
      <c r="CY275" s="514"/>
      <c r="CZ275" s="514"/>
      <c r="DA275" s="514"/>
      <c r="DB275" s="514"/>
      <c r="DC275" s="514"/>
      <c r="DD275" s="514"/>
      <c r="DE275" s="514"/>
      <c r="DF275" s="514"/>
      <c r="DG275" s="514"/>
      <c r="DH275" s="514"/>
      <c r="DI275" s="514"/>
      <c r="DJ275" s="514"/>
      <c r="DK275" s="514"/>
      <c r="DL275" s="514"/>
      <c r="DM275" s="514"/>
      <c r="DN275" s="514"/>
      <c r="DO275" s="514"/>
      <c r="DP275" s="514"/>
      <c r="DQ275" s="514"/>
      <c r="DR275" s="514"/>
      <c r="DS275" s="514"/>
      <c r="DT275" s="514"/>
      <c r="DU275" s="514"/>
      <c r="DV275" s="514"/>
      <c r="DW275" s="514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3"/>
      <c r="D276" s="543" t="str">
        <f>$D$169</f>
        <v xml:space="preserve">Option 5: </v>
      </c>
      <c r="E276" s="559" t="str">
        <f>E275</f>
        <v>To be determined by the AER</v>
      </c>
      <c r="F276" s="579"/>
      <c r="G276" s="580"/>
      <c r="H276" s="580"/>
      <c r="I276" s="580"/>
      <c r="J276" s="580"/>
      <c r="K276" s="580"/>
      <c r="L276" s="580"/>
      <c r="M276" s="580"/>
      <c r="N276" s="580"/>
      <c r="O276" s="580"/>
      <c r="P276" s="580"/>
      <c r="Q276" s="580"/>
      <c r="R276" s="580"/>
      <c r="S276" s="580"/>
      <c r="T276" s="580"/>
      <c r="U276" s="580"/>
      <c r="V276" s="580"/>
      <c r="W276" s="580"/>
      <c r="X276" s="580"/>
      <c r="Y276" s="580"/>
      <c r="Z276" s="580"/>
      <c r="AA276" s="446"/>
      <c r="AB276" s="447"/>
      <c r="AC276" s="514"/>
      <c r="AD276" s="514"/>
      <c r="AE276" s="514"/>
      <c r="AF276" s="514"/>
      <c r="AG276" s="514"/>
      <c r="AH276" s="514"/>
      <c r="AI276" s="514"/>
      <c r="AJ276" s="514"/>
      <c r="AK276" s="514"/>
      <c r="AL276" s="514"/>
      <c r="AM276" s="514"/>
      <c r="AN276" s="514"/>
      <c r="AO276" s="514"/>
      <c r="AP276" s="514"/>
      <c r="AQ276" s="514"/>
      <c r="AR276" s="514"/>
      <c r="AS276" s="514"/>
      <c r="AT276" s="514"/>
      <c r="AU276" s="514"/>
      <c r="AV276" s="514"/>
      <c r="AW276" s="514"/>
      <c r="AX276" s="514"/>
      <c r="AY276" s="514"/>
      <c r="AZ276" s="514"/>
      <c r="BA276" s="514"/>
      <c r="BB276" s="514"/>
      <c r="BC276" s="514"/>
      <c r="BD276" s="514"/>
      <c r="BE276" s="514"/>
      <c r="BF276" s="514"/>
      <c r="BG276" s="514"/>
      <c r="BH276" s="514"/>
      <c r="BI276" s="514"/>
      <c r="BJ276" s="514"/>
      <c r="BK276" s="514"/>
      <c r="BL276" s="514"/>
      <c r="BM276" s="514"/>
      <c r="BN276" s="514"/>
      <c r="BO276" s="514"/>
      <c r="BP276" s="514"/>
      <c r="BQ276" s="514"/>
      <c r="BR276" s="514"/>
      <c r="BS276" s="514"/>
      <c r="BT276" s="514"/>
      <c r="BU276" s="514"/>
      <c r="BV276" s="514"/>
      <c r="BW276" s="514"/>
      <c r="BX276" s="514"/>
      <c r="BY276" s="514"/>
      <c r="BZ276" s="514"/>
      <c r="CA276" s="514"/>
      <c r="CB276" s="514"/>
      <c r="CC276" s="514"/>
      <c r="CD276" s="514"/>
      <c r="CE276" s="514"/>
      <c r="CF276" s="514"/>
      <c r="CG276" s="514"/>
      <c r="CH276" s="514"/>
      <c r="CI276" s="514"/>
      <c r="CJ276" s="514"/>
      <c r="CK276" s="514"/>
      <c r="CL276" s="514"/>
      <c r="CM276" s="514"/>
      <c r="CN276" s="514"/>
      <c r="CO276" s="514"/>
      <c r="CP276" s="514"/>
      <c r="CQ276" s="514"/>
      <c r="CR276" s="514"/>
      <c r="CS276" s="514"/>
      <c r="CT276" s="514"/>
      <c r="CU276" s="514"/>
      <c r="CV276" s="514"/>
      <c r="CW276" s="514"/>
      <c r="CX276" s="514"/>
      <c r="CY276" s="514"/>
      <c r="CZ276" s="514"/>
      <c r="DA276" s="514"/>
      <c r="DB276" s="514"/>
      <c r="DC276" s="514"/>
      <c r="DD276" s="514"/>
      <c r="DE276" s="514"/>
      <c r="DF276" s="514"/>
      <c r="DG276" s="514"/>
      <c r="DH276" s="514"/>
      <c r="DI276" s="514"/>
      <c r="DJ276" s="514"/>
      <c r="DK276" s="514"/>
      <c r="DL276" s="514"/>
      <c r="DM276" s="514"/>
      <c r="DN276" s="514"/>
      <c r="DO276" s="514"/>
      <c r="DP276" s="514"/>
      <c r="DQ276" s="514"/>
      <c r="DR276" s="514"/>
      <c r="DS276" s="514"/>
      <c r="DT276" s="514"/>
      <c r="DU276" s="514"/>
      <c r="DV276" s="514"/>
      <c r="DW276" s="514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8"/>
      <c r="C277" s="533"/>
      <c r="D277" s="563"/>
      <c r="E277" s="569"/>
      <c r="F277" s="563"/>
      <c r="G277" s="563"/>
      <c r="H277" s="563"/>
      <c r="I277" s="563"/>
      <c r="J277" s="563"/>
      <c r="K277" s="563"/>
      <c r="L277" s="563"/>
      <c r="M277" s="563"/>
      <c r="N277" s="563"/>
      <c r="O277" s="563"/>
      <c r="P277" s="563"/>
      <c r="Q277" s="563"/>
      <c r="R277" s="563"/>
      <c r="S277" s="563"/>
      <c r="T277" s="563"/>
      <c r="U277" s="563"/>
      <c r="V277" s="563"/>
      <c r="W277" s="563"/>
      <c r="X277" s="563"/>
      <c r="Y277" s="563"/>
      <c r="Z277" s="563"/>
      <c r="AA277" s="563"/>
      <c r="AB277" s="564"/>
    </row>
    <row r="278" spans="1:257" ht="13.5" thickBot="1" x14ac:dyDescent="0.25">
      <c r="B278" s="445"/>
      <c r="C278" s="573"/>
      <c r="D278" s="574"/>
      <c r="E278" s="575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0"/>
      <c r="D279" s="571"/>
      <c r="E279" s="572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0"/>
      <c r="D280" s="491" t="s">
        <v>252</v>
      </c>
      <c r="E280" s="576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0"/>
      <c r="D281" s="515" t="s">
        <v>253</v>
      </c>
      <c r="E281" s="572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2" customFormat="1" x14ac:dyDescent="0.2">
      <c r="A282" s="433"/>
      <c r="B282" s="445"/>
      <c r="C282" s="446"/>
      <c r="D282" s="487"/>
      <c r="E282" s="515"/>
      <c r="F282" s="446"/>
      <c r="G282" s="565"/>
      <c r="H282" s="565"/>
      <c r="I282" s="565"/>
      <c r="J282" s="565"/>
      <c r="K282" s="565"/>
      <c r="L282" s="565"/>
      <c r="M282" s="565"/>
      <c r="N282" s="565"/>
      <c r="O282" s="565"/>
      <c r="P282" s="565"/>
      <c r="Q282" s="565"/>
      <c r="R282" s="565"/>
      <c r="S282" s="565"/>
      <c r="T282" s="565"/>
      <c r="U282" s="565"/>
      <c r="V282" s="565"/>
      <c r="W282" s="565"/>
      <c r="X282" s="565"/>
      <c r="Y282" s="565"/>
      <c r="Z282" s="565"/>
      <c r="AA282" s="446"/>
      <c r="AB282" s="447"/>
    </row>
    <row r="283" spans="1:257" x14ac:dyDescent="0.2">
      <c r="B283" s="445"/>
      <c r="C283" s="533"/>
      <c r="D283" s="558" t="s">
        <v>171</v>
      </c>
      <c r="E283" s="561"/>
      <c r="F283" s="562"/>
      <c r="G283" s="562">
        <f t="shared" ref="G283:Z283" si="49">G$186</f>
        <v>2019</v>
      </c>
      <c r="H283" s="562">
        <f t="shared" si="49"/>
        <v>2020</v>
      </c>
      <c r="I283" s="562">
        <f t="shared" si="49"/>
        <v>2021</v>
      </c>
      <c r="J283" s="562">
        <f t="shared" si="49"/>
        <v>2022</v>
      </c>
      <c r="K283" s="562">
        <f t="shared" si="49"/>
        <v>2023</v>
      </c>
      <c r="L283" s="562">
        <f t="shared" si="49"/>
        <v>2024</v>
      </c>
      <c r="M283" s="562">
        <f t="shared" si="49"/>
        <v>2025</v>
      </c>
      <c r="N283" s="562">
        <f t="shared" si="49"/>
        <v>2026</v>
      </c>
      <c r="O283" s="562">
        <f t="shared" si="49"/>
        <v>2027</v>
      </c>
      <c r="P283" s="562">
        <f t="shared" si="49"/>
        <v>2028</v>
      </c>
      <c r="Q283" s="562">
        <f t="shared" si="49"/>
        <v>2029</v>
      </c>
      <c r="R283" s="562">
        <f t="shared" si="49"/>
        <v>2030</v>
      </c>
      <c r="S283" s="562">
        <f t="shared" si="49"/>
        <v>2031</v>
      </c>
      <c r="T283" s="562">
        <f t="shared" si="49"/>
        <v>2032</v>
      </c>
      <c r="U283" s="562">
        <f t="shared" si="49"/>
        <v>2033</v>
      </c>
      <c r="V283" s="562">
        <f t="shared" si="49"/>
        <v>2034</v>
      </c>
      <c r="W283" s="562">
        <f t="shared" si="49"/>
        <v>2035</v>
      </c>
      <c r="X283" s="562">
        <f t="shared" si="49"/>
        <v>2036</v>
      </c>
      <c r="Y283" s="562">
        <f t="shared" si="49"/>
        <v>2037</v>
      </c>
      <c r="Z283" s="562">
        <f t="shared" si="49"/>
        <v>2038</v>
      </c>
      <c r="AA283" s="446"/>
      <c r="AB283" s="447"/>
    </row>
    <row r="284" spans="1:257" x14ac:dyDescent="0.2">
      <c r="B284" s="445"/>
      <c r="C284" s="533"/>
      <c r="D284" s="543" t="str">
        <f>$D$24</f>
        <v>"Status Quo" Reference Case</v>
      </c>
      <c r="E284" s="559" t="s">
        <v>104</v>
      </c>
      <c r="F284" s="560"/>
      <c r="G284" s="577"/>
      <c r="H284" s="577"/>
      <c r="I284" s="577"/>
      <c r="J284" s="577"/>
      <c r="K284" s="577"/>
      <c r="L284" s="577"/>
      <c r="M284" s="577"/>
      <c r="N284" s="577"/>
      <c r="O284" s="577"/>
      <c r="P284" s="577"/>
      <c r="Q284" s="577"/>
      <c r="R284" s="577"/>
      <c r="S284" s="577"/>
      <c r="T284" s="577"/>
      <c r="U284" s="577"/>
      <c r="V284" s="577"/>
      <c r="W284" s="577"/>
      <c r="X284" s="577"/>
      <c r="Y284" s="577"/>
      <c r="Z284" s="577"/>
      <c r="AA284" s="446"/>
      <c r="AB284" s="447"/>
    </row>
    <row r="285" spans="1:257" x14ac:dyDescent="0.2">
      <c r="B285" s="445"/>
      <c r="C285" s="533"/>
      <c r="D285" s="543" t="str">
        <f>$D$53</f>
        <v>Option 1: Perform Manual Neutral Integrity where UE Meters are Removed</v>
      </c>
      <c r="E285" s="559" t="s">
        <v>104</v>
      </c>
      <c r="F285" s="560"/>
      <c r="G285" s="577"/>
      <c r="H285" s="577"/>
      <c r="I285" s="577"/>
      <c r="J285" s="577"/>
      <c r="K285" s="577"/>
      <c r="L285" s="577"/>
      <c r="M285" s="577"/>
      <c r="N285" s="577"/>
      <c r="O285" s="577"/>
      <c r="P285" s="577"/>
      <c r="Q285" s="577"/>
      <c r="R285" s="577"/>
      <c r="S285" s="577"/>
      <c r="T285" s="577"/>
      <c r="U285" s="577"/>
      <c r="V285" s="577"/>
      <c r="W285" s="577"/>
      <c r="X285" s="577"/>
      <c r="Y285" s="577"/>
      <c r="Z285" s="577"/>
      <c r="AA285" s="446"/>
      <c r="AB285" s="447"/>
    </row>
    <row r="286" spans="1:257" x14ac:dyDescent="0.2">
      <c r="B286" s="445"/>
      <c r="C286" s="533"/>
      <c r="D286" s="543" t="str">
        <f>$D$82</f>
        <v>Option 2: Replace / Install Network Devices</v>
      </c>
      <c r="E286" s="559" t="s">
        <v>104</v>
      </c>
      <c r="F286" s="560"/>
      <c r="G286" s="578"/>
      <c r="H286" s="578"/>
      <c r="I286" s="578"/>
      <c r="J286" s="578"/>
      <c r="K286" s="578"/>
      <c r="L286" s="578"/>
      <c r="M286" s="578"/>
      <c r="N286" s="578"/>
      <c r="O286" s="578"/>
      <c r="P286" s="578"/>
      <c r="Q286" s="578"/>
      <c r="R286" s="578"/>
      <c r="S286" s="578"/>
      <c r="T286" s="578"/>
      <c r="U286" s="578"/>
      <c r="V286" s="578"/>
      <c r="W286" s="578"/>
      <c r="X286" s="578"/>
      <c r="Y286" s="578"/>
      <c r="Z286" s="578"/>
      <c r="AA286" s="446"/>
      <c r="AB286" s="447"/>
    </row>
    <row r="287" spans="1:257" x14ac:dyDescent="0.2">
      <c r="B287" s="445"/>
      <c r="C287" s="533"/>
      <c r="D287" s="543" t="str">
        <f>$D$111</f>
        <v>Option 3: Replace / Install 80% Network Devices, Purchase the Remaining 20% of the AMI data and Control Functionality</v>
      </c>
      <c r="E287" s="559" t="s">
        <v>104</v>
      </c>
      <c r="F287" s="560"/>
      <c r="G287" s="578"/>
      <c r="H287" s="578"/>
      <c r="I287" s="578"/>
      <c r="J287" s="578"/>
      <c r="K287" s="578"/>
      <c r="L287" s="578"/>
      <c r="M287" s="578"/>
      <c r="N287" s="578"/>
      <c r="O287" s="578"/>
      <c r="P287" s="578"/>
      <c r="Q287" s="578"/>
      <c r="R287" s="578"/>
      <c r="S287" s="578"/>
      <c r="T287" s="578"/>
      <c r="U287" s="578"/>
      <c r="V287" s="578"/>
      <c r="W287" s="578"/>
      <c r="X287" s="578"/>
      <c r="Y287" s="578"/>
      <c r="Z287" s="578"/>
      <c r="AA287" s="446"/>
      <c r="AB287" s="447"/>
    </row>
    <row r="288" spans="1:257" x14ac:dyDescent="0.2">
      <c r="B288" s="445"/>
      <c r="C288" s="533"/>
      <c r="D288" s="543" t="str">
        <f>$D$140</f>
        <v xml:space="preserve">Option 4: </v>
      </c>
      <c r="E288" s="559" t="s">
        <v>104</v>
      </c>
      <c r="F288" s="560"/>
      <c r="G288" s="578"/>
      <c r="H288" s="578"/>
      <c r="I288" s="578"/>
      <c r="J288" s="578"/>
      <c r="K288" s="578"/>
      <c r="L288" s="578"/>
      <c r="M288" s="578"/>
      <c r="N288" s="578"/>
      <c r="O288" s="578"/>
      <c r="P288" s="578"/>
      <c r="Q288" s="578"/>
      <c r="R288" s="578"/>
      <c r="S288" s="578"/>
      <c r="T288" s="578"/>
      <c r="U288" s="578"/>
      <c r="V288" s="578"/>
      <c r="W288" s="578"/>
      <c r="X288" s="578"/>
      <c r="Y288" s="578"/>
      <c r="Z288" s="578"/>
      <c r="AA288" s="446"/>
      <c r="AB288" s="447"/>
    </row>
    <row r="289" spans="2:28" x14ac:dyDescent="0.2">
      <c r="B289" s="445"/>
      <c r="C289" s="533"/>
      <c r="D289" s="543" t="str">
        <f>$D$169</f>
        <v xml:space="preserve">Option 5: </v>
      </c>
      <c r="E289" s="559" t="s">
        <v>104</v>
      </c>
      <c r="F289" s="560"/>
      <c r="G289" s="577"/>
      <c r="H289" s="577"/>
      <c r="I289" s="577"/>
      <c r="J289" s="577"/>
      <c r="K289" s="577"/>
      <c r="L289" s="577"/>
      <c r="M289" s="577"/>
      <c r="N289" s="577"/>
      <c r="O289" s="577"/>
      <c r="P289" s="577"/>
      <c r="Q289" s="577"/>
      <c r="R289" s="577"/>
      <c r="S289" s="577"/>
      <c r="T289" s="577"/>
      <c r="U289" s="577"/>
      <c r="V289" s="577"/>
      <c r="W289" s="577"/>
      <c r="X289" s="577"/>
      <c r="Y289" s="577"/>
      <c r="Z289" s="577"/>
      <c r="AA289" s="446"/>
      <c r="AB289" s="447"/>
    </row>
    <row r="290" spans="2:28" x14ac:dyDescent="0.2">
      <c r="B290" s="568"/>
      <c r="C290" s="533"/>
      <c r="D290" s="563"/>
      <c r="E290" s="569"/>
      <c r="F290" s="563"/>
      <c r="G290" s="563"/>
      <c r="H290" s="563"/>
      <c r="I290" s="563"/>
      <c r="J290" s="563"/>
      <c r="K290" s="563"/>
      <c r="L290" s="563"/>
      <c r="M290" s="563"/>
      <c r="N290" s="563"/>
      <c r="O290" s="563"/>
      <c r="P290" s="563"/>
      <c r="Q290" s="563"/>
      <c r="R290" s="563"/>
      <c r="S290" s="563"/>
      <c r="T290" s="563"/>
      <c r="U290" s="563"/>
      <c r="V290" s="563"/>
      <c r="W290" s="563"/>
      <c r="X290" s="563"/>
      <c r="Y290" s="563"/>
      <c r="Z290" s="563"/>
      <c r="AA290" s="563"/>
      <c r="AB290" s="564"/>
    </row>
    <row r="291" spans="2:28" x14ac:dyDescent="0.2">
      <c r="B291" s="445"/>
      <c r="C291" s="533"/>
      <c r="D291" s="558" t="s">
        <v>172</v>
      </c>
      <c r="E291" s="561"/>
      <c r="F291" s="562"/>
      <c r="G291" s="562">
        <f t="shared" ref="G291:Z291" si="50">G$186</f>
        <v>2019</v>
      </c>
      <c r="H291" s="562">
        <f t="shared" si="50"/>
        <v>2020</v>
      </c>
      <c r="I291" s="562">
        <f t="shared" si="50"/>
        <v>2021</v>
      </c>
      <c r="J291" s="562">
        <f t="shared" si="50"/>
        <v>2022</v>
      </c>
      <c r="K291" s="562">
        <f t="shared" si="50"/>
        <v>2023</v>
      </c>
      <c r="L291" s="562">
        <f t="shared" si="50"/>
        <v>2024</v>
      </c>
      <c r="M291" s="562">
        <f t="shared" si="50"/>
        <v>2025</v>
      </c>
      <c r="N291" s="562">
        <f t="shared" si="50"/>
        <v>2026</v>
      </c>
      <c r="O291" s="562">
        <f t="shared" si="50"/>
        <v>2027</v>
      </c>
      <c r="P291" s="562">
        <f t="shared" si="50"/>
        <v>2028</v>
      </c>
      <c r="Q291" s="562">
        <f t="shared" si="50"/>
        <v>2029</v>
      </c>
      <c r="R291" s="562">
        <f t="shared" si="50"/>
        <v>2030</v>
      </c>
      <c r="S291" s="562">
        <f t="shared" si="50"/>
        <v>2031</v>
      </c>
      <c r="T291" s="562">
        <f t="shared" si="50"/>
        <v>2032</v>
      </c>
      <c r="U291" s="562">
        <f t="shared" si="50"/>
        <v>2033</v>
      </c>
      <c r="V291" s="562">
        <f t="shared" si="50"/>
        <v>2034</v>
      </c>
      <c r="W291" s="562">
        <f t="shared" si="50"/>
        <v>2035</v>
      </c>
      <c r="X291" s="562">
        <f t="shared" si="50"/>
        <v>2036</v>
      </c>
      <c r="Y291" s="562">
        <f t="shared" si="50"/>
        <v>2037</v>
      </c>
      <c r="Z291" s="562">
        <f t="shared" si="50"/>
        <v>2038</v>
      </c>
      <c r="AA291" s="446"/>
      <c r="AB291" s="447"/>
    </row>
    <row r="292" spans="2:28" x14ac:dyDescent="0.2">
      <c r="B292" s="445"/>
      <c r="C292" s="533"/>
      <c r="D292" s="543" t="str">
        <f>$D$24</f>
        <v>"Status Quo" Reference Case</v>
      </c>
      <c r="E292" s="559" t="s">
        <v>104</v>
      </c>
      <c r="F292" s="560"/>
      <c r="G292" s="577"/>
      <c r="H292" s="577"/>
      <c r="I292" s="577"/>
      <c r="J292" s="577"/>
      <c r="K292" s="577"/>
      <c r="L292" s="577"/>
      <c r="M292" s="577"/>
      <c r="N292" s="577"/>
      <c r="O292" s="577"/>
      <c r="P292" s="577"/>
      <c r="Q292" s="577"/>
      <c r="R292" s="577"/>
      <c r="S292" s="577"/>
      <c r="T292" s="577"/>
      <c r="U292" s="577"/>
      <c r="V292" s="577"/>
      <c r="W292" s="577"/>
      <c r="X292" s="577"/>
      <c r="Y292" s="577"/>
      <c r="Z292" s="577"/>
      <c r="AA292" s="446"/>
      <c r="AB292" s="447"/>
    </row>
    <row r="293" spans="2:28" x14ac:dyDescent="0.2">
      <c r="B293" s="445"/>
      <c r="C293" s="533"/>
      <c r="D293" s="543" t="str">
        <f>$D$53</f>
        <v>Option 1: Perform Manual Neutral Integrity where UE Meters are Removed</v>
      </c>
      <c r="E293" s="559" t="s">
        <v>104</v>
      </c>
      <c r="F293" s="560"/>
      <c r="G293" s="577"/>
      <c r="H293" s="577"/>
      <c r="I293" s="577"/>
      <c r="J293" s="577"/>
      <c r="K293" s="577"/>
      <c r="L293" s="577"/>
      <c r="M293" s="577"/>
      <c r="N293" s="577"/>
      <c r="O293" s="577"/>
      <c r="P293" s="577"/>
      <c r="Q293" s="577"/>
      <c r="R293" s="577"/>
      <c r="S293" s="577"/>
      <c r="T293" s="577"/>
      <c r="U293" s="577"/>
      <c r="V293" s="577"/>
      <c r="W293" s="577"/>
      <c r="X293" s="577"/>
      <c r="Y293" s="577"/>
      <c r="Z293" s="577"/>
      <c r="AA293" s="446"/>
      <c r="AB293" s="447"/>
    </row>
    <row r="294" spans="2:28" x14ac:dyDescent="0.2">
      <c r="B294" s="445"/>
      <c r="C294" s="533"/>
      <c r="D294" s="543" t="str">
        <f>$D$82</f>
        <v>Option 2: Replace / Install Network Devices</v>
      </c>
      <c r="E294" s="559" t="s">
        <v>104</v>
      </c>
      <c r="F294" s="560"/>
      <c r="G294" s="578"/>
      <c r="H294" s="578"/>
      <c r="I294" s="578"/>
      <c r="J294" s="578"/>
      <c r="K294" s="578"/>
      <c r="L294" s="578"/>
      <c r="M294" s="578"/>
      <c r="N294" s="578"/>
      <c r="O294" s="578"/>
      <c r="P294" s="578"/>
      <c r="Q294" s="578"/>
      <c r="R294" s="578"/>
      <c r="S294" s="578"/>
      <c r="T294" s="578"/>
      <c r="U294" s="578"/>
      <c r="V294" s="578"/>
      <c r="W294" s="578"/>
      <c r="X294" s="578"/>
      <c r="Y294" s="578"/>
      <c r="Z294" s="578"/>
      <c r="AA294" s="446"/>
      <c r="AB294" s="447"/>
    </row>
    <row r="295" spans="2:28" x14ac:dyDescent="0.2">
      <c r="B295" s="445"/>
      <c r="C295" s="533"/>
      <c r="D295" s="543" t="str">
        <f>$D$111</f>
        <v>Option 3: Replace / Install 80% Network Devices, Purchase the Remaining 20% of the AMI data and Control Functionality</v>
      </c>
      <c r="E295" s="559" t="s">
        <v>104</v>
      </c>
      <c r="F295" s="560"/>
      <c r="G295" s="578"/>
      <c r="H295" s="578"/>
      <c r="I295" s="578"/>
      <c r="J295" s="578"/>
      <c r="K295" s="578"/>
      <c r="L295" s="578"/>
      <c r="M295" s="578"/>
      <c r="N295" s="578"/>
      <c r="O295" s="578"/>
      <c r="P295" s="578"/>
      <c r="Q295" s="578"/>
      <c r="R295" s="578"/>
      <c r="S295" s="578"/>
      <c r="T295" s="578"/>
      <c r="U295" s="578"/>
      <c r="V295" s="578"/>
      <c r="W295" s="578"/>
      <c r="X295" s="578"/>
      <c r="Y295" s="578"/>
      <c r="Z295" s="578"/>
      <c r="AA295" s="446"/>
      <c r="AB295" s="447"/>
    </row>
    <row r="296" spans="2:28" x14ac:dyDescent="0.2">
      <c r="B296" s="445"/>
      <c r="C296" s="533"/>
      <c r="D296" s="543" t="str">
        <f>$D$140</f>
        <v xml:space="preserve">Option 4: </v>
      </c>
      <c r="E296" s="559" t="s">
        <v>104</v>
      </c>
      <c r="F296" s="560"/>
      <c r="G296" s="578"/>
      <c r="H296" s="578"/>
      <c r="I296" s="578"/>
      <c r="J296" s="578"/>
      <c r="K296" s="578"/>
      <c r="L296" s="578"/>
      <c r="M296" s="578"/>
      <c r="N296" s="578"/>
      <c r="O296" s="578"/>
      <c r="P296" s="578"/>
      <c r="Q296" s="578"/>
      <c r="R296" s="578"/>
      <c r="S296" s="578"/>
      <c r="T296" s="578"/>
      <c r="U296" s="578"/>
      <c r="V296" s="578"/>
      <c r="W296" s="578"/>
      <c r="X296" s="578"/>
      <c r="Y296" s="578"/>
      <c r="Z296" s="578"/>
      <c r="AA296" s="446"/>
      <c r="AB296" s="447"/>
    </row>
    <row r="297" spans="2:28" x14ac:dyDescent="0.2">
      <c r="B297" s="445"/>
      <c r="C297" s="533"/>
      <c r="D297" s="543" t="str">
        <f>$D$169</f>
        <v xml:space="preserve">Option 5: </v>
      </c>
      <c r="E297" s="559" t="s">
        <v>104</v>
      </c>
      <c r="F297" s="560"/>
      <c r="G297" s="577"/>
      <c r="H297" s="577"/>
      <c r="I297" s="577"/>
      <c r="J297" s="577"/>
      <c r="K297" s="577"/>
      <c r="L297" s="577"/>
      <c r="M297" s="577"/>
      <c r="N297" s="577"/>
      <c r="O297" s="577"/>
      <c r="P297" s="577"/>
      <c r="Q297" s="577"/>
      <c r="R297" s="577"/>
      <c r="S297" s="577"/>
      <c r="T297" s="577"/>
      <c r="U297" s="577"/>
      <c r="V297" s="577"/>
      <c r="W297" s="577"/>
      <c r="X297" s="577"/>
      <c r="Y297" s="577"/>
      <c r="Z297" s="577"/>
      <c r="AA297" s="446"/>
      <c r="AB297" s="447"/>
    </row>
    <row r="298" spans="2:28" x14ac:dyDescent="0.2">
      <c r="B298" s="568"/>
      <c r="C298" s="533"/>
      <c r="D298" s="563"/>
      <c r="E298" s="569"/>
      <c r="F298" s="563"/>
      <c r="G298" s="563"/>
      <c r="H298" s="563"/>
      <c r="I298" s="563"/>
      <c r="J298" s="563"/>
      <c r="K298" s="563"/>
      <c r="L298" s="563"/>
      <c r="M298" s="563"/>
      <c r="N298" s="563"/>
      <c r="O298" s="563"/>
      <c r="P298" s="563"/>
      <c r="Q298" s="563"/>
      <c r="R298" s="563"/>
      <c r="S298" s="563"/>
      <c r="T298" s="563"/>
      <c r="U298" s="563"/>
      <c r="V298" s="563"/>
      <c r="W298" s="563"/>
      <c r="X298" s="563"/>
      <c r="Y298" s="563"/>
      <c r="Z298" s="563"/>
      <c r="AA298" s="563"/>
      <c r="AB298" s="564"/>
    </row>
    <row r="299" spans="2:28" x14ac:dyDescent="0.2">
      <c r="B299" s="445"/>
      <c r="C299" s="533"/>
      <c r="D299" s="558" t="s">
        <v>175</v>
      </c>
      <c r="E299" s="561"/>
      <c r="F299" s="562"/>
      <c r="G299" s="562">
        <f t="shared" ref="G299:Z299" si="51">G$186</f>
        <v>2019</v>
      </c>
      <c r="H299" s="562">
        <f t="shared" si="51"/>
        <v>2020</v>
      </c>
      <c r="I299" s="562">
        <f t="shared" si="51"/>
        <v>2021</v>
      </c>
      <c r="J299" s="562">
        <f t="shared" si="51"/>
        <v>2022</v>
      </c>
      <c r="K299" s="562">
        <f t="shared" si="51"/>
        <v>2023</v>
      </c>
      <c r="L299" s="562">
        <f t="shared" si="51"/>
        <v>2024</v>
      </c>
      <c r="M299" s="562">
        <f t="shared" si="51"/>
        <v>2025</v>
      </c>
      <c r="N299" s="562">
        <f t="shared" si="51"/>
        <v>2026</v>
      </c>
      <c r="O299" s="562">
        <f t="shared" si="51"/>
        <v>2027</v>
      </c>
      <c r="P299" s="562">
        <f t="shared" si="51"/>
        <v>2028</v>
      </c>
      <c r="Q299" s="562">
        <f t="shared" si="51"/>
        <v>2029</v>
      </c>
      <c r="R299" s="562">
        <f t="shared" si="51"/>
        <v>2030</v>
      </c>
      <c r="S299" s="562">
        <f t="shared" si="51"/>
        <v>2031</v>
      </c>
      <c r="T299" s="562">
        <f t="shared" si="51"/>
        <v>2032</v>
      </c>
      <c r="U299" s="562">
        <f t="shared" si="51"/>
        <v>2033</v>
      </c>
      <c r="V299" s="562">
        <f t="shared" si="51"/>
        <v>2034</v>
      </c>
      <c r="W299" s="562">
        <f t="shared" si="51"/>
        <v>2035</v>
      </c>
      <c r="X299" s="562">
        <f t="shared" si="51"/>
        <v>2036</v>
      </c>
      <c r="Y299" s="562">
        <f t="shared" si="51"/>
        <v>2037</v>
      </c>
      <c r="Z299" s="562">
        <f t="shared" si="51"/>
        <v>2038</v>
      </c>
      <c r="AA299" s="446"/>
      <c r="AB299" s="447"/>
    </row>
    <row r="300" spans="2:28" x14ac:dyDescent="0.2">
      <c r="B300" s="445"/>
      <c r="C300" s="533"/>
      <c r="D300" s="543" t="str">
        <f>$D$24</f>
        <v>"Status Quo" Reference Case</v>
      </c>
      <c r="E300" s="559" t="s">
        <v>104</v>
      </c>
      <c r="F300" s="560"/>
      <c r="G300" s="577"/>
      <c r="H300" s="577"/>
      <c r="I300" s="577"/>
      <c r="J300" s="577"/>
      <c r="K300" s="577"/>
      <c r="L300" s="577"/>
      <c r="M300" s="577"/>
      <c r="N300" s="577"/>
      <c r="O300" s="577"/>
      <c r="P300" s="577"/>
      <c r="Q300" s="577"/>
      <c r="R300" s="577"/>
      <c r="S300" s="577"/>
      <c r="T300" s="577"/>
      <c r="U300" s="577"/>
      <c r="V300" s="577"/>
      <c r="W300" s="577"/>
      <c r="X300" s="577"/>
      <c r="Y300" s="577"/>
      <c r="Z300" s="577"/>
      <c r="AA300" s="446"/>
      <c r="AB300" s="447"/>
    </row>
    <row r="301" spans="2:28" x14ac:dyDescent="0.2">
      <c r="B301" s="445"/>
      <c r="C301" s="533"/>
      <c r="D301" s="543" t="str">
        <f>$D$53</f>
        <v>Option 1: Perform Manual Neutral Integrity where UE Meters are Removed</v>
      </c>
      <c r="E301" s="559" t="s">
        <v>104</v>
      </c>
      <c r="F301" s="560"/>
      <c r="G301" s="577"/>
      <c r="H301" s="577"/>
      <c r="I301" s="577"/>
      <c r="J301" s="577"/>
      <c r="K301" s="577"/>
      <c r="L301" s="577"/>
      <c r="M301" s="577"/>
      <c r="N301" s="577"/>
      <c r="O301" s="577"/>
      <c r="P301" s="577"/>
      <c r="Q301" s="577"/>
      <c r="R301" s="577"/>
      <c r="S301" s="577"/>
      <c r="T301" s="577"/>
      <c r="U301" s="577"/>
      <c r="V301" s="577"/>
      <c r="W301" s="577"/>
      <c r="X301" s="577"/>
      <c r="Y301" s="577"/>
      <c r="Z301" s="577"/>
      <c r="AA301" s="446"/>
      <c r="AB301" s="447"/>
    </row>
    <row r="302" spans="2:28" x14ac:dyDescent="0.2">
      <c r="B302" s="445"/>
      <c r="C302" s="533"/>
      <c r="D302" s="543" t="str">
        <f>$D$82</f>
        <v>Option 2: Replace / Install Network Devices</v>
      </c>
      <c r="E302" s="559" t="s">
        <v>104</v>
      </c>
      <c r="F302" s="560"/>
      <c r="G302" s="578"/>
      <c r="H302" s="578"/>
      <c r="I302" s="578"/>
      <c r="J302" s="578"/>
      <c r="K302" s="578"/>
      <c r="L302" s="578"/>
      <c r="M302" s="578"/>
      <c r="N302" s="578"/>
      <c r="O302" s="578"/>
      <c r="P302" s="578"/>
      <c r="Q302" s="578"/>
      <c r="R302" s="578"/>
      <c r="S302" s="578"/>
      <c r="T302" s="578"/>
      <c r="U302" s="578"/>
      <c r="V302" s="578"/>
      <c r="W302" s="578"/>
      <c r="X302" s="578"/>
      <c r="Y302" s="578"/>
      <c r="Z302" s="578"/>
      <c r="AA302" s="446"/>
      <c r="AB302" s="447"/>
    </row>
    <row r="303" spans="2:28" x14ac:dyDescent="0.2">
      <c r="B303" s="445"/>
      <c r="C303" s="533"/>
      <c r="D303" s="543" t="str">
        <f>$D$111</f>
        <v>Option 3: Replace / Install 80% Network Devices, Purchase the Remaining 20% of the AMI data and Control Functionality</v>
      </c>
      <c r="E303" s="559" t="s">
        <v>104</v>
      </c>
      <c r="F303" s="560"/>
      <c r="G303" s="578"/>
      <c r="H303" s="578"/>
      <c r="I303" s="578"/>
      <c r="J303" s="578"/>
      <c r="K303" s="578"/>
      <c r="L303" s="578"/>
      <c r="M303" s="578"/>
      <c r="N303" s="578"/>
      <c r="O303" s="578"/>
      <c r="P303" s="578"/>
      <c r="Q303" s="578"/>
      <c r="R303" s="578"/>
      <c r="S303" s="578"/>
      <c r="T303" s="578"/>
      <c r="U303" s="578"/>
      <c r="V303" s="578"/>
      <c r="W303" s="578"/>
      <c r="X303" s="578"/>
      <c r="Y303" s="578"/>
      <c r="Z303" s="578"/>
      <c r="AA303" s="446"/>
      <c r="AB303" s="447"/>
    </row>
    <row r="304" spans="2:28" x14ac:dyDescent="0.2">
      <c r="B304" s="445"/>
      <c r="C304" s="533"/>
      <c r="D304" s="543" t="str">
        <f>$D$140</f>
        <v xml:space="preserve">Option 4: </v>
      </c>
      <c r="E304" s="559" t="s">
        <v>104</v>
      </c>
      <c r="F304" s="560"/>
      <c r="G304" s="578"/>
      <c r="H304" s="578"/>
      <c r="I304" s="578"/>
      <c r="J304" s="578"/>
      <c r="K304" s="578"/>
      <c r="L304" s="578"/>
      <c r="M304" s="578"/>
      <c r="N304" s="578"/>
      <c r="O304" s="578"/>
      <c r="P304" s="578"/>
      <c r="Q304" s="578"/>
      <c r="R304" s="578"/>
      <c r="S304" s="578"/>
      <c r="T304" s="578"/>
      <c r="U304" s="578"/>
      <c r="V304" s="578"/>
      <c r="W304" s="578"/>
      <c r="X304" s="578"/>
      <c r="Y304" s="578"/>
      <c r="Z304" s="578"/>
      <c r="AA304" s="446"/>
      <c r="AB304" s="447"/>
    </row>
    <row r="305" spans="2:28" x14ac:dyDescent="0.2">
      <c r="B305" s="445"/>
      <c r="C305" s="533"/>
      <c r="D305" s="543" t="str">
        <f>$D$169</f>
        <v xml:space="preserve">Option 5: </v>
      </c>
      <c r="E305" s="559" t="s">
        <v>104</v>
      </c>
      <c r="F305" s="560"/>
      <c r="G305" s="577"/>
      <c r="H305" s="577"/>
      <c r="I305" s="577"/>
      <c r="J305" s="577"/>
      <c r="K305" s="577"/>
      <c r="L305" s="577"/>
      <c r="M305" s="577"/>
      <c r="N305" s="577"/>
      <c r="O305" s="577"/>
      <c r="P305" s="577"/>
      <c r="Q305" s="577"/>
      <c r="R305" s="577"/>
      <c r="S305" s="577"/>
      <c r="T305" s="577"/>
      <c r="U305" s="577"/>
      <c r="V305" s="577"/>
      <c r="W305" s="577"/>
      <c r="X305" s="577"/>
      <c r="Y305" s="577"/>
      <c r="Z305" s="577"/>
      <c r="AA305" s="446"/>
      <c r="AB305" s="447"/>
    </row>
    <row r="306" spans="2:28" x14ac:dyDescent="0.2">
      <c r="B306" s="568"/>
      <c r="C306" s="533"/>
      <c r="D306" s="563"/>
      <c r="E306" s="569"/>
      <c r="F306" s="563"/>
      <c r="G306" s="563"/>
      <c r="H306" s="563"/>
      <c r="I306" s="563"/>
      <c r="J306" s="563"/>
      <c r="K306" s="563"/>
      <c r="L306" s="563"/>
      <c r="M306" s="563"/>
      <c r="N306" s="563"/>
      <c r="O306" s="563"/>
      <c r="P306" s="563"/>
      <c r="Q306" s="563"/>
      <c r="R306" s="563"/>
      <c r="S306" s="563"/>
      <c r="T306" s="563"/>
      <c r="U306" s="563"/>
      <c r="V306" s="563"/>
      <c r="W306" s="563"/>
      <c r="X306" s="563"/>
      <c r="Y306" s="563"/>
      <c r="Z306" s="563"/>
      <c r="AA306" s="563"/>
      <c r="AB306" s="564"/>
    </row>
    <row r="307" spans="2:28" x14ac:dyDescent="0.2">
      <c r="B307" s="445"/>
      <c r="C307" s="446"/>
      <c r="D307" s="487"/>
      <c r="E307" s="515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1" t="s">
        <v>116</v>
      </c>
      <c r="E308" s="515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5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3"/>
      <c r="D310" s="558" t="s">
        <v>181</v>
      </c>
      <c r="E310" s="561" t="s">
        <v>227</v>
      </c>
      <c r="F310" s="562">
        <f t="shared" ref="F310:K310" si="52">F12</f>
        <v>2017</v>
      </c>
      <c r="G310" s="562">
        <f t="shared" si="52"/>
        <v>2018</v>
      </c>
      <c r="H310" s="562">
        <f t="shared" si="52"/>
        <v>2019</v>
      </c>
      <c r="I310" s="562">
        <f t="shared" si="52"/>
        <v>2020</v>
      </c>
      <c r="J310" s="562">
        <f t="shared" si="52"/>
        <v>2021</v>
      </c>
      <c r="K310" s="562">
        <f t="shared" si="52"/>
        <v>2022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3"/>
      <c r="D311" s="543" t="str">
        <f>$D$24</f>
        <v>"Status Quo" Reference Case</v>
      </c>
      <c r="E311" s="559" t="s">
        <v>166</v>
      </c>
      <c r="F311" s="560"/>
      <c r="G311" s="577"/>
      <c r="H311" s="577"/>
      <c r="I311" s="577"/>
      <c r="J311" s="577"/>
      <c r="K311" s="577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3"/>
      <c r="D312" s="543" t="str">
        <f>$D$53</f>
        <v>Option 1: Perform Manual Neutral Integrity where UE Meters are Removed</v>
      </c>
      <c r="E312" s="559" t="s">
        <v>166</v>
      </c>
      <c r="F312" s="560"/>
      <c r="G312" s="577"/>
      <c r="H312" s="577"/>
      <c r="I312" s="577"/>
      <c r="J312" s="577"/>
      <c r="K312" s="577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3"/>
      <c r="D313" s="543" t="str">
        <f>$D$82</f>
        <v>Option 2: Replace / Install Network Devices</v>
      </c>
      <c r="E313" s="559" t="s">
        <v>166</v>
      </c>
      <c r="F313" s="560"/>
      <c r="G313" s="578"/>
      <c r="H313" s="578"/>
      <c r="I313" s="578"/>
      <c r="J313" s="578"/>
      <c r="K313" s="578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3"/>
      <c r="D314" s="543" t="str">
        <f>$D$111</f>
        <v>Option 3: Replace / Install 80% Network Devices, Purchase the Remaining 20% of the AMI data and Control Functionality</v>
      </c>
      <c r="E314" s="559" t="s">
        <v>166</v>
      </c>
      <c r="F314" s="560"/>
      <c r="G314" s="578"/>
      <c r="H314" s="578"/>
      <c r="I314" s="578"/>
      <c r="J314" s="578"/>
      <c r="K314" s="578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3"/>
      <c r="D315" s="543" t="str">
        <f>$D$140</f>
        <v xml:space="preserve">Option 4: </v>
      </c>
      <c r="E315" s="559" t="s">
        <v>166</v>
      </c>
      <c r="F315" s="560"/>
      <c r="G315" s="578"/>
      <c r="H315" s="578"/>
      <c r="I315" s="578"/>
      <c r="J315" s="578"/>
      <c r="K315" s="578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3"/>
      <c r="D316" s="543" t="str">
        <f>$D$169</f>
        <v xml:space="preserve">Option 5: </v>
      </c>
      <c r="E316" s="559" t="s">
        <v>166</v>
      </c>
      <c r="F316" s="560"/>
      <c r="G316" s="577"/>
      <c r="H316" s="577"/>
      <c r="I316" s="577"/>
      <c r="J316" s="577"/>
      <c r="K316" s="577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5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2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2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3"/>
      <c r="D321" s="558" t="s">
        <v>187</v>
      </c>
      <c r="E321" s="561" t="s">
        <v>228</v>
      </c>
      <c r="F321" s="562"/>
      <c r="G321" s="562">
        <f t="shared" ref="G321:Z321" si="53">G12</f>
        <v>2018</v>
      </c>
      <c r="H321" s="562">
        <f t="shared" si="53"/>
        <v>2019</v>
      </c>
      <c r="I321" s="562">
        <f t="shared" si="53"/>
        <v>2020</v>
      </c>
      <c r="J321" s="562">
        <f t="shared" si="53"/>
        <v>2021</v>
      </c>
      <c r="K321" s="562">
        <f t="shared" si="53"/>
        <v>2022</v>
      </c>
      <c r="L321" s="562">
        <f t="shared" si="53"/>
        <v>2023</v>
      </c>
      <c r="M321" s="562">
        <f t="shared" si="53"/>
        <v>2024</v>
      </c>
      <c r="N321" s="562">
        <f t="shared" si="53"/>
        <v>2025</v>
      </c>
      <c r="O321" s="562">
        <f t="shared" si="53"/>
        <v>2026</v>
      </c>
      <c r="P321" s="562">
        <f t="shared" si="53"/>
        <v>2027</v>
      </c>
      <c r="Q321" s="562">
        <f t="shared" si="53"/>
        <v>2028</v>
      </c>
      <c r="R321" s="562">
        <f t="shared" si="53"/>
        <v>2029</v>
      </c>
      <c r="S321" s="562">
        <f t="shared" si="53"/>
        <v>2030</v>
      </c>
      <c r="T321" s="562">
        <f t="shared" si="53"/>
        <v>2031</v>
      </c>
      <c r="U321" s="562">
        <f t="shared" si="53"/>
        <v>2032</v>
      </c>
      <c r="V321" s="562">
        <f t="shared" si="53"/>
        <v>2033</v>
      </c>
      <c r="W321" s="562">
        <f t="shared" si="53"/>
        <v>2034</v>
      </c>
      <c r="X321" s="562">
        <f t="shared" si="53"/>
        <v>2035</v>
      </c>
      <c r="Y321" s="562">
        <f t="shared" si="53"/>
        <v>2036</v>
      </c>
      <c r="Z321" s="562">
        <f t="shared" si="53"/>
        <v>2037</v>
      </c>
      <c r="AA321" s="446"/>
      <c r="AB321" s="447"/>
    </row>
    <row r="322" spans="2:28" x14ac:dyDescent="0.2">
      <c r="B322" s="445"/>
      <c r="C322" s="533"/>
      <c r="D322" s="543" t="str">
        <f>$D$24</f>
        <v>"Status Quo" Reference Case</v>
      </c>
      <c r="E322" s="559" t="s">
        <v>188</v>
      </c>
      <c r="F322" s="579"/>
      <c r="G322" s="577"/>
      <c r="H322" s="577"/>
      <c r="I322" s="577"/>
      <c r="J322" s="577"/>
      <c r="K322" s="577"/>
      <c r="L322" s="577"/>
      <c r="M322" s="577"/>
      <c r="N322" s="577"/>
      <c r="O322" s="577"/>
      <c r="P322" s="577"/>
      <c r="Q322" s="577"/>
      <c r="R322" s="577"/>
      <c r="S322" s="577"/>
      <c r="T322" s="577"/>
      <c r="U322" s="577"/>
      <c r="V322" s="577"/>
      <c r="W322" s="577"/>
      <c r="X322" s="577"/>
      <c r="Y322" s="577"/>
      <c r="Z322" s="577"/>
      <c r="AA322" s="446"/>
      <c r="AB322" s="447"/>
    </row>
    <row r="323" spans="2:28" x14ac:dyDescent="0.2">
      <c r="B323" s="445"/>
      <c r="C323" s="533"/>
      <c r="D323" s="543" t="str">
        <f>$D$53</f>
        <v>Option 1: Perform Manual Neutral Integrity where UE Meters are Removed</v>
      </c>
      <c r="E323" s="559" t="s">
        <v>188</v>
      </c>
      <c r="F323" s="579"/>
      <c r="G323" s="577"/>
      <c r="H323" s="577"/>
      <c r="I323" s="577"/>
      <c r="J323" s="577"/>
      <c r="K323" s="577"/>
      <c r="L323" s="577"/>
      <c r="M323" s="577"/>
      <c r="N323" s="577"/>
      <c r="O323" s="577"/>
      <c r="P323" s="577"/>
      <c r="Q323" s="577"/>
      <c r="R323" s="577"/>
      <c r="S323" s="577"/>
      <c r="T323" s="577"/>
      <c r="U323" s="577"/>
      <c r="V323" s="577"/>
      <c r="W323" s="577"/>
      <c r="X323" s="577"/>
      <c r="Y323" s="577"/>
      <c r="Z323" s="577"/>
      <c r="AA323" s="446"/>
      <c r="AB323" s="447"/>
    </row>
    <row r="324" spans="2:28" x14ac:dyDescent="0.2">
      <c r="B324" s="445"/>
      <c r="C324" s="533"/>
      <c r="D324" s="543" t="str">
        <f>$D$82</f>
        <v>Option 2: Replace / Install Network Devices</v>
      </c>
      <c r="E324" s="559" t="s">
        <v>188</v>
      </c>
      <c r="F324" s="579"/>
      <c r="G324" s="578"/>
      <c r="H324" s="578"/>
      <c r="I324" s="578"/>
      <c r="J324" s="578"/>
      <c r="K324" s="578"/>
      <c r="L324" s="578"/>
      <c r="M324" s="578"/>
      <c r="N324" s="578"/>
      <c r="O324" s="578"/>
      <c r="P324" s="578"/>
      <c r="Q324" s="578"/>
      <c r="R324" s="578"/>
      <c r="S324" s="578"/>
      <c r="T324" s="578"/>
      <c r="U324" s="578"/>
      <c r="V324" s="578"/>
      <c r="W324" s="578"/>
      <c r="X324" s="578"/>
      <c r="Y324" s="578"/>
      <c r="Z324" s="578"/>
      <c r="AA324" s="446"/>
      <c r="AB324" s="447"/>
    </row>
    <row r="325" spans="2:28" x14ac:dyDescent="0.2">
      <c r="B325" s="445"/>
      <c r="C325" s="533"/>
      <c r="D325" s="543" t="str">
        <f>$D$111</f>
        <v>Option 3: Replace / Install 80% Network Devices, Purchase the Remaining 20% of the AMI data and Control Functionality</v>
      </c>
      <c r="E325" s="559" t="s">
        <v>188</v>
      </c>
      <c r="F325" s="579"/>
      <c r="G325" s="578"/>
      <c r="H325" s="578"/>
      <c r="I325" s="578"/>
      <c r="J325" s="578"/>
      <c r="K325" s="578"/>
      <c r="L325" s="578"/>
      <c r="M325" s="578"/>
      <c r="N325" s="578"/>
      <c r="O325" s="578"/>
      <c r="P325" s="578"/>
      <c r="Q325" s="578"/>
      <c r="R325" s="578"/>
      <c r="S325" s="578"/>
      <c r="T325" s="578"/>
      <c r="U325" s="578"/>
      <c r="V325" s="578"/>
      <c r="W325" s="578"/>
      <c r="X325" s="578"/>
      <c r="Y325" s="578"/>
      <c r="Z325" s="578"/>
      <c r="AA325" s="446"/>
      <c r="AB325" s="447"/>
    </row>
    <row r="326" spans="2:28" x14ac:dyDescent="0.2">
      <c r="B326" s="445"/>
      <c r="C326" s="533"/>
      <c r="D326" s="543" t="str">
        <f>$D$140</f>
        <v xml:space="preserve">Option 4: </v>
      </c>
      <c r="E326" s="559" t="s">
        <v>188</v>
      </c>
      <c r="F326" s="579"/>
      <c r="G326" s="578"/>
      <c r="H326" s="578"/>
      <c r="I326" s="578"/>
      <c r="J326" s="578"/>
      <c r="K326" s="578"/>
      <c r="L326" s="578"/>
      <c r="M326" s="578"/>
      <c r="N326" s="578"/>
      <c r="O326" s="578"/>
      <c r="P326" s="578"/>
      <c r="Q326" s="578"/>
      <c r="R326" s="578"/>
      <c r="S326" s="578"/>
      <c r="T326" s="578"/>
      <c r="U326" s="578"/>
      <c r="V326" s="578"/>
      <c r="W326" s="578"/>
      <c r="X326" s="578"/>
      <c r="Y326" s="578"/>
      <c r="Z326" s="578"/>
      <c r="AA326" s="446"/>
      <c r="AB326" s="447"/>
    </row>
    <row r="327" spans="2:28" x14ac:dyDescent="0.2">
      <c r="B327" s="445"/>
      <c r="C327" s="533"/>
      <c r="D327" s="543" t="str">
        <f>$D$169</f>
        <v xml:space="preserve">Option 5: </v>
      </c>
      <c r="E327" s="559" t="s">
        <v>188</v>
      </c>
      <c r="F327" s="579"/>
      <c r="G327" s="577"/>
      <c r="H327" s="577"/>
      <c r="I327" s="577"/>
      <c r="J327" s="577"/>
      <c r="K327" s="577"/>
      <c r="L327" s="577"/>
      <c r="M327" s="577"/>
      <c r="N327" s="577"/>
      <c r="O327" s="577"/>
      <c r="P327" s="577"/>
      <c r="Q327" s="577"/>
      <c r="R327" s="577"/>
      <c r="S327" s="577"/>
      <c r="T327" s="577"/>
      <c r="U327" s="577"/>
      <c r="V327" s="577"/>
      <c r="W327" s="577"/>
      <c r="X327" s="577"/>
      <c r="Y327" s="577"/>
      <c r="Z327" s="577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3"/>
      <c r="D329" s="558" t="s">
        <v>189</v>
      </c>
      <c r="E329" s="561" t="s">
        <v>229</v>
      </c>
      <c r="F329" s="562"/>
      <c r="G329" s="562"/>
      <c r="H329" s="562"/>
      <c r="I329" s="562"/>
      <c r="J329" s="562"/>
      <c r="K329" s="562"/>
      <c r="L329" s="562"/>
      <c r="M329" s="562"/>
      <c r="N329" s="562"/>
      <c r="O329" s="562"/>
      <c r="P329" s="562"/>
      <c r="Q329" s="562"/>
      <c r="R329" s="562"/>
      <c r="S329" s="562"/>
      <c r="T329" s="562"/>
      <c r="U329" s="562"/>
      <c r="V329" s="562"/>
      <c r="W329" s="562"/>
      <c r="X329" s="562"/>
      <c r="Y329" s="562"/>
      <c r="Z329" s="562"/>
      <c r="AA329" s="446"/>
      <c r="AB329" s="447"/>
    </row>
    <row r="330" spans="2:28" x14ac:dyDescent="0.2">
      <c r="B330" s="445"/>
      <c r="C330" s="533"/>
      <c r="D330" s="543" t="str">
        <f>$D$24</f>
        <v>"Status Quo" Reference Case</v>
      </c>
      <c r="E330" s="559" t="s">
        <v>104</v>
      </c>
      <c r="F330" s="579"/>
      <c r="G330" s="577"/>
      <c r="H330" s="577"/>
      <c r="I330" s="577"/>
      <c r="J330" s="577"/>
      <c r="K330" s="577"/>
      <c r="L330" s="577"/>
      <c r="M330" s="577"/>
      <c r="N330" s="577"/>
      <c r="O330" s="577"/>
      <c r="P330" s="577"/>
      <c r="Q330" s="577"/>
      <c r="R330" s="577"/>
      <c r="S330" s="577"/>
      <c r="T330" s="577"/>
      <c r="U330" s="577"/>
      <c r="V330" s="577"/>
      <c r="W330" s="577"/>
      <c r="X330" s="577"/>
      <c r="Y330" s="577"/>
      <c r="Z330" s="577"/>
      <c r="AA330" s="446"/>
      <c r="AB330" s="447"/>
    </row>
    <row r="331" spans="2:28" x14ac:dyDescent="0.2">
      <c r="B331" s="445"/>
      <c r="C331" s="533"/>
      <c r="D331" s="543" t="str">
        <f>$D$53</f>
        <v>Option 1: Perform Manual Neutral Integrity where UE Meters are Removed</v>
      </c>
      <c r="E331" s="559" t="s">
        <v>104</v>
      </c>
      <c r="F331" s="579"/>
      <c r="G331" s="577"/>
      <c r="H331" s="577"/>
      <c r="I331" s="577"/>
      <c r="J331" s="577"/>
      <c r="K331" s="577"/>
      <c r="L331" s="577"/>
      <c r="M331" s="577"/>
      <c r="N331" s="577"/>
      <c r="O331" s="577"/>
      <c r="P331" s="577"/>
      <c r="Q331" s="577"/>
      <c r="R331" s="577"/>
      <c r="S331" s="577"/>
      <c r="T331" s="577"/>
      <c r="U331" s="577"/>
      <c r="V331" s="577"/>
      <c r="W331" s="577"/>
      <c r="X331" s="577"/>
      <c r="Y331" s="577"/>
      <c r="Z331" s="577"/>
      <c r="AA331" s="446"/>
      <c r="AB331" s="447"/>
    </row>
    <row r="332" spans="2:28" x14ac:dyDescent="0.2">
      <c r="B332" s="445"/>
      <c r="C332" s="533"/>
      <c r="D332" s="543" t="str">
        <f>$D$82</f>
        <v>Option 2: Replace / Install Network Devices</v>
      </c>
      <c r="E332" s="559" t="s">
        <v>104</v>
      </c>
      <c r="F332" s="579"/>
      <c r="G332" s="578"/>
      <c r="H332" s="578"/>
      <c r="I332" s="578"/>
      <c r="J332" s="578"/>
      <c r="K332" s="578"/>
      <c r="L332" s="578"/>
      <c r="M332" s="578"/>
      <c r="N332" s="578"/>
      <c r="O332" s="578"/>
      <c r="P332" s="578"/>
      <c r="Q332" s="578"/>
      <c r="R332" s="578"/>
      <c r="S332" s="578"/>
      <c r="T332" s="578"/>
      <c r="U332" s="578"/>
      <c r="V332" s="578"/>
      <c r="W332" s="578"/>
      <c r="X332" s="578"/>
      <c r="Y332" s="578"/>
      <c r="Z332" s="578"/>
      <c r="AA332" s="446"/>
      <c r="AB332" s="447"/>
    </row>
    <row r="333" spans="2:28" x14ac:dyDescent="0.2">
      <c r="B333" s="445"/>
      <c r="C333" s="533"/>
      <c r="D333" s="543" t="str">
        <f>$D$111</f>
        <v>Option 3: Replace / Install 80% Network Devices, Purchase the Remaining 20% of the AMI data and Control Functionality</v>
      </c>
      <c r="E333" s="559" t="s">
        <v>104</v>
      </c>
      <c r="F333" s="579"/>
      <c r="G333" s="578"/>
      <c r="H333" s="578"/>
      <c r="I333" s="578"/>
      <c r="J333" s="578"/>
      <c r="K333" s="578"/>
      <c r="L333" s="578"/>
      <c r="M333" s="578"/>
      <c r="N333" s="578"/>
      <c r="O333" s="578"/>
      <c r="P333" s="578"/>
      <c r="Q333" s="578"/>
      <c r="R333" s="578"/>
      <c r="S333" s="578"/>
      <c r="T333" s="578"/>
      <c r="U333" s="578"/>
      <c r="V333" s="578"/>
      <c r="W333" s="578"/>
      <c r="X333" s="578"/>
      <c r="Y333" s="578"/>
      <c r="Z333" s="578"/>
      <c r="AA333" s="446"/>
      <c r="AB333" s="447"/>
    </row>
    <row r="334" spans="2:28" x14ac:dyDescent="0.2">
      <c r="B334" s="445"/>
      <c r="C334" s="533"/>
      <c r="D334" s="543" t="str">
        <f>$D$140</f>
        <v xml:space="preserve">Option 4: </v>
      </c>
      <c r="E334" s="559" t="s">
        <v>104</v>
      </c>
      <c r="F334" s="579"/>
      <c r="G334" s="578"/>
      <c r="H334" s="578"/>
      <c r="I334" s="578"/>
      <c r="J334" s="578"/>
      <c r="K334" s="578"/>
      <c r="L334" s="578"/>
      <c r="M334" s="578"/>
      <c r="N334" s="578"/>
      <c r="O334" s="578"/>
      <c r="P334" s="578"/>
      <c r="Q334" s="578"/>
      <c r="R334" s="578"/>
      <c r="S334" s="578"/>
      <c r="T334" s="578"/>
      <c r="U334" s="578"/>
      <c r="V334" s="578"/>
      <c r="W334" s="578"/>
      <c r="X334" s="578"/>
      <c r="Y334" s="578"/>
      <c r="Z334" s="578"/>
      <c r="AA334" s="446"/>
      <c r="AB334" s="447"/>
    </row>
    <row r="335" spans="2:28" x14ac:dyDescent="0.2">
      <c r="B335" s="445"/>
      <c r="C335" s="533"/>
      <c r="D335" s="543" t="str">
        <f>$D$169</f>
        <v xml:space="preserve">Option 5: </v>
      </c>
      <c r="E335" s="559" t="s">
        <v>104</v>
      </c>
      <c r="F335" s="579"/>
      <c r="G335" s="577"/>
      <c r="H335" s="577"/>
      <c r="I335" s="577"/>
      <c r="J335" s="577"/>
      <c r="K335" s="577"/>
      <c r="L335" s="577"/>
      <c r="M335" s="577"/>
      <c r="N335" s="577"/>
      <c r="O335" s="577"/>
      <c r="P335" s="577"/>
      <c r="Q335" s="577"/>
      <c r="R335" s="577"/>
      <c r="S335" s="577"/>
      <c r="T335" s="577"/>
      <c r="U335" s="577"/>
      <c r="V335" s="577"/>
      <c r="W335" s="577"/>
      <c r="X335" s="577"/>
      <c r="Y335" s="577"/>
      <c r="Z335" s="577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3"/>
      <c r="D337" s="558" t="s">
        <v>190</v>
      </c>
      <c r="E337" s="561" t="s">
        <v>230</v>
      </c>
      <c r="F337" s="562"/>
      <c r="G337" s="562"/>
      <c r="H337" s="562"/>
      <c r="I337" s="562"/>
      <c r="J337" s="562"/>
      <c r="K337" s="562"/>
      <c r="L337" s="562"/>
      <c r="M337" s="562"/>
      <c r="N337" s="562"/>
      <c r="O337" s="562"/>
      <c r="P337" s="562"/>
      <c r="Q337" s="562"/>
      <c r="R337" s="562"/>
      <c r="S337" s="562"/>
      <c r="T337" s="562"/>
      <c r="U337" s="562"/>
      <c r="V337" s="562"/>
      <c r="W337" s="562"/>
      <c r="X337" s="562"/>
      <c r="Y337" s="562"/>
      <c r="Z337" s="562"/>
      <c r="AA337" s="446"/>
      <c r="AB337" s="447"/>
    </row>
    <row r="338" spans="2:257" x14ac:dyDescent="0.2">
      <c r="B338" s="445"/>
      <c r="C338" s="533"/>
      <c r="D338" s="543" t="str">
        <f>$D$24</f>
        <v>"Status Quo" Reference Case</v>
      </c>
      <c r="E338" s="559" t="s">
        <v>226</v>
      </c>
      <c r="F338" s="579"/>
      <c r="G338" s="580"/>
      <c r="H338" s="580"/>
      <c r="I338" s="580"/>
      <c r="J338" s="580"/>
      <c r="K338" s="580"/>
      <c r="L338" s="580"/>
      <c r="M338" s="580"/>
      <c r="N338" s="580"/>
      <c r="O338" s="580"/>
      <c r="P338" s="580"/>
      <c r="Q338" s="580"/>
      <c r="R338" s="580"/>
      <c r="S338" s="580"/>
      <c r="T338" s="580"/>
      <c r="U338" s="580"/>
      <c r="V338" s="580"/>
      <c r="W338" s="580"/>
      <c r="X338" s="580"/>
      <c r="Y338" s="580"/>
      <c r="Z338" s="580"/>
      <c r="AA338" s="446"/>
      <c r="AB338" s="447"/>
      <c r="AC338" s="514"/>
      <c r="AD338" s="514"/>
      <c r="AE338" s="514"/>
      <c r="AF338" s="514"/>
      <c r="AG338" s="514"/>
      <c r="AH338" s="514"/>
      <c r="AI338" s="514"/>
      <c r="AJ338" s="514"/>
      <c r="AK338" s="514"/>
      <c r="AL338" s="514"/>
      <c r="AM338" s="514"/>
      <c r="AN338" s="514"/>
      <c r="AO338" s="514"/>
      <c r="AP338" s="514"/>
      <c r="AQ338" s="514"/>
      <c r="AR338" s="514"/>
      <c r="AS338" s="514"/>
      <c r="AT338" s="514"/>
      <c r="AU338" s="514"/>
      <c r="AV338" s="514"/>
      <c r="AW338" s="514"/>
      <c r="AX338" s="514"/>
      <c r="AY338" s="514"/>
      <c r="AZ338" s="514"/>
      <c r="BA338" s="514"/>
      <c r="BB338" s="514"/>
      <c r="BC338" s="514"/>
      <c r="BD338" s="514"/>
      <c r="BE338" s="514"/>
      <c r="BF338" s="514"/>
      <c r="BG338" s="514"/>
      <c r="BH338" s="514"/>
      <c r="BI338" s="514"/>
      <c r="BJ338" s="514"/>
      <c r="BK338" s="514"/>
      <c r="BL338" s="514"/>
      <c r="BM338" s="514"/>
      <c r="BN338" s="514"/>
      <c r="BO338" s="514"/>
      <c r="BP338" s="514"/>
      <c r="BQ338" s="514"/>
      <c r="BR338" s="514"/>
      <c r="BS338" s="514"/>
      <c r="BT338" s="514"/>
      <c r="BU338" s="514"/>
      <c r="BV338" s="514"/>
      <c r="BW338" s="514"/>
      <c r="BX338" s="514"/>
      <c r="BY338" s="514"/>
      <c r="BZ338" s="514"/>
      <c r="CA338" s="514"/>
      <c r="CB338" s="514"/>
      <c r="CC338" s="514"/>
      <c r="CD338" s="514"/>
      <c r="CE338" s="514"/>
      <c r="CF338" s="514"/>
      <c r="CG338" s="514"/>
      <c r="CH338" s="514"/>
      <c r="CI338" s="514"/>
      <c r="CJ338" s="514"/>
      <c r="CK338" s="514"/>
      <c r="CL338" s="514"/>
      <c r="CM338" s="514"/>
      <c r="CN338" s="514"/>
      <c r="CO338" s="514"/>
      <c r="CP338" s="514"/>
      <c r="CQ338" s="514"/>
      <c r="CR338" s="514"/>
      <c r="CS338" s="514"/>
      <c r="CT338" s="514"/>
      <c r="CU338" s="514"/>
      <c r="CV338" s="514"/>
      <c r="CW338" s="514"/>
      <c r="CX338" s="514"/>
      <c r="CY338" s="514"/>
      <c r="CZ338" s="514"/>
      <c r="DA338" s="514"/>
      <c r="DB338" s="514"/>
      <c r="DC338" s="514"/>
      <c r="DD338" s="514"/>
      <c r="DE338" s="514"/>
      <c r="DF338" s="514"/>
      <c r="DG338" s="514"/>
      <c r="DH338" s="514"/>
      <c r="DI338" s="514"/>
      <c r="DJ338" s="514"/>
      <c r="DK338" s="514"/>
      <c r="DL338" s="514"/>
      <c r="DM338" s="514"/>
      <c r="DN338" s="514"/>
      <c r="DO338" s="514"/>
      <c r="DP338" s="514"/>
      <c r="DQ338" s="514"/>
      <c r="DR338" s="514"/>
      <c r="DS338" s="514"/>
      <c r="DT338" s="514"/>
      <c r="DU338" s="514"/>
      <c r="DV338" s="514"/>
      <c r="DW338" s="514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3"/>
      <c r="D339" s="543" t="str">
        <f>$D$53</f>
        <v>Option 1: Perform Manual Neutral Integrity where UE Meters are Removed</v>
      </c>
      <c r="E339" s="559" t="str">
        <f>E338</f>
        <v>To be determined by the AER</v>
      </c>
      <c r="F339" s="579"/>
      <c r="G339" s="580"/>
      <c r="H339" s="580"/>
      <c r="I339" s="580"/>
      <c r="J339" s="580"/>
      <c r="K339" s="580"/>
      <c r="L339" s="580"/>
      <c r="M339" s="580"/>
      <c r="N339" s="580"/>
      <c r="O339" s="580"/>
      <c r="P339" s="580"/>
      <c r="Q339" s="580"/>
      <c r="R339" s="580"/>
      <c r="S339" s="580"/>
      <c r="T339" s="580"/>
      <c r="U339" s="580"/>
      <c r="V339" s="580"/>
      <c r="W339" s="580"/>
      <c r="X339" s="580"/>
      <c r="Y339" s="580"/>
      <c r="Z339" s="580"/>
      <c r="AA339" s="446"/>
      <c r="AB339" s="447"/>
      <c r="AC339" s="514"/>
      <c r="AD339" s="514"/>
      <c r="AE339" s="514"/>
      <c r="AF339" s="514"/>
      <c r="AG339" s="514"/>
      <c r="AH339" s="514"/>
      <c r="AI339" s="514"/>
      <c r="AJ339" s="514"/>
      <c r="AK339" s="514"/>
      <c r="AL339" s="514"/>
      <c r="AM339" s="514"/>
      <c r="AN339" s="514"/>
      <c r="AO339" s="514"/>
      <c r="AP339" s="514"/>
      <c r="AQ339" s="514"/>
      <c r="AR339" s="514"/>
      <c r="AS339" s="514"/>
      <c r="AT339" s="514"/>
      <c r="AU339" s="514"/>
      <c r="AV339" s="514"/>
      <c r="AW339" s="514"/>
      <c r="AX339" s="514"/>
      <c r="AY339" s="514"/>
      <c r="AZ339" s="514"/>
      <c r="BA339" s="514"/>
      <c r="BB339" s="514"/>
      <c r="BC339" s="514"/>
      <c r="BD339" s="514"/>
      <c r="BE339" s="514"/>
      <c r="BF339" s="514"/>
      <c r="BG339" s="514"/>
      <c r="BH339" s="514"/>
      <c r="BI339" s="514"/>
      <c r="BJ339" s="514"/>
      <c r="BK339" s="514"/>
      <c r="BL339" s="514"/>
      <c r="BM339" s="514"/>
      <c r="BN339" s="514"/>
      <c r="BO339" s="514"/>
      <c r="BP339" s="514"/>
      <c r="BQ339" s="514"/>
      <c r="BR339" s="514"/>
      <c r="BS339" s="514"/>
      <c r="BT339" s="514"/>
      <c r="BU339" s="514"/>
      <c r="BV339" s="514"/>
      <c r="BW339" s="514"/>
      <c r="BX339" s="514"/>
      <c r="BY339" s="514"/>
      <c r="BZ339" s="514"/>
      <c r="CA339" s="514"/>
      <c r="CB339" s="514"/>
      <c r="CC339" s="514"/>
      <c r="CD339" s="514"/>
      <c r="CE339" s="514"/>
      <c r="CF339" s="514"/>
      <c r="CG339" s="514"/>
      <c r="CH339" s="514"/>
      <c r="CI339" s="514"/>
      <c r="CJ339" s="514"/>
      <c r="CK339" s="514"/>
      <c r="CL339" s="514"/>
      <c r="CM339" s="514"/>
      <c r="CN339" s="514"/>
      <c r="CO339" s="514"/>
      <c r="CP339" s="514"/>
      <c r="CQ339" s="514"/>
      <c r="CR339" s="514"/>
      <c r="CS339" s="514"/>
      <c r="CT339" s="514"/>
      <c r="CU339" s="514"/>
      <c r="CV339" s="514"/>
      <c r="CW339" s="514"/>
      <c r="CX339" s="514"/>
      <c r="CY339" s="514"/>
      <c r="CZ339" s="514"/>
      <c r="DA339" s="514"/>
      <c r="DB339" s="514"/>
      <c r="DC339" s="514"/>
      <c r="DD339" s="514"/>
      <c r="DE339" s="514"/>
      <c r="DF339" s="514"/>
      <c r="DG339" s="514"/>
      <c r="DH339" s="514"/>
      <c r="DI339" s="514"/>
      <c r="DJ339" s="514"/>
      <c r="DK339" s="514"/>
      <c r="DL339" s="514"/>
      <c r="DM339" s="514"/>
      <c r="DN339" s="514"/>
      <c r="DO339" s="514"/>
      <c r="DP339" s="514"/>
      <c r="DQ339" s="514"/>
      <c r="DR339" s="514"/>
      <c r="DS339" s="514"/>
      <c r="DT339" s="514"/>
      <c r="DU339" s="514"/>
      <c r="DV339" s="514"/>
      <c r="DW339" s="514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3"/>
      <c r="D340" s="543" t="str">
        <f>$D$82</f>
        <v>Option 2: Replace / Install Network Devices</v>
      </c>
      <c r="E340" s="559" t="str">
        <f>E339</f>
        <v>To be determined by the AER</v>
      </c>
      <c r="F340" s="579"/>
      <c r="G340" s="581"/>
      <c r="H340" s="581"/>
      <c r="I340" s="581"/>
      <c r="J340" s="581"/>
      <c r="K340" s="581"/>
      <c r="L340" s="581"/>
      <c r="M340" s="581"/>
      <c r="N340" s="581"/>
      <c r="O340" s="581"/>
      <c r="P340" s="581"/>
      <c r="Q340" s="581"/>
      <c r="R340" s="581"/>
      <c r="S340" s="581"/>
      <c r="T340" s="581"/>
      <c r="U340" s="581"/>
      <c r="V340" s="581"/>
      <c r="W340" s="581"/>
      <c r="X340" s="581"/>
      <c r="Y340" s="581"/>
      <c r="Z340" s="581"/>
      <c r="AA340" s="446"/>
      <c r="AB340" s="447"/>
      <c r="AC340" s="514"/>
      <c r="AD340" s="514"/>
      <c r="AE340" s="514"/>
      <c r="AF340" s="514"/>
      <c r="AG340" s="514"/>
      <c r="AH340" s="514"/>
      <c r="AI340" s="514"/>
      <c r="AJ340" s="514"/>
      <c r="AK340" s="514"/>
      <c r="AL340" s="514"/>
      <c r="AM340" s="514"/>
      <c r="AN340" s="514"/>
      <c r="AO340" s="514"/>
      <c r="AP340" s="514"/>
      <c r="AQ340" s="514"/>
      <c r="AR340" s="514"/>
      <c r="AS340" s="514"/>
      <c r="AT340" s="514"/>
      <c r="AU340" s="514"/>
      <c r="AV340" s="514"/>
      <c r="AW340" s="514"/>
      <c r="AX340" s="514"/>
      <c r="AY340" s="514"/>
      <c r="AZ340" s="514"/>
      <c r="BA340" s="514"/>
      <c r="BB340" s="514"/>
      <c r="BC340" s="514"/>
      <c r="BD340" s="514"/>
      <c r="BE340" s="514"/>
      <c r="BF340" s="514"/>
      <c r="BG340" s="514"/>
      <c r="BH340" s="514"/>
      <c r="BI340" s="514"/>
      <c r="BJ340" s="514"/>
      <c r="BK340" s="514"/>
      <c r="BL340" s="514"/>
      <c r="BM340" s="514"/>
      <c r="BN340" s="514"/>
      <c r="BO340" s="514"/>
      <c r="BP340" s="514"/>
      <c r="BQ340" s="514"/>
      <c r="BR340" s="514"/>
      <c r="BS340" s="514"/>
      <c r="BT340" s="514"/>
      <c r="BU340" s="514"/>
      <c r="BV340" s="514"/>
      <c r="BW340" s="514"/>
      <c r="BX340" s="514"/>
      <c r="BY340" s="514"/>
      <c r="BZ340" s="514"/>
      <c r="CA340" s="514"/>
      <c r="CB340" s="514"/>
      <c r="CC340" s="514"/>
      <c r="CD340" s="514"/>
      <c r="CE340" s="514"/>
      <c r="CF340" s="514"/>
      <c r="CG340" s="514"/>
      <c r="CH340" s="514"/>
      <c r="CI340" s="514"/>
      <c r="CJ340" s="514"/>
      <c r="CK340" s="514"/>
      <c r="CL340" s="514"/>
      <c r="CM340" s="514"/>
      <c r="CN340" s="514"/>
      <c r="CO340" s="514"/>
      <c r="CP340" s="514"/>
      <c r="CQ340" s="514"/>
      <c r="CR340" s="514"/>
      <c r="CS340" s="514"/>
      <c r="CT340" s="514"/>
      <c r="CU340" s="514"/>
      <c r="CV340" s="514"/>
      <c r="CW340" s="514"/>
      <c r="CX340" s="514"/>
      <c r="CY340" s="514"/>
      <c r="CZ340" s="514"/>
      <c r="DA340" s="514"/>
      <c r="DB340" s="514"/>
      <c r="DC340" s="514"/>
      <c r="DD340" s="514"/>
      <c r="DE340" s="514"/>
      <c r="DF340" s="514"/>
      <c r="DG340" s="514"/>
      <c r="DH340" s="514"/>
      <c r="DI340" s="514"/>
      <c r="DJ340" s="514"/>
      <c r="DK340" s="514"/>
      <c r="DL340" s="514"/>
      <c r="DM340" s="514"/>
      <c r="DN340" s="514"/>
      <c r="DO340" s="514"/>
      <c r="DP340" s="514"/>
      <c r="DQ340" s="514"/>
      <c r="DR340" s="514"/>
      <c r="DS340" s="514"/>
      <c r="DT340" s="514"/>
      <c r="DU340" s="514"/>
      <c r="DV340" s="514"/>
      <c r="DW340" s="514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3"/>
      <c r="D341" s="543" t="str">
        <f>$D$111</f>
        <v>Option 3: Replace / Install 80% Network Devices, Purchase the Remaining 20% of the AMI data and Control Functionality</v>
      </c>
      <c r="E341" s="559" t="str">
        <f>E340</f>
        <v>To be determined by the AER</v>
      </c>
      <c r="F341" s="579"/>
      <c r="G341" s="581"/>
      <c r="H341" s="581"/>
      <c r="I341" s="581"/>
      <c r="J341" s="581"/>
      <c r="K341" s="581"/>
      <c r="L341" s="581"/>
      <c r="M341" s="581"/>
      <c r="N341" s="581"/>
      <c r="O341" s="581"/>
      <c r="P341" s="581"/>
      <c r="Q341" s="581"/>
      <c r="R341" s="581"/>
      <c r="S341" s="581"/>
      <c r="T341" s="581"/>
      <c r="U341" s="581"/>
      <c r="V341" s="581"/>
      <c r="W341" s="581"/>
      <c r="X341" s="581"/>
      <c r="Y341" s="581"/>
      <c r="Z341" s="581"/>
      <c r="AA341" s="446"/>
      <c r="AB341" s="447"/>
      <c r="AC341" s="514"/>
      <c r="AD341" s="514"/>
      <c r="AE341" s="514"/>
      <c r="AF341" s="514"/>
      <c r="AG341" s="514"/>
      <c r="AH341" s="514"/>
      <c r="AI341" s="514"/>
      <c r="AJ341" s="514"/>
      <c r="AK341" s="514"/>
      <c r="AL341" s="514"/>
      <c r="AM341" s="514"/>
      <c r="AN341" s="514"/>
      <c r="AO341" s="514"/>
      <c r="AP341" s="514"/>
      <c r="AQ341" s="514"/>
      <c r="AR341" s="514"/>
      <c r="AS341" s="514"/>
      <c r="AT341" s="514"/>
      <c r="AU341" s="514"/>
      <c r="AV341" s="514"/>
      <c r="AW341" s="514"/>
      <c r="AX341" s="514"/>
      <c r="AY341" s="514"/>
      <c r="AZ341" s="514"/>
      <c r="BA341" s="514"/>
      <c r="BB341" s="514"/>
      <c r="BC341" s="514"/>
      <c r="BD341" s="514"/>
      <c r="BE341" s="514"/>
      <c r="BF341" s="514"/>
      <c r="BG341" s="514"/>
      <c r="BH341" s="514"/>
      <c r="BI341" s="514"/>
      <c r="BJ341" s="514"/>
      <c r="BK341" s="514"/>
      <c r="BL341" s="514"/>
      <c r="BM341" s="514"/>
      <c r="BN341" s="514"/>
      <c r="BO341" s="514"/>
      <c r="BP341" s="514"/>
      <c r="BQ341" s="514"/>
      <c r="BR341" s="514"/>
      <c r="BS341" s="514"/>
      <c r="BT341" s="514"/>
      <c r="BU341" s="514"/>
      <c r="BV341" s="514"/>
      <c r="BW341" s="514"/>
      <c r="BX341" s="514"/>
      <c r="BY341" s="514"/>
      <c r="BZ341" s="514"/>
      <c r="CA341" s="514"/>
      <c r="CB341" s="514"/>
      <c r="CC341" s="514"/>
      <c r="CD341" s="514"/>
      <c r="CE341" s="514"/>
      <c r="CF341" s="514"/>
      <c r="CG341" s="514"/>
      <c r="CH341" s="514"/>
      <c r="CI341" s="514"/>
      <c r="CJ341" s="514"/>
      <c r="CK341" s="514"/>
      <c r="CL341" s="514"/>
      <c r="CM341" s="514"/>
      <c r="CN341" s="514"/>
      <c r="CO341" s="514"/>
      <c r="CP341" s="514"/>
      <c r="CQ341" s="514"/>
      <c r="CR341" s="514"/>
      <c r="CS341" s="514"/>
      <c r="CT341" s="514"/>
      <c r="CU341" s="514"/>
      <c r="CV341" s="514"/>
      <c r="CW341" s="514"/>
      <c r="CX341" s="514"/>
      <c r="CY341" s="514"/>
      <c r="CZ341" s="514"/>
      <c r="DA341" s="514"/>
      <c r="DB341" s="514"/>
      <c r="DC341" s="514"/>
      <c r="DD341" s="514"/>
      <c r="DE341" s="514"/>
      <c r="DF341" s="514"/>
      <c r="DG341" s="514"/>
      <c r="DH341" s="514"/>
      <c r="DI341" s="514"/>
      <c r="DJ341" s="514"/>
      <c r="DK341" s="514"/>
      <c r="DL341" s="514"/>
      <c r="DM341" s="514"/>
      <c r="DN341" s="514"/>
      <c r="DO341" s="514"/>
      <c r="DP341" s="514"/>
      <c r="DQ341" s="514"/>
      <c r="DR341" s="514"/>
      <c r="DS341" s="514"/>
      <c r="DT341" s="514"/>
      <c r="DU341" s="514"/>
      <c r="DV341" s="514"/>
      <c r="DW341" s="514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3"/>
      <c r="D342" s="543" t="str">
        <f>$D$140</f>
        <v xml:space="preserve">Option 4: </v>
      </c>
      <c r="E342" s="559" t="str">
        <f>E341</f>
        <v>To be determined by the AER</v>
      </c>
      <c r="F342" s="579"/>
      <c r="G342" s="581"/>
      <c r="H342" s="581"/>
      <c r="I342" s="581"/>
      <c r="J342" s="581"/>
      <c r="K342" s="581"/>
      <c r="L342" s="581"/>
      <c r="M342" s="581"/>
      <c r="N342" s="581"/>
      <c r="O342" s="581"/>
      <c r="P342" s="581"/>
      <c r="Q342" s="581"/>
      <c r="R342" s="581"/>
      <c r="S342" s="581"/>
      <c r="T342" s="581"/>
      <c r="U342" s="581"/>
      <c r="V342" s="581"/>
      <c r="W342" s="581"/>
      <c r="X342" s="581"/>
      <c r="Y342" s="581"/>
      <c r="Z342" s="581"/>
      <c r="AA342" s="446"/>
      <c r="AB342" s="447"/>
      <c r="AC342" s="514"/>
      <c r="AD342" s="514"/>
      <c r="AE342" s="514"/>
      <c r="AF342" s="514"/>
      <c r="AG342" s="514"/>
      <c r="AH342" s="514"/>
      <c r="AI342" s="514"/>
      <c r="AJ342" s="514"/>
      <c r="AK342" s="514"/>
      <c r="AL342" s="514"/>
      <c r="AM342" s="514"/>
      <c r="AN342" s="514"/>
      <c r="AO342" s="514"/>
      <c r="AP342" s="514"/>
      <c r="AQ342" s="514"/>
      <c r="AR342" s="514"/>
      <c r="AS342" s="514"/>
      <c r="AT342" s="514"/>
      <c r="AU342" s="514"/>
      <c r="AV342" s="514"/>
      <c r="AW342" s="514"/>
      <c r="AX342" s="514"/>
      <c r="AY342" s="514"/>
      <c r="AZ342" s="514"/>
      <c r="BA342" s="514"/>
      <c r="BB342" s="514"/>
      <c r="BC342" s="514"/>
      <c r="BD342" s="514"/>
      <c r="BE342" s="514"/>
      <c r="BF342" s="514"/>
      <c r="BG342" s="514"/>
      <c r="BH342" s="514"/>
      <c r="BI342" s="514"/>
      <c r="BJ342" s="514"/>
      <c r="BK342" s="514"/>
      <c r="BL342" s="514"/>
      <c r="BM342" s="514"/>
      <c r="BN342" s="514"/>
      <c r="BO342" s="514"/>
      <c r="BP342" s="514"/>
      <c r="BQ342" s="514"/>
      <c r="BR342" s="514"/>
      <c r="BS342" s="514"/>
      <c r="BT342" s="514"/>
      <c r="BU342" s="514"/>
      <c r="BV342" s="514"/>
      <c r="BW342" s="514"/>
      <c r="BX342" s="514"/>
      <c r="BY342" s="514"/>
      <c r="BZ342" s="514"/>
      <c r="CA342" s="514"/>
      <c r="CB342" s="514"/>
      <c r="CC342" s="514"/>
      <c r="CD342" s="514"/>
      <c r="CE342" s="514"/>
      <c r="CF342" s="514"/>
      <c r="CG342" s="514"/>
      <c r="CH342" s="514"/>
      <c r="CI342" s="514"/>
      <c r="CJ342" s="514"/>
      <c r="CK342" s="514"/>
      <c r="CL342" s="514"/>
      <c r="CM342" s="514"/>
      <c r="CN342" s="514"/>
      <c r="CO342" s="514"/>
      <c r="CP342" s="514"/>
      <c r="CQ342" s="514"/>
      <c r="CR342" s="514"/>
      <c r="CS342" s="514"/>
      <c r="CT342" s="514"/>
      <c r="CU342" s="514"/>
      <c r="CV342" s="514"/>
      <c r="CW342" s="514"/>
      <c r="CX342" s="514"/>
      <c r="CY342" s="514"/>
      <c r="CZ342" s="514"/>
      <c r="DA342" s="514"/>
      <c r="DB342" s="514"/>
      <c r="DC342" s="514"/>
      <c r="DD342" s="514"/>
      <c r="DE342" s="514"/>
      <c r="DF342" s="514"/>
      <c r="DG342" s="514"/>
      <c r="DH342" s="514"/>
      <c r="DI342" s="514"/>
      <c r="DJ342" s="514"/>
      <c r="DK342" s="514"/>
      <c r="DL342" s="514"/>
      <c r="DM342" s="514"/>
      <c r="DN342" s="514"/>
      <c r="DO342" s="514"/>
      <c r="DP342" s="514"/>
      <c r="DQ342" s="514"/>
      <c r="DR342" s="514"/>
      <c r="DS342" s="514"/>
      <c r="DT342" s="514"/>
      <c r="DU342" s="514"/>
      <c r="DV342" s="514"/>
      <c r="DW342" s="514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3"/>
      <c r="D343" s="543" t="str">
        <f>$D$169</f>
        <v xml:space="preserve">Option 5: </v>
      </c>
      <c r="E343" s="559" t="str">
        <f>E342</f>
        <v>To be determined by the AER</v>
      </c>
      <c r="F343" s="579"/>
      <c r="G343" s="580"/>
      <c r="H343" s="580"/>
      <c r="I343" s="580"/>
      <c r="J343" s="580"/>
      <c r="K343" s="580"/>
      <c r="L343" s="580"/>
      <c r="M343" s="580"/>
      <c r="N343" s="580"/>
      <c r="O343" s="580"/>
      <c r="P343" s="580"/>
      <c r="Q343" s="580"/>
      <c r="R343" s="580"/>
      <c r="S343" s="580"/>
      <c r="T343" s="580"/>
      <c r="U343" s="580"/>
      <c r="V343" s="580"/>
      <c r="W343" s="580"/>
      <c r="X343" s="580"/>
      <c r="Y343" s="580"/>
      <c r="Z343" s="580"/>
      <c r="AA343" s="446"/>
      <c r="AB343" s="447"/>
      <c r="AC343" s="514"/>
      <c r="AD343" s="514"/>
      <c r="AE343" s="514"/>
      <c r="AF343" s="514"/>
      <c r="AG343" s="514"/>
      <c r="AH343" s="514"/>
      <c r="AI343" s="514"/>
      <c r="AJ343" s="514"/>
      <c r="AK343" s="514"/>
      <c r="AL343" s="514"/>
      <c r="AM343" s="514"/>
      <c r="AN343" s="514"/>
      <c r="AO343" s="514"/>
      <c r="AP343" s="514"/>
      <c r="AQ343" s="514"/>
      <c r="AR343" s="514"/>
      <c r="AS343" s="514"/>
      <c r="AT343" s="514"/>
      <c r="AU343" s="514"/>
      <c r="AV343" s="514"/>
      <c r="AW343" s="514"/>
      <c r="AX343" s="514"/>
      <c r="AY343" s="514"/>
      <c r="AZ343" s="514"/>
      <c r="BA343" s="514"/>
      <c r="BB343" s="514"/>
      <c r="BC343" s="514"/>
      <c r="BD343" s="514"/>
      <c r="BE343" s="514"/>
      <c r="BF343" s="514"/>
      <c r="BG343" s="514"/>
      <c r="BH343" s="514"/>
      <c r="BI343" s="514"/>
      <c r="BJ343" s="514"/>
      <c r="BK343" s="514"/>
      <c r="BL343" s="514"/>
      <c r="BM343" s="514"/>
      <c r="BN343" s="514"/>
      <c r="BO343" s="514"/>
      <c r="BP343" s="514"/>
      <c r="BQ343" s="514"/>
      <c r="BR343" s="514"/>
      <c r="BS343" s="514"/>
      <c r="BT343" s="514"/>
      <c r="BU343" s="514"/>
      <c r="BV343" s="514"/>
      <c r="BW343" s="514"/>
      <c r="BX343" s="514"/>
      <c r="BY343" s="514"/>
      <c r="BZ343" s="514"/>
      <c r="CA343" s="514"/>
      <c r="CB343" s="514"/>
      <c r="CC343" s="514"/>
      <c r="CD343" s="514"/>
      <c r="CE343" s="514"/>
      <c r="CF343" s="514"/>
      <c r="CG343" s="514"/>
      <c r="CH343" s="514"/>
      <c r="CI343" s="514"/>
      <c r="CJ343" s="514"/>
      <c r="CK343" s="514"/>
      <c r="CL343" s="514"/>
      <c r="CM343" s="514"/>
      <c r="CN343" s="514"/>
      <c r="CO343" s="514"/>
      <c r="CP343" s="514"/>
      <c r="CQ343" s="514"/>
      <c r="CR343" s="514"/>
      <c r="CS343" s="514"/>
      <c r="CT343" s="514"/>
      <c r="CU343" s="514"/>
      <c r="CV343" s="514"/>
      <c r="CW343" s="514"/>
      <c r="CX343" s="514"/>
      <c r="CY343" s="514"/>
      <c r="CZ343" s="514"/>
      <c r="DA343" s="514"/>
      <c r="DB343" s="514"/>
      <c r="DC343" s="514"/>
      <c r="DD343" s="514"/>
      <c r="DE343" s="514"/>
      <c r="DF343" s="514"/>
      <c r="DG343" s="514"/>
      <c r="DH343" s="514"/>
      <c r="DI343" s="514"/>
      <c r="DJ343" s="514"/>
      <c r="DK343" s="514"/>
      <c r="DL343" s="514"/>
      <c r="DM343" s="514"/>
      <c r="DN343" s="514"/>
      <c r="DO343" s="514"/>
      <c r="DP343" s="514"/>
      <c r="DQ343" s="514"/>
      <c r="DR343" s="514"/>
      <c r="DS343" s="514"/>
      <c r="DT343" s="514"/>
      <c r="DU343" s="514"/>
      <c r="DV343" s="514"/>
      <c r="DW343" s="514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5"/>
      <c r="G345" s="565"/>
      <c r="H345" s="565"/>
      <c r="I345" s="565"/>
      <c r="J345" s="565"/>
      <c r="K345" s="565"/>
      <c r="L345" s="565"/>
      <c r="M345" s="565"/>
      <c r="N345" s="565"/>
      <c r="O345" s="565"/>
      <c r="P345" s="565"/>
      <c r="Q345" s="565"/>
      <c r="R345" s="565"/>
      <c r="S345" s="565"/>
      <c r="T345" s="565"/>
      <c r="U345" s="565"/>
      <c r="V345" s="565"/>
      <c r="W345" s="565"/>
      <c r="X345" s="565"/>
      <c r="Y345" s="565"/>
      <c r="Z345" s="446"/>
      <c r="AA345" s="446"/>
      <c r="AB345" s="447"/>
    </row>
    <row r="346" spans="2:257" ht="16.5" thickBot="1" x14ac:dyDescent="0.3">
      <c r="B346" s="445"/>
      <c r="C346" s="499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5"/>
      <c r="G347" s="565"/>
      <c r="H347" s="565"/>
      <c r="I347" s="565"/>
      <c r="J347" s="565"/>
      <c r="K347" s="565"/>
      <c r="L347" s="565"/>
      <c r="M347" s="565"/>
      <c r="N347" s="565"/>
      <c r="O347" s="565"/>
      <c r="P347" s="565"/>
      <c r="Q347" s="565"/>
      <c r="R347" s="565"/>
      <c r="S347" s="565"/>
      <c r="T347" s="565"/>
      <c r="U347" s="565"/>
      <c r="V347" s="565"/>
      <c r="W347" s="565"/>
      <c r="X347" s="565"/>
      <c r="Y347" s="565"/>
      <c r="Z347" s="446"/>
      <c r="AA347" s="446"/>
      <c r="AB347" s="447"/>
    </row>
    <row r="348" spans="2:257" ht="13.5" thickBot="1" x14ac:dyDescent="0.25">
      <c r="B348" s="445"/>
      <c r="C348" s="446"/>
      <c r="D348" s="493" t="s">
        <v>203</v>
      </c>
      <c r="E348" s="493">
        <v>2</v>
      </c>
      <c r="F348" s="565"/>
      <c r="G348" s="565"/>
      <c r="H348" s="565"/>
      <c r="I348" s="565"/>
      <c r="J348" s="565"/>
      <c r="K348" s="565"/>
      <c r="L348" s="680"/>
      <c r="M348" s="565"/>
      <c r="N348" s="565"/>
      <c r="O348" s="565"/>
      <c r="P348" s="565"/>
      <c r="Q348" s="565"/>
      <c r="R348" s="565"/>
      <c r="S348" s="565"/>
      <c r="T348" s="565"/>
      <c r="U348" s="565"/>
      <c r="V348" s="565"/>
      <c r="W348" s="565"/>
      <c r="X348" s="565"/>
      <c r="Y348" s="565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5"/>
      <c r="G349" s="565"/>
      <c r="H349" s="565"/>
      <c r="I349" s="565"/>
      <c r="J349" s="565"/>
      <c r="K349" s="565"/>
      <c r="L349" s="565"/>
      <c r="M349" s="565"/>
      <c r="N349" s="565"/>
      <c r="O349" s="565"/>
      <c r="P349" s="565"/>
      <c r="Q349" s="565"/>
      <c r="R349" s="565"/>
      <c r="S349" s="565"/>
      <c r="T349" s="565"/>
      <c r="U349" s="565"/>
      <c r="V349" s="565"/>
      <c r="W349" s="565"/>
      <c r="X349" s="565"/>
      <c r="Y349" s="565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5"/>
      <c r="G350" s="583" t="str">
        <f>'Administrator Input'!F69</f>
        <v>Capex</v>
      </c>
      <c r="H350" s="583" t="str">
        <f>'Administrator Input'!G69</f>
        <v>Opex</v>
      </c>
      <c r="I350" s="583" t="str">
        <f>'Administrator Input'!H69</f>
        <v>Discount Rate</v>
      </c>
      <c r="J350" s="583" t="s">
        <v>284</v>
      </c>
      <c r="K350" s="583" t="s">
        <v>285</v>
      </c>
      <c r="L350" s="583" t="s">
        <v>286</v>
      </c>
      <c r="M350" s="565"/>
      <c r="N350" s="565"/>
      <c r="O350" s="565"/>
      <c r="P350" s="565"/>
      <c r="Q350" s="565"/>
      <c r="R350" s="565"/>
      <c r="S350" s="565"/>
      <c r="T350" s="565"/>
      <c r="U350" s="565"/>
      <c r="V350" s="565"/>
      <c r="W350" s="565"/>
      <c r="X350" s="565"/>
      <c r="Y350" s="565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4" t="str">
        <f>'Administrator Input'!D68</f>
        <v>Best Case Scenario</v>
      </c>
      <c r="G351" s="585">
        <f>IF($E$348=1,'Administrator Input'!F70,IF($E$348=2,'Administrator Input'!F71,IF($E$348=3,'Administrator Input'!F72,0)))</f>
        <v>-0.1</v>
      </c>
      <c r="H351" s="585">
        <f>IF($E$348=1,'Administrator Input'!G70,IF($E$348=2,'Administrator Input'!G71,IF($E$348=3,'Administrator Input'!G72,0)))</f>
        <v>-0.1</v>
      </c>
      <c r="I351" s="585">
        <f>IF($E$348=1,'Administrator Input'!H70,IF($E$348=2,'Administrator Input'!H71,IF($E$348=3,'Administrator Input'!H72,0)))</f>
        <v>-0.01</v>
      </c>
      <c r="J351" s="585">
        <f>IF($E$348=1,'Administrator Input'!I70,IF($E$348=2,'Administrator Input'!I71,IF($E$348=3,'Administrator Input'!I72,0)))</f>
        <v>-0.1</v>
      </c>
      <c r="K351" s="585">
        <f>IF($E$348=1,'Administrator Input'!J70,IF($E$348=2,'Administrator Input'!J71,IF($E$348=3,'Administrator Input'!J72,0)))</f>
        <v>-0.1</v>
      </c>
      <c r="L351" s="585">
        <f>IF($E$348=1,'Administrator Input'!K70,IF($E$348=2,'Administrator Input'!K71,IF($E$348=3,'Administrator Input'!K72,0)))</f>
        <v>-0.1</v>
      </c>
      <c r="M351" s="565"/>
      <c r="O351" s="565"/>
      <c r="P351" s="565"/>
      <c r="Q351" s="565"/>
      <c r="R351" s="565"/>
      <c r="S351" s="565"/>
      <c r="T351" s="565"/>
      <c r="U351" s="565"/>
      <c r="V351" s="565"/>
      <c r="W351" s="565"/>
      <c r="X351" s="565"/>
      <c r="Y351" s="565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6" t="str">
        <f>'Administrator Input'!D73</f>
        <v>Worst Case Scenario</v>
      </c>
      <c r="G352" s="585">
        <f>IF($E$348=1,'Administrator Input'!F75,IF($E$348=2,'Administrator Input'!F76,IF($E$348=3,'Administrator Input'!F77,0)))</f>
        <v>0.1</v>
      </c>
      <c r="H352" s="585">
        <f>IF($E$348=1,'Administrator Input'!G75,IF($E$348=2,'Administrator Input'!G76,IF($E$348=3,'Administrator Input'!G77,0)))</f>
        <v>0.1</v>
      </c>
      <c r="I352" s="585">
        <f>IF($E$348=1,'Administrator Input'!H75,IF($E$348=2,'Administrator Input'!H76,IF($E$348=3,'Administrator Input'!H77,0)))</f>
        <v>0.01</v>
      </c>
      <c r="J352" s="585">
        <f>IF($E$348=1,'Administrator Input'!I75,IF($E$348=2,'Administrator Input'!I76,IF($E$348=3,'Administrator Input'!I77,0)))</f>
        <v>-0.1</v>
      </c>
      <c r="K352" s="585">
        <f>IF($E$348=1,'Administrator Input'!J75,IF($E$348=2,'Administrator Input'!J76,IF($E$348=3,'Administrator Input'!J77,0)))</f>
        <v>-0.1</v>
      </c>
      <c r="L352" s="585">
        <f>IF($E$348=1,'Administrator Input'!K75,IF($E$348=2,'Administrator Input'!K76,IF($E$348=3,'Administrator Input'!K77,0)))</f>
        <v>-0.1</v>
      </c>
      <c r="M352" s="565"/>
      <c r="N352" s="565"/>
      <c r="O352" s="565"/>
      <c r="P352" s="565"/>
      <c r="Q352" s="565"/>
      <c r="R352" s="565"/>
      <c r="S352" s="565"/>
      <c r="T352" s="565"/>
      <c r="U352" s="565"/>
      <c r="V352" s="565"/>
      <c r="W352" s="565"/>
      <c r="X352" s="565"/>
      <c r="Y352" s="565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6"/>
      <c r="G353" s="585"/>
      <c r="H353" s="585"/>
      <c r="I353" s="585"/>
      <c r="J353" s="585"/>
      <c r="K353" s="585"/>
      <c r="L353" s="585"/>
      <c r="M353" s="565"/>
      <c r="N353" s="565"/>
      <c r="O353" s="565"/>
      <c r="P353" s="565"/>
      <c r="Q353" s="565"/>
      <c r="R353" s="565"/>
      <c r="S353" s="565"/>
      <c r="T353" s="565"/>
      <c r="U353" s="565"/>
      <c r="V353" s="565"/>
      <c r="W353" s="565"/>
      <c r="X353" s="565"/>
      <c r="Y353" s="565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7" t="s">
        <v>303</v>
      </c>
      <c r="G354" s="565"/>
      <c r="H354" s="565"/>
      <c r="I354" s="565"/>
      <c r="J354" s="565"/>
      <c r="K354" s="565"/>
      <c r="L354" s="565"/>
      <c r="M354" s="565"/>
      <c r="N354" s="565"/>
      <c r="O354" s="565"/>
      <c r="P354" s="565"/>
      <c r="Q354" s="565"/>
      <c r="R354" s="565"/>
      <c r="S354" s="565"/>
      <c r="T354" s="565"/>
      <c r="U354" s="565"/>
      <c r="V354" s="565"/>
      <c r="W354" s="565"/>
      <c r="X354" s="565"/>
      <c r="Y354" s="565"/>
      <c r="Z354" s="446"/>
      <c r="AA354" s="446"/>
      <c r="AB354" s="447"/>
    </row>
    <row r="355" spans="1:127" x14ac:dyDescent="0.2">
      <c r="B355" s="445"/>
      <c r="C355" s="446"/>
      <c r="D355" s="446"/>
      <c r="F355" s="537" t="s">
        <v>304</v>
      </c>
      <c r="G355" s="565"/>
      <c r="H355" s="565"/>
      <c r="I355" s="565"/>
      <c r="J355" s="565"/>
      <c r="K355" s="565"/>
      <c r="L355" s="565"/>
      <c r="M355" s="565"/>
      <c r="N355" s="565"/>
      <c r="O355" s="565"/>
      <c r="P355" s="565"/>
      <c r="Q355" s="565"/>
      <c r="R355" s="565"/>
      <c r="S355" s="565"/>
      <c r="T355" s="565"/>
      <c r="U355" s="565"/>
      <c r="V355" s="565"/>
      <c r="W355" s="565"/>
      <c r="X355" s="565"/>
      <c r="Y355" s="565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7" t="str">
        <f>"Version "&amp;+'Version Control'!B14</f>
        <v>Version 1.3</v>
      </c>
      <c r="D357" s="459"/>
      <c r="E357" s="588" t="str">
        <f>"Date Issued"</f>
        <v>Date Issued</v>
      </c>
      <c r="F357" s="589">
        <f>'Version Control'!E3</f>
        <v>41956</v>
      </c>
      <c r="G357" s="587"/>
      <c r="H357" s="459"/>
      <c r="I357" s="588" t="s">
        <v>246</v>
      </c>
      <c r="J357" s="589">
        <f>F357+365</f>
        <v>42321</v>
      </c>
      <c r="K357" s="459"/>
      <c r="L357" s="590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/>
  <headerFooter alignWithMargins="0">
    <oddFooter>&amp;L&amp;D&amp;CPage &amp;P of &amp;N&amp;R&amp;Z&amp;F</oddFooter>
  </headerFooter>
  <ignoredErrors>
    <ignoredError sqref="E42:E51" numberStoredAsText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Drop Down 3">
              <controlPr defaultSize="0" autoLine="0" autoPict="0">
                <anchor moveWithCells="1">
                  <from>
                    <xdr:col>3</xdr:col>
                    <xdr:colOff>2524125</xdr:colOff>
                    <xdr:row>6</xdr:row>
                    <xdr:rowOff>152400</xdr:rowOff>
                  </from>
                  <to>
                    <xdr:col>4</xdr:col>
                    <xdr:colOff>714375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142875</xdr:rowOff>
                  </from>
                  <to>
                    <xdr:col>9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" name="Drop Down 172">
              <controlPr defaultSize="0" autoLine="0" autoPict="0">
                <anchor moveWithCells="1">
                  <from>
                    <xdr:col>4</xdr:col>
                    <xdr:colOff>28575</xdr:colOff>
                    <xdr:row>28</xdr:row>
                    <xdr:rowOff>9525</xdr:rowOff>
                  </from>
                  <to>
                    <xdr:col>4</xdr:col>
                    <xdr:colOff>2524125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" name="Drop Down 176">
              <controlPr defaultSize="0" autoLine="0" autoPict="0">
                <anchor moveWithCells="1">
                  <from>
                    <xdr:col>4</xdr:col>
                    <xdr:colOff>28575</xdr:colOff>
                    <xdr:row>57</xdr:row>
                    <xdr:rowOff>9525</xdr:rowOff>
                  </from>
                  <to>
                    <xdr:col>4</xdr:col>
                    <xdr:colOff>2524125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2524125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2524125</xdr:colOff>
                    <xdr:row>115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2524125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0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2524125</xdr:colOff>
                    <xdr:row>173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" name="Drop Down 195">
              <controlPr defaultSize="0" autoLine="0" autoPict="0">
                <anchor moveWithCells="1">
                  <from>
                    <xdr:col>4</xdr:col>
                    <xdr:colOff>1514475</xdr:colOff>
                    <xdr:row>200</xdr:row>
                    <xdr:rowOff>152400</xdr:rowOff>
                  </from>
                  <to>
                    <xdr:col>5</xdr:col>
                    <xdr:colOff>352425</xdr:colOff>
                    <xdr:row>201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2" name="Drop Down 196">
              <controlPr defaultSize="0" autoLine="0" autoPict="0">
                <anchor moveWithCells="1">
                  <from>
                    <xdr:col>4</xdr:col>
                    <xdr:colOff>1514475</xdr:colOff>
                    <xdr:row>202</xdr:row>
                    <xdr:rowOff>152400</xdr:rowOff>
                  </from>
                  <to>
                    <xdr:col>5</xdr:col>
                    <xdr:colOff>352425</xdr:colOff>
                    <xdr:row>203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3" name="Drop Down 197">
              <controlPr defaultSize="0" autoLine="0" autoPict="0">
                <anchor moveWithCells="1">
                  <from>
                    <xdr:col>4</xdr:col>
                    <xdr:colOff>76200</xdr:colOff>
                    <xdr:row>346</xdr:row>
                    <xdr:rowOff>152400</xdr:rowOff>
                  </from>
                  <to>
                    <xdr:col>4</xdr:col>
                    <xdr:colOff>2524125</xdr:colOff>
                    <xdr:row>347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4" name="Drop Down 236">
              <controlPr defaultSize="0" autoLine="0" autoPict="0">
                <anchor moveWithCells="1">
                  <from>
                    <xdr:col>4</xdr:col>
                    <xdr:colOff>1514475</xdr:colOff>
                    <xdr:row>204</xdr:row>
                    <xdr:rowOff>142875</xdr:rowOff>
                  </from>
                  <to>
                    <xdr:col>5</xdr:col>
                    <xdr:colOff>352425</xdr:colOff>
                    <xdr:row>205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ColWidth="8.85546875" defaultRowHeight="12.75" x14ac:dyDescent="0.2"/>
  <sheetData>
    <row r="3" spans="2:18" x14ac:dyDescent="0.2">
      <c r="B3" s="129" t="s">
        <v>287</v>
      </c>
    </row>
    <row r="4" spans="2:18" x14ac:dyDescent="0.2">
      <c r="D4" s="685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307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308</v>
      </c>
      <c r="C7" s="686" t="e">
        <f>1/#REF!</f>
        <v>#REF!</v>
      </c>
      <c r="D7" s="686" t="e">
        <f>C7*(1+$D$4)</f>
        <v>#REF!</v>
      </c>
      <c r="E7" s="686" t="e">
        <f t="shared" ref="E7:M7" si="0">D7*(1+$D$4)</f>
        <v>#REF!</v>
      </c>
      <c r="F7" s="686" t="e">
        <f t="shared" si="0"/>
        <v>#REF!</v>
      </c>
      <c r="G7" s="686" t="e">
        <f t="shared" si="0"/>
        <v>#REF!</v>
      </c>
      <c r="H7" s="686" t="e">
        <f t="shared" si="0"/>
        <v>#REF!</v>
      </c>
      <c r="I7" s="686" t="e">
        <f t="shared" si="0"/>
        <v>#REF!</v>
      </c>
      <c r="J7" s="686" t="e">
        <f t="shared" si="0"/>
        <v>#REF!</v>
      </c>
      <c r="K7" s="686" t="e">
        <f t="shared" si="0"/>
        <v>#REF!</v>
      </c>
      <c r="L7" s="686" t="e">
        <f t="shared" si="0"/>
        <v>#REF!</v>
      </c>
      <c r="M7" s="686" t="e">
        <f t="shared" si="0"/>
        <v>#REF!</v>
      </c>
      <c r="N7" s="686"/>
      <c r="O7" s="686"/>
      <c r="P7" s="686"/>
      <c r="Q7" s="686"/>
      <c r="R7" s="686"/>
    </row>
    <row r="10" spans="2:18" ht="13.5" thickBot="1" x14ac:dyDescent="0.25"/>
    <row r="11" spans="2:18" ht="13.5" thickBot="1" x14ac:dyDescent="0.25">
      <c r="B11" s="684" t="s">
        <v>288</v>
      </c>
    </row>
    <row r="12" spans="2:18" x14ac:dyDescent="0.2">
      <c r="D12" s="685">
        <v>0.3492912518450782</v>
      </c>
    </row>
    <row r="14" spans="2:18" x14ac:dyDescent="0.2">
      <c r="B14" t="s">
        <v>307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308</v>
      </c>
      <c r="C15" s="686" t="e">
        <f>1/#REF!</f>
        <v>#REF!</v>
      </c>
      <c r="D15" s="686" t="e">
        <f>C15*(1+$D$12)</f>
        <v>#REF!</v>
      </c>
      <c r="E15" s="686" t="e">
        <f t="shared" ref="E15:M15" si="1">D15*(1+$D$12)</f>
        <v>#REF!</v>
      </c>
      <c r="F15" s="686" t="e">
        <f t="shared" si="1"/>
        <v>#REF!</v>
      </c>
      <c r="G15" s="686" t="e">
        <f t="shared" si="1"/>
        <v>#REF!</v>
      </c>
      <c r="H15" s="686" t="e">
        <f t="shared" si="1"/>
        <v>#REF!</v>
      </c>
      <c r="I15" s="686" t="e">
        <f t="shared" si="1"/>
        <v>#REF!</v>
      </c>
      <c r="J15" s="686" t="e">
        <f t="shared" si="1"/>
        <v>#REF!</v>
      </c>
      <c r="K15" s="686" t="e">
        <f t="shared" si="1"/>
        <v>#REF!</v>
      </c>
      <c r="L15" s="686" t="e">
        <f t="shared" si="1"/>
        <v>#REF!</v>
      </c>
      <c r="M15" s="686" t="e">
        <f t="shared" si="1"/>
        <v>#REF!</v>
      </c>
      <c r="N15" s="686"/>
      <c r="O15" s="686"/>
      <c r="P15" s="686"/>
      <c r="Q15" s="686"/>
      <c r="R15" s="686"/>
    </row>
    <row r="20" spans="2:18" ht="13.5" thickBot="1" x14ac:dyDescent="0.25"/>
    <row r="21" spans="2:18" ht="13.5" thickBot="1" x14ac:dyDescent="0.25">
      <c r="B21" s="684" t="s">
        <v>289</v>
      </c>
    </row>
    <row r="22" spans="2:18" x14ac:dyDescent="0.2">
      <c r="D22" s="685">
        <v>0.31102260048669939</v>
      </c>
    </row>
    <row r="24" spans="2:18" x14ac:dyDescent="0.2">
      <c r="B24" t="s">
        <v>307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308</v>
      </c>
      <c r="C25" s="686" t="e">
        <f>1/#REF!</f>
        <v>#REF!</v>
      </c>
      <c r="D25" s="686" t="e">
        <f>C25*(1+$D$22)</f>
        <v>#REF!</v>
      </c>
      <c r="E25" s="686" t="e">
        <f t="shared" ref="E25:M25" si="2">D25*(1+$D$22)</f>
        <v>#REF!</v>
      </c>
      <c r="F25" s="686" t="e">
        <f t="shared" si="2"/>
        <v>#REF!</v>
      </c>
      <c r="G25" s="686" t="e">
        <f t="shared" si="2"/>
        <v>#REF!</v>
      </c>
      <c r="H25" s="686" t="e">
        <f t="shared" si="2"/>
        <v>#REF!</v>
      </c>
      <c r="I25" s="686" t="e">
        <f t="shared" si="2"/>
        <v>#REF!</v>
      </c>
      <c r="J25" s="686" t="e">
        <f t="shared" si="2"/>
        <v>#REF!</v>
      </c>
      <c r="K25" s="686" t="e">
        <f t="shared" si="2"/>
        <v>#REF!</v>
      </c>
      <c r="L25" s="686" t="e">
        <f t="shared" si="2"/>
        <v>#REF!</v>
      </c>
      <c r="M25" s="686" t="e">
        <f t="shared" si="2"/>
        <v>#REF!</v>
      </c>
      <c r="N25" s="686"/>
      <c r="O25" s="686"/>
      <c r="P25" s="686"/>
      <c r="Q25" s="686"/>
      <c r="R25" s="686"/>
    </row>
    <row r="30" spans="2:18" ht="13.5" thickBot="1" x14ac:dyDescent="0.25"/>
    <row r="31" spans="2:18" ht="13.5" thickBot="1" x14ac:dyDescent="0.25">
      <c r="B31" s="684" t="s">
        <v>283</v>
      </c>
    </row>
    <row r="32" spans="2:18" x14ac:dyDescent="0.2">
      <c r="D32" s="685">
        <v>0.58498922965232358</v>
      </c>
    </row>
    <row r="34" spans="2:43" x14ac:dyDescent="0.2">
      <c r="B34" t="s">
        <v>307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308</v>
      </c>
      <c r="C35" s="686" t="e">
        <f>1/#REF!</f>
        <v>#REF!</v>
      </c>
      <c r="D35" s="686" t="e">
        <f>C35*(1+$D$32)</f>
        <v>#REF!</v>
      </c>
      <c r="E35" s="686" t="e">
        <f t="shared" ref="E35:M35" si="3">D35*(1+$D$32)</f>
        <v>#REF!</v>
      </c>
      <c r="F35" s="686" t="e">
        <f t="shared" si="3"/>
        <v>#REF!</v>
      </c>
      <c r="G35" s="686" t="e">
        <f t="shared" si="3"/>
        <v>#REF!</v>
      </c>
      <c r="H35" s="686" t="e">
        <f t="shared" si="3"/>
        <v>#REF!</v>
      </c>
      <c r="I35" s="686" t="e">
        <f t="shared" si="3"/>
        <v>#REF!</v>
      </c>
      <c r="J35" s="686" t="e">
        <f t="shared" si="3"/>
        <v>#REF!</v>
      </c>
      <c r="K35" s="686" t="e">
        <f t="shared" si="3"/>
        <v>#REF!</v>
      </c>
      <c r="L35" s="686" t="e">
        <f t="shared" si="3"/>
        <v>#REF!</v>
      </c>
      <c r="M35" s="686" t="e">
        <f t="shared" si="3"/>
        <v>#REF!</v>
      </c>
      <c r="N35" s="686"/>
      <c r="O35" s="686"/>
      <c r="P35" s="686"/>
      <c r="Q35" s="686"/>
      <c r="R35" s="686"/>
    </row>
    <row r="40" spans="2:43" ht="13.5" thickBot="1" x14ac:dyDescent="0.25"/>
    <row r="41" spans="2:43" ht="13.5" thickBot="1" x14ac:dyDescent="0.25">
      <c r="B41" s="684"/>
    </row>
    <row r="42" spans="2:43" x14ac:dyDescent="0.2">
      <c r="D42" s="685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6"/>
      <c r="T45" s="686"/>
      <c r="U45" s="686"/>
      <c r="V45" s="686"/>
      <c r="W45" s="686"/>
      <c r="X45" s="686"/>
      <c r="Y45" s="686"/>
      <c r="Z45" s="686">
        <f t="shared" ref="Z45:AB45" si="4">Y45*(1+$D$42)</f>
        <v>0</v>
      </c>
      <c r="AA45" s="686">
        <f t="shared" si="4"/>
        <v>0</v>
      </c>
      <c r="AB45" s="686">
        <f t="shared" si="4"/>
        <v>0</v>
      </c>
      <c r="AC45" s="686"/>
      <c r="AD45" s="686"/>
      <c r="AE45" s="686"/>
      <c r="AF45" s="686"/>
      <c r="AG45" s="686"/>
      <c r="AH45" s="686"/>
      <c r="AI45" s="686"/>
      <c r="AJ45" s="686"/>
      <c r="AK45" s="686"/>
      <c r="AL45" s="686"/>
      <c r="AM45" s="686"/>
      <c r="AN45" s="686"/>
      <c r="AO45" s="686"/>
      <c r="AP45" s="686"/>
      <c r="AQ45" s="68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3" zoomScaleNormal="80" zoomScaleSheetLayoutView="40" zoomScalePageLayoutView="80" workbookViewId="0">
      <selection activeCell="E8" sqref="E8"/>
    </sheetView>
  </sheetViews>
  <sheetFormatPr defaultColWidth="8.85546875"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42578125" style="4" bestFit="1" customWidth="1"/>
    <col min="27" max="16384" width="8.8554687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321</v>
      </c>
      <c r="D3" s="182"/>
      <c r="E3" s="183" t="str">
        <f>'User Input'!E4</f>
        <v>DNSP Intelligent Network Device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699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2017</v>
      </c>
      <c r="F5" s="133">
        <f>E5+1</f>
        <v>2018</v>
      </c>
      <c r="G5" s="133">
        <f t="shared" ref="G5:Y5" si="0">F5+1</f>
        <v>2019</v>
      </c>
      <c r="H5" s="133">
        <f t="shared" si="0"/>
        <v>2020</v>
      </c>
      <c r="I5" s="133">
        <f t="shared" si="0"/>
        <v>2021</v>
      </c>
      <c r="J5" s="133">
        <f t="shared" si="0"/>
        <v>2022</v>
      </c>
      <c r="K5" s="133">
        <f t="shared" si="0"/>
        <v>2023</v>
      </c>
      <c r="L5" s="133">
        <f t="shared" si="0"/>
        <v>2024</v>
      </c>
      <c r="M5" s="133">
        <f t="shared" si="0"/>
        <v>2025</v>
      </c>
      <c r="N5" s="133">
        <f t="shared" si="0"/>
        <v>2026</v>
      </c>
      <c r="O5" s="133">
        <f t="shared" si="0"/>
        <v>2027</v>
      </c>
      <c r="P5" s="133">
        <f t="shared" si="0"/>
        <v>2028</v>
      </c>
      <c r="Q5" s="133">
        <f t="shared" si="0"/>
        <v>2029</v>
      </c>
      <c r="R5" s="133">
        <f t="shared" si="0"/>
        <v>2030</v>
      </c>
      <c r="S5" s="133">
        <f t="shared" si="0"/>
        <v>2031</v>
      </c>
      <c r="T5" s="133">
        <f t="shared" si="0"/>
        <v>2032</v>
      </c>
      <c r="U5" s="133">
        <f t="shared" si="0"/>
        <v>2033</v>
      </c>
      <c r="V5" s="133">
        <f t="shared" si="0"/>
        <v>2034</v>
      </c>
      <c r="W5" s="133">
        <f t="shared" si="0"/>
        <v>2035</v>
      </c>
      <c r="X5" s="133">
        <f t="shared" si="0"/>
        <v>2036</v>
      </c>
      <c r="Y5" s="133">
        <f t="shared" si="0"/>
        <v>2037</v>
      </c>
      <c r="Z5" s="133">
        <f t="shared" ref="Z5" si="1">Y5+1</f>
        <v>2038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0">
        <f>'Administrator Input'!F35</f>
        <v>1.9400000000000001E-2</v>
      </c>
      <c r="E8" s="701">
        <f>D8</f>
        <v>1.9400000000000001E-2</v>
      </c>
      <c r="F8" s="701">
        <f t="shared" ref="F8:Z8" si="2">E8</f>
        <v>1.9400000000000001E-2</v>
      </c>
      <c r="G8" s="701">
        <f t="shared" si="2"/>
        <v>1.9400000000000001E-2</v>
      </c>
      <c r="H8" s="701">
        <f t="shared" si="2"/>
        <v>1.9400000000000001E-2</v>
      </c>
      <c r="I8" s="701">
        <f t="shared" si="2"/>
        <v>1.9400000000000001E-2</v>
      </c>
      <c r="J8" s="701">
        <f t="shared" si="2"/>
        <v>1.9400000000000001E-2</v>
      </c>
      <c r="K8" s="701">
        <f t="shared" si="2"/>
        <v>1.9400000000000001E-2</v>
      </c>
      <c r="L8" s="701">
        <f t="shared" si="2"/>
        <v>1.9400000000000001E-2</v>
      </c>
      <c r="M8" s="701">
        <f t="shared" si="2"/>
        <v>1.9400000000000001E-2</v>
      </c>
      <c r="N8" s="701">
        <f t="shared" si="2"/>
        <v>1.9400000000000001E-2</v>
      </c>
      <c r="O8" s="701">
        <f t="shared" si="2"/>
        <v>1.9400000000000001E-2</v>
      </c>
      <c r="P8" s="701">
        <f t="shared" si="2"/>
        <v>1.9400000000000001E-2</v>
      </c>
      <c r="Q8" s="701">
        <f t="shared" si="2"/>
        <v>1.9400000000000001E-2</v>
      </c>
      <c r="R8" s="701">
        <f t="shared" si="2"/>
        <v>1.9400000000000001E-2</v>
      </c>
      <c r="S8" s="701">
        <f t="shared" si="2"/>
        <v>1.9400000000000001E-2</v>
      </c>
      <c r="T8" s="701">
        <f t="shared" si="2"/>
        <v>1.9400000000000001E-2</v>
      </c>
      <c r="U8" s="701">
        <f t="shared" si="2"/>
        <v>1.9400000000000001E-2</v>
      </c>
      <c r="V8" s="701">
        <f t="shared" si="2"/>
        <v>1.9400000000000001E-2</v>
      </c>
      <c r="W8" s="701">
        <f t="shared" si="2"/>
        <v>1.9400000000000001E-2</v>
      </c>
      <c r="X8" s="701">
        <f t="shared" si="2"/>
        <v>1.9400000000000001E-2</v>
      </c>
      <c r="Y8" s="701">
        <f t="shared" si="2"/>
        <v>1.9400000000000001E-2</v>
      </c>
      <c r="Z8" s="701">
        <f t="shared" si="2"/>
        <v>1.9400000000000001E-2</v>
      </c>
    </row>
    <row r="9" spans="2:26" x14ac:dyDescent="0.2">
      <c r="B9" s="107" t="s">
        <v>322</v>
      </c>
      <c r="E9" s="698">
        <f>+(1+$D$4)^(E5-'User Input'!$E$9)</f>
        <v>1.18091689</v>
      </c>
      <c r="F9" s="698">
        <f>+(1+$D$4)^(F5-'User Input'!$E$9)</f>
        <v>1.283302384363</v>
      </c>
      <c r="G9" s="698">
        <f>+(1+$D$4)^(G5-'User Input'!$E$9)</f>
        <v>1.3945647010872722</v>
      </c>
      <c r="H9" s="698">
        <f>+(1+$D$4)^(H5-'User Input'!$E$9)</f>
        <v>1.5154734606715385</v>
      </c>
      <c r="I9" s="698">
        <f>+(1+$D$4)^(I5-'User Input'!$E$9)</f>
        <v>1.646865009711761</v>
      </c>
      <c r="J9" s="698">
        <f>+(1+$D$4)^(J5-'User Input'!$E$9)</f>
        <v>1.7896482060537708</v>
      </c>
      <c r="K9" s="698">
        <f>+(1+$D$4)^(K5-'User Input'!$E$9)</f>
        <v>1.9448107055186328</v>
      </c>
      <c r="L9" s="698">
        <f>+(1+$D$4)^(L5-'User Input'!$E$9)</f>
        <v>2.1134257936870982</v>
      </c>
      <c r="M9" s="698">
        <f>+(1+$D$4)^(M5-'User Input'!$E$9)</f>
        <v>2.2966598099997695</v>
      </c>
      <c r="N9" s="698">
        <f>+(1+$D$4)^(N5-'User Input'!$E$9)</f>
        <v>2.4957802155267497</v>
      </c>
      <c r="O9" s="698">
        <f>+(1+$D$4)^(O5-'User Input'!$E$9)</f>
        <v>2.7121643602129191</v>
      </c>
      <c r="P9" s="698">
        <f>+(1+$D$4)^(P5-'User Input'!$E$9)</f>
        <v>2.9473090102433788</v>
      </c>
      <c r="Q9" s="698">
        <f>+(1+$D$4)^(Q5-'User Input'!$E$9)</f>
        <v>3.2028407014314797</v>
      </c>
      <c r="R9" s="698">
        <f>+(1+$D$4)^(R5-'User Input'!$E$9)</f>
        <v>3.4805269902455898</v>
      </c>
      <c r="S9" s="698">
        <f>+(1+$D$4)^(S5-'User Input'!$E$9)</f>
        <v>3.7822886802998821</v>
      </c>
      <c r="T9" s="698">
        <f>+(1+$D$4)^(T5-'User Input'!$E$9)</f>
        <v>4.1102131088818821</v>
      </c>
      <c r="U9" s="698">
        <f>+(1+$D$4)^(U5-'User Input'!$E$9)</f>
        <v>4.4665685854219408</v>
      </c>
      <c r="V9" s="698">
        <f>+(1+$D$4)^(V5-'User Input'!$E$9)</f>
        <v>4.8538200817780233</v>
      </c>
      <c r="W9" s="698">
        <f>+(1+$D$4)^(W5-'User Input'!$E$9)</f>
        <v>5.2746462828681784</v>
      </c>
      <c r="X9" s="698">
        <f>+(1+$D$4)^(X5-'User Input'!$E$9)</f>
        <v>5.7319581155928487</v>
      </c>
      <c r="Y9" s="698">
        <f>+(1+$D$4)^(Y5-'User Input'!$E$9)</f>
        <v>6.2289188842147487</v>
      </c>
      <c r="Z9" s="698">
        <f>+(1+$D$4)^(Z5-'User Input'!$E$9)</f>
        <v>6.7689661514761683</v>
      </c>
    </row>
    <row r="10" spans="2:26" x14ac:dyDescent="0.2">
      <c r="B10" s="10" t="s">
        <v>17</v>
      </c>
      <c r="C10" s="11"/>
      <c r="D10" s="11"/>
      <c r="E10" s="15">
        <f>1*(1+E8)^(E5-'User Input'!$E$9)</f>
        <v>1.0391763600000001</v>
      </c>
      <c r="F10" s="15">
        <f t="shared" ref="F10:Y10" si="3">E10+(+E10*F8)</f>
        <v>1.0593363813840002</v>
      </c>
      <c r="G10" s="15">
        <f t="shared" si="3"/>
        <v>1.0798875071828498</v>
      </c>
      <c r="H10" s="15">
        <f t="shared" si="3"/>
        <v>1.100837324822197</v>
      </c>
      <c r="I10" s="15">
        <f t="shared" si="3"/>
        <v>1.1221935689237477</v>
      </c>
      <c r="J10" s="15">
        <f t="shared" si="3"/>
        <v>1.1439641241608685</v>
      </c>
      <c r="K10" s="15">
        <f t="shared" si="3"/>
        <v>1.1661570281695892</v>
      </c>
      <c r="L10" s="15">
        <f t="shared" si="3"/>
        <v>1.1887804745160793</v>
      </c>
      <c r="M10" s="15">
        <f t="shared" si="3"/>
        <v>1.2118428157216912</v>
      </c>
      <c r="N10" s="15">
        <f t="shared" si="3"/>
        <v>1.235352566346692</v>
      </c>
      <c r="O10" s="15">
        <f t="shared" si="3"/>
        <v>1.2593184061338178</v>
      </c>
      <c r="P10" s="15">
        <f t="shared" si="3"/>
        <v>1.2837491832128138</v>
      </c>
      <c r="Q10" s="15">
        <f t="shared" si="3"/>
        <v>1.3086539173671423</v>
      </c>
      <c r="R10" s="15">
        <f t="shared" si="3"/>
        <v>1.3340418033640649</v>
      </c>
      <c r="S10" s="15">
        <f t="shared" si="3"/>
        <v>1.3599222143493277</v>
      </c>
      <c r="T10" s="15">
        <f t="shared" si="3"/>
        <v>1.3863047053077047</v>
      </c>
      <c r="U10" s="15">
        <f t="shared" si="3"/>
        <v>1.413199016590674</v>
      </c>
      <c r="V10" s="15">
        <f t="shared" si="3"/>
        <v>1.440615077512533</v>
      </c>
      <c r="W10" s="15">
        <f t="shared" si="3"/>
        <v>1.4685630100162761</v>
      </c>
      <c r="X10" s="15">
        <f t="shared" si="3"/>
        <v>1.4970531324105918</v>
      </c>
      <c r="Y10" s="15">
        <f t="shared" si="3"/>
        <v>1.5260959631793574</v>
      </c>
      <c r="Z10" s="15">
        <f t="shared" ref="Z10" si="4">Y10+(+Y10*Z8)</f>
        <v>1.555702224865037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5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0</v>
      </c>
      <c r="E17" s="259">
        <v>0</v>
      </c>
      <c r="F17" s="259">
        <v>0</v>
      </c>
      <c r="G17" s="695">
        <v>0</v>
      </c>
      <c r="H17" s="64">
        <f>IF('User Input'!$I$8=1,'User Input'!F30*'Administrator Input'!$F$41*H10,0)</f>
        <v>0</v>
      </c>
      <c r="I17" s="64">
        <f>IF('User Input'!$I$8=1,'User Input'!G30*'Administrator Input'!$F$41*I10,0)</f>
        <v>0</v>
      </c>
      <c r="J17" s="64">
        <f>IF('User Input'!$I$8=1,'User Input'!H30*'Administrator Input'!$F$41*J10,0)</f>
        <v>0</v>
      </c>
      <c r="K17" s="64">
        <f>IF('User Input'!$I$8=1,'User Input'!I30*'Administrator Input'!$F$41*K10,0)</f>
        <v>0</v>
      </c>
      <c r="L17" s="64">
        <f>IF('User Input'!$I$8=1,'User Input'!J30*'Administrator Input'!$F$41*L10,0)</f>
        <v>0</v>
      </c>
      <c r="M17" s="64">
        <f>IF('User Input'!$I$8=1,'User Input'!K30*'Administrator Input'!$F$41*M10,0)</f>
        <v>0</v>
      </c>
      <c r="N17" s="64">
        <f>IF('User Input'!$I$8=1,'User Input'!L30*'Administrator Input'!$F$41*N10,0)</f>
        <v>0</v>
      </c>
      <c r="O17" s="64">
        <f>IF('User Input'!$I$8=1,'User Input'!M30*'Administrator Input'!$F$41*O10,0)</f>
        <v>0</v>
      </c>
      <c r="P17" s="64">
        <f>IF('User Input'!$I$8=1,'User Input'!N30*'Administrator Input'!$F$41*P10,0)</f>
        <v>0</v>
      </c>
      <c r="Q17" s="64">
        <f>IF('User Input'!$I$8=1,'User Input'!O30*'Administrator Input'!$F$41*Q10,0)</f>
        <v>0</v>
      </c>
      <c r="R17" s="64">
        <f>IF('User Input'!$I$8=1,'User Input'!P30*'Administrator Input'!$F$41*R10,0)</f>
        <v>0</v>
      </c>
      <c r="S17" s="64">
        <f>IF('User Input'!$I$8=1,'User Input'!Q30*'Administrator Input'!$F$41*S10,0)</f>
        <v>0</v>
      </c>
      <c r="T17" s="64">
        <f>IF('User Input'!$I$8=1,'User Input'!R30*'Administrator Input'!$F$41*T10,0)</f>
        <v>0</v>
      </c>
      <c r="U17" s="64">
        <f>IF('User Input'!$I$8=1,'User Input'!S30*'Administrator Input'!$F$41*U10,0)</f>
        <v>0</v>
      </c>
      <c r="V17" s="64">
        <f>IF('User Input'!$I$8=1,'User Input'!T30*'Administrator Input'!$F$41*V10,0)</f>
        <v>0</v>
      </c>
      <c r="W17" s="64">
        <f>IF('User Input'!$I$8=1,'User Input'!U30*'Administrator Input'!$F$41*W10,0)</f>
        <v>0</v>
      </c>
      <c r="X17" s="64">
        <f>IF('User Input'!$I$8=1,'User Input'!V30*'Administrator Input'!$F$41*X10,0)</f>
        <v>0</v>
      </c>
      <c r="Y17" s="64">
        <f>IF('User Input'!$I$8=1,'User Input'!W30*'Administrator Input'!$F$41*Y10,0)</f>
        <v>0</v>
      </c>
      <c r="Z17" s="64">
        <f>IF('User Input'!$I$8=1,'User Input'!X30*'Administrator Input'!$F$41*Z10,0)</f>
        <v>0</v>
      </c>
    </row>
    <row r="18" spans="2:26" ht="13.5" thickBot="1" x14ac:dyDescent="0.25">
      <c r="B18" s="13"/>
      <c r="C18" s="140" t="s">
        <v>129</v>
      </c>
      <c r="D18" s="67">
        <f t="shared" si="5"/>
        <v>0</v>
      </c>
      <c r="E18" s="259">
        <v>0</v>
      </c>
      <c r="F18" s="259">
        <v>0</v>
      </c>
      <c r="G18" s="695">
        <v>0</v>
      </c>
      <c r="H18" s="64">
        <f>IF('User Input'!$I$8=1,'User Input'!F31*'Administrator Input'!$F$42*H10,0)</f>
        <v>0</v>
      </c>
      <c r="I18" s="64">
        <f>IF('User Input'!$I$8=1,'User Input'!G31*'Administrator Input'!$F$42*I10,0)</f>
        <v>0</v>
      </c>
      <c r="J18" s="64">
        <f>IF('User Input'!$I$8=1,'User Input'!H31*'Administrator Input'!$F$42*J10,0)</f>
        <v>0</v>
      </c>
      <c r="K18" s="64">
        <f>IF('User Input'!$I$8=1,'User Input'!I31*'Administrator Input'!$F$42*K10,0)</f>
        <v>0</v>
      </c>
      <c r="L18" s="64">
        <f>IF('User Input'!$I$8=1,'User Input'!J31*'Administrator Input'!$F$42*L10,0)</f>
        <v>0</v>
      </c>
      <c r="M18" s="64">
        <f>IF('User Input'!$I$8=1,'User Input'!K31*'Administrator Input'!$F$42*M10,0)</f>
        <v>0</v>
      </c>
      <c r="N18" s="64">
        <f>IF('User Input'!$I$8=1,'User Input'!L31*'Administrator Input'!$F$42*N10,0)</f>
        <v>0</v>
      </c>
      <c r="O18" s="64">
        <f>IF('User Input'!$I$8=1,'User Input'!M31*'Administrator Input'!$F$42*O10,0)</f>
        <v>0</v>
      </c>
      <c r="P18" s="64">
        <f>IF('User Input'!$I$8=1,'User Input'!N31*'Administrator Input'!$F$42*P10,0)</f>
        <v>0</v>
      </c>
      <c r="Q18" s="64">
        <f>IF('User Input'!$I$8=1,'User Input'!O31*'Administrator Input'!$F$42*Q10,0)</f>
        <v>0</v>
      </c>
      <c r="R18" s="64">
        <f>IF('User Input'!$I$8=1,'User Input'!P31*'Administrator Input'!$F$42*R10,0)</f>
        <v>0</v>
      </c>
      <c r="S18" s="64">
        <f>IF('User Input'!$I$8=1,'User Input'!Q31*'Administrator Input'!$F$42*S10,0)</f>
        <v>0</v>
      </c>
      <c r="T18" s="64">
        <f>IF('User Input'!$I$8=1,'User Input'!R31*'Administrator Input'!$F$42*T10,0)</f>
        <v>0</v>
      </c>
      <c r="U18" s="64">
        <f>IF('User Input'!$I$8=1,'User Input'!S31*'Administrator Input'!$F$42*U10,0)</f>
        <v>0</v>
      </c>
      <c r="V18" s="64">
        <f>IF('User Input'!$I$8=1,'User Input'!T31*'Administrator Input'!$F$42*V10,0)</f>
        <v>0</v>
      </c>
      <c r="W18" s="64">
        <f>IF('User Input'!$I$8=1,'User Input'!U31*'Administrator Input'!$F$42*W10,0)</f>
        <v>0</v>
      </c>
      <c r="X18" s="64">
        <f>IF('User Input'!$I$8=1,'User Input'!V31*'Administrator Input'!$F$42*X10,0)</f>
        <v>0</v>
      </c>
      <c r="Y18" s="64">
        <f>IF('User Input'!$I$8=1,'User Input'!W31*'Administrator Input'!$F$42*Y10,0)</f>
        <v>0</v>
      </c>
      <c r="Z18" s="64">
        <f>IF('User Input'!$I$8=1,'User Input'!X31*'Administrator Input'!$F$42*Z10,0)</f>
        <v>0</v>
      </c>
    </row>
    <row r="19" spans="2:26" ht="13.5" thickBot="1" x14ac:dyDescent="0.25">
      <c r="B19" s="13"/>
      <c r="C19" s="140" t="s">
        <v>130</v>
      </c>
      <c r="D19" s="67">
        <f t="shared" si="5"/>
        <v>0</v>
      </c>
      <c r="E19" s="259">
        <v>0</v>
      </c>
      <c r="F19" s="259">
        <v>0</v>
      </c>
      <c r="G19" s="695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5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5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5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Cost 1</v>
      </c>
      <c r="D23" s="67">
        <f t="shared" si="5"/>
        <v>0</v>
      </c>
      <c r="E23" s="695">
        <v>0</v>
      </c>
      <c r="F23" s="64">
        <f>'User Input'!F42*F$10</f>
        <v>0</v>
      </c>
      <c r="G23" s="64">
        <f>'User Input'!G42*G$10</f>
        <v>0</v>
      </c>
      <c r="H23" s="64">
        <f>'User Input'!H42*H$10</f>
        <v>0</v>
      </c>
      <c r="I23" s="64">
        <f>'User Input'!I42*I$10</f>
        <v>0</v>
      </c>
      <c r="J23" s="64">
        <f>'User Input'!J42*J$10</f>
        <v>0</v>
      </c>
      <c r="K23" s="64">
        <f>'User Input'!K42*K$10</f>
        <v>0</v>
      </c>
      <c r="L23" s="64">
        <f>'User Input'!L42*L$10</f>
        <v>0</v>
      </c>
      <c r="M23" s="64">
        <f>'User Input'!M42*M$10</f>
        <v>0</v>
      </c>
      <c r="N23" s="64">
        <f>'User Input'!N42*N$10</f>
        <v>0</v>
      </c>
      <c r="O23" s="64">
        <f>'User Input'!O42*O$10</f>
        <v>0</v>
      </c>
      <c r="P23" s="64">
        <f>'User Input'!P42*P$10</f>
        <v>0</v>
      </c>
      <c r="Q23" s="64">
        <f>'User Input'!Q42*Q$10</f>
        <v>0</v>
      </c>
      <c r="R23" s="64">
        <f>'User Input'!R42*R$10</f>
        <v>0</v>
      </c>
      <c r="S23" s="64">
        <f>'User Input'!S42*S$10</f>
        <v>0</v>
      </c>
      <c r="T23" s="64">
        <f>'User Input'!T42*T$10</f>
        <v>0</v>
      </c>
      <c r="U23" s="64">
        <f>'User Input'!U42*U$10</f>
        <v>0</v>
      </c>
      <c r="V23" s="64">
        <f>'User Input'!V42*V$10</f>
        <v>0</v>
      </c>
      <c r="W23" s="64">
        <f>'User Input'!W42*W$10</f>
        <v>0</v>
      </c>
      <c r="X23" s="64">
        <f>'User Input'!X42*X$10</f>
        <v>0</v>
      </c>
      <c r="Y23" s="64">
        <f>'User Input'!Y42*Y$10</f>
        <v>0</v>
      </c>
      <c r="Z23" s="64">
        <f>'User Input'!Z42*Z$10</f>
        <v>0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5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5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5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5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5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5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5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5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5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0</v>
      </c>
      <c r="E33" s="65">
        <f>SUM(E14:E32)</f>
        <v>0</v>
      </c>
      <c r="F33" s="66">
        <f t="shared" ref="F33:Y33" si="6">SUM(F14:F32)</f>
        <v>0</v>
      </c>
      <c r="G33" s="66">
        <f t="shared" si="6"/>
        <v>0</v>
      </c>
      <c r="H33" s="66">
        <f t="shared" si="6"/>
        <v>0</v>
      </c>
      <c r="I33" s="66">
        <f t="shared" si="6"/>
        <v>0</v>
      </c>
      <c r="J33" s="66">
        <f>SUM(J14:J32)</f>
        <v>0</v>
      </c>
      <c r="K33" s="66">
        <f t="shared" si="6"/>
        <v>0</v>
      </c>
      <c r="L33" s="66">
        <f t="shared" si="6"/>
        <v>0</v>
      </c>
      <c r="M33" s="66">
        <f t="shared" si="6"/>
        <v>0</v>
      </c>
      <c r="N33" s="66">
        <f t="shared" si="6"/>
        <v>0</v>
      </c>
      <c r="O33" s="66">
        <f t="shared" si="6"/>
        <v>0</v>
      </c>
      <c r="P33" s="66">
        <f t="shared" si="6"/>
        <v>0</v>
      </c>
      <c r="Q33" s="66">
        <f t="shared" si="6"/>
        <v>0</v>
      </c>
      <c r="R33" s="66">
        <f t="shared" si="6"/>
        <v>0</v>
      </c>
      <c r="S33" s="66">
        <f t="shared" si="6"/>
        <v>0</v>
      </c>
      <c r="T33" s="66">
        <f t="shared" si="6"/>
        <v>0</v>
      </c>
      <c r="U33" s="66">
        <f t="shared" si="6"/>
        <v>0</v>
      </c>
      <c r="V33" s="66">
        <f t="shared" si="6"/>
        <v>0</v>
      </c>
      <c r="W33" s="66">
        <f t="shared" si="6"/>
        <v>0</v>
      </c>
      <c r="X33" s="66">
        <f t="shared" si="6"/>
        <v>0</v>
      </c>
      <c r="Y33" s="148">
        <f t="shared" si="6"/>
        <v>0</v>
      </c>
      <c r="Z33" s="148">
        <f t="shared" ref="Z33" si="7">SUM(Z14:Z32)</f>
        <v>0</v>
      </c>
    </row>
    <row r="34" spans="1:26" ht="13.5" thickBot="1" x14ac:dyDescent="0.25">
      <c r="B34" s="13"/>
      <c r="C34" s="54" t="s">
        <v>50</v>
      </c>
      <c r="D34" s="67">
        <f>SUM(E34:Y34)</f>
        <v>0</v>
      </c>
      <c r="E34" s="77">
        <f>+E33/E$9</f>
        <v>0</v>
      </c>
      <c r="F34" s="77">
        <f t="shared" ref="F34:Z34" si="8">+F33/F$9</f>
        <v>0</v>
      </c>
      <c r="G34" s="77">
        <f t="shared" si="8"/>
        <v>0</v>
      </c>
      <c r="H34" s="77">
        <f t="shared" si="8"/>
        <v>0</v>
      </c>
      <c r="I34" s="77">
        <f t="shared" si="8"/>
        <v>0</v>
      </c>
      <c r="J34" s="77">
        <f t="shared" si="8"/>
        <v>0</v>
      </c>
      <c r="K34" s="77">
        <f t="shared" si="8"/>
        <v>0</v>
      </c>
      <c r="L34" s="77">
        <f t="shared" si="8"/>
        <v>0</v>
      </c>
      <c r="M34" s="77">
        <f t="shared" si="8"/>
        <v>0</v>
      </c>
      <c r="N34" s="77">
        <f t="shared" si="8"/>
        <v>0</v>
      </c>
      <c r="O34" s="77">
        <f t="shared" si="8"/>
        <v>0</v>
      </c>
      <c r="P34" s="77">
        <f t="shared" si="8"/>
        <v>0</v>
      </c>
      <c r="Q34" s="77">
        <f t="shared" si="8"/>
        <v>0</v>
      </c>
      <c r="R34" s="77">
        <f t="shared" si="8"/>
        <v>0</v>
      </c>
      <c r="S34" s="77">
        <f t="shared" si="8"/>
        <v>0</v>
      </c>
      <c r="T34" s="77">
        <f t="shared" si="8"/>
        <v>0</v>
      </c>
      <c r="U34" s="77">
        <f t="shared" si="8"/>
        <v>0</v>
      </c>
      <c r="V34" s="77">
        <f t="shared" si="8"/>
        <v>0</v>
      </c>
      <c r="W34" s="77">
        <f t="shared" si="8"/>
        <v>0</v>
      </c>
      <c r="X34" s="77">
        <f t="shared" si="8"/>
        <v>0</v>
      </c>
      <c r="Y34" s="77">
        <f t="shared" si="8"/>
        <v>0</v>
      </c>
      <c r="Z34" s="77">
        <f t="shared" si="8"/>
        <v>0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Perform Manual Neutral Integrity where UE Meters are Removed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5152.3035401845664</v>
      </c>
      <c r="E38" s="64">
        <f>'User Input'!F16*E10</f>
        <v>0</v>
      </c>
      <c r="F38" s="64">
        <f>'User Input'!G16*F$10</f>
        <v>105.93363813840003</v>
      </c>
      <c r="G38" s="64">
        <f>'User Input'!H16*G$10</f>
        <v>118.78762579011348</v>
      </c>
      <c r="H38" s="64">
        <f>'User Input'!I16*H$10</f>
        <v>132.10047897866363</v>
      </c>
      <c r="I38" s="64">
        <f>'User Input'!J16*I$10</f>
        <v>145.8851639600872</v>
      </c>
      <c r="J38" s="64">
        <f>'User Input'!K16*J$10</f>
        <v>160.15497738252159</v>
      </c>
      <c r="K38" s="64">
        <f>'User Input'!L16*K$10</f>
        <v>174.92355422543838</v>
      </c>
      <c r="L38" s="64">
        <f>'User Input'!M16*L$10</f>
        <v>190.20487592257268</v>
      </c>
      <c r="M38" s="64">
        <f>'User Input'!N16*M$10</f>
        <v>206.01327867268751</v>
      </c>
      <c r="N38" s="64">
        <f>'User Input'!O16*N$10</f>
        <v>222.36346194240457</v>
      </c>
      <c r="O38" s="64">
        <f>'User Input'!P16*O$10</f>
        <v>239.27049716542538</v>
      </c>
      <c r="P38" s="64">
        <f>'User Input'!Q16*P$10</f>
        <v>256.74983664256274</v>
      </c>
      <c r="Q38" s="64">
        <f>'User Input'!R16*Q$10</f>
        <v>274.8173226470999</v>
      </c>
      <c r="R38" s="64">
        <f>'User Input'!S16*R$10</f>
        <v>293.48919674009426</v>
      </c>
      <c r="S38" s="64">
        <f>'User Input'!T16*S$10</f>
        <v>312.78210930034538</v>
      </c>
      <c r="T38" s="64">
        <f>'User Input'!U16*T$10</f>
        <v>332.71312927384912</v>
      </c>
      <c r="U38" s="64">
        <f>'User Input'!V16*U$10</f>
        <v>353.29975414766852</v>
      </c>
      <c r="V38" s="64">
        <f>'User Input'!W16*V$10</f>
        <v>374.55992015325859</v>
      </c>
      <c r="W38" s="64">
        <f>'User Input'!X16*W$10</f>
        <v>396.51201270439452</v>
      </c>
      <c r="X38" s="64">
        <f>'User Input'!Y16*X$10</f>
        <v>419.17487707496571</v>
      </c>
      <c r="Y38" s="64">
        <f>'User Input'!Z16*Y$10</f>
        <v>442.56782932201361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5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5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5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5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5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5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5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Neutral integrity Testing (NIT) reverted to Manual Testing 10 years after 1 December 2017 - Assume  start manual NIT in 2027.</v>
      </c>
      <c r="D47" s="67">
        <f t="shared" si="9"/>
        <v>18084.819774839965</v>
      </c>
      <c r="E47" s="695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125.72195421235949</v>
      </c>
      <c r="P47" s="64">
        <f>'User Input'!P71*P$10</f>
        <v>1537.3818735478935</v>
      </c>
      <c r="Q47" s="64">
        <f>'User Input'!Q71*Q$10</f>
        <v>1585.4436151495991</v>
      </c>
      <c r="R47" s="64">
        <f>'User Input'!R71*R$10</f>
        <v>1635.5881058320895</v>
      </c>
      <c r="S47" s="64">
        <f>'User Input'!S71*S$10</f>
        <v>1687.9893327433415</v>
      </c>
      <c r="T47" s="64">
        <f>'User Input'!T71*T$10</f>
        <v>1742.6399401424242</v>
      </c>
      <c r="U47" s="64">
        <f>'User Input'!U71*U$10</f>
        <v>1799.6236188532741</v>
      </c>
      <c r="V47" s="64">
        <f>'User Input'!V71*V$10</f>
        <v>1859.0267733767405</v>
      </c>
      <c r="W47" s="64">
        <f>'User Input'!W71*W$10</f>
        <v>1920.9386017565357</v>
      </c>
      <c r="X47" s="64">
        <f>'User Input'!X71*X$10</f>
        <v>1985.451177640485</v>
      </c>
      <c r="Y47" s="64">
        <f>'User Input'!Y71*Y$10</f>
        <v>2205.014781585222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Ping Real Time confirmation Customer Power is on/off - Avoided LV Truck Roll Outs = $20M over 10 years, Therefore $2M p.a. Therefore utilise % to work out cost e.g. 2017 implies 499 * 2000/ (650,000 + 499).</v>
      </c>
      <c r="D48" s="67">
        <f t="shared" si="9"/>
        <v>4696.5650428924864</v>
      </c>
      <c r="E48" s="695">
        <v>0</v>
      </c>
      <c r="F48" s="64">
        <f>'User Input'!F72*F$10</f>
        <v>20.529939071221921</v>
      </c>
      <c r="G48" s="64">
        <f>'User Input'!G72*G$10</f>
        <v>40.10702201677104</v>
      </c>
      <c r="H48" s="64">
        <f>'User Input'!H72*H$10</f>
        <v>60.314877027008173</v>
      </c>
      <c r="I48" s="64">
        <f>'User Input'!I72*I$10</f>
        <v>80.95504406215916</v>
      </c>
      <c r="J48" s="64">
        <f>'User Input'!J72*J$10</f>
        <v>102.02263132122667</v>
      </c>
      <c r="K48" s="64">
        <f>'User Input'!K72*K$10</f>
        <v>123.5424720104462</v>
      </c>
      <c r="L48" s="64">
        <f>'User Input'!L72*L$10</f>
        <v>145.52204285052858</v>
      </c>
      <c r="M48" s="64">
        <f>'User Input'!M72*M$10</f>
        <v>167.97317720687104</v>
      </c>
      <c r="N48" s="64">
        <f>'User Input'!N72*N$10</f>
        <v>190.9079102836543</v>
      </c>
      <c r="O48" s="64">
        <f>'User Input'!O72*O$10</f>
        <v>214.338485048552</v>
      </c>
      <c r="P48" s="64">
        <f>'User Input'!P72*P$10</f>
        <v>238.27735819459718</v>
      </c>
      <c r="Q48" s="64">
        <f>'User Input'!Q72*Q$10</f>
        <v>262.73720614443374</v>
      </c>
      <c r="R48" s="64">
        <f>'User Input'!R72*R$10</f>
        <v>287.73093110200676</v>
      </c>
      <c r="S48" s="64">
        <f>'User Input'!S72*S$10</f>
        <v>313.27166715658478</v>
      </c>
      <c r="T48" s="64">
        <f>'User Input'!T72*T$10</f>
        <v>339.37278644386515</v>
      </c>
      <c r="U48" s="64">
        <f>'User Input'!U72*U$10</f>
        <v>366.04790536878073</v>
      </c>
      <c r="V48" s="64">
        <f>'User Input'!V72*V$10</f>
        <v>393.31089089450955</v>
      </c>
      <c r="W48" s="64">
        <f>'User Input'!W72*W$10</f>
        <v>421.17586690208191</v>
      </c>
      <c r="X48" s="64">
        <f>'User Input'!X72*X$10</f>
        <v>449.65722062488811</v>
      </c>
      <c r="Y48" s="64">
        <f>'User Input'!Y72*Y$10</f>
        <v>478.76960916229939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5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5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5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5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5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5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5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5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27933.688357917017</v>
      </c>
      <c r="E57" s="68">
        <f>SUM(E38:E56)</f>
        <v>0</v>
      </c>
      <c r="F57" s="69">
        <f t="shared" ref="F57:Y57" si="10">SUM(F38:F56)</f>
        <v>126.46357720962195</v>
      </c>
      <c r="G57" s="69">
        <f t="shared" si="10"/>
        <v>158.89464780688451</v>
      </c>
      <c r="H57" s="69">
        <f t="shared" si="10"/>
        <v>192.41535600567181</v>
      </c>
      <c r="I57" s="69">
        <f t="shared" si="10"/>
        <v>226.84020802224637</v>
      </c>
      <c r="J57" s="69">
        <f t="shared" si="10"/>
        <v>262.17760870374826</v>
      </c>
      <c r="K57" s="69">
        <f t="shared" si="10"/>
        <v>298.46602623588456</v>
      </c>
      <c r="L57" s="69">
        <f t="shared" si="10"/>
        <v>335.72691877310126</v>
      </c>
      <c r="M57" s="69">
        <f t="shared" si="10"/>
        <v>373.98645587955855</v>
      </c>
      <c r="N57" s="69">
        <f t="shared" si="10"/>
        <v>413.27137222605887</v>
      </c>
      <c r="O57" s="69">
        <f t="shared" si="10"/>
        <v>579.33093642633685</v>
      </c>
      <c r="P57" s="69">
        <f t="shared" si="10"/>
        <v>2032.4090683850534</v>
      </c>
      <c r="Q57" s="69">
        <f t="shared" si="10"/>
        <v>2122.9981439411326</v>
      </c>
      <c r="R57" s="69">
        <f t="shared" si="10"/>
        <v>2216.8082336741904</v>
      </c>
      <c r="S57" s="69">
        <f t="shared" si="10"/>
        <v>2314.0431092002718</v>
      </c>
      <c r="T57" s="69">
        <f t="shared" si="10"/>
        <v>2414.7258558601384</v>
      </c>
      <c r="U57" s="69">
        <f t="shared" si="10"/>
        <v>2518.9712783697237</v>
      </c>
      <c r="V57" s="69">
        <f t="shared" si="10"/>
        <v>2626.8975844245088</v>
      </c>
      <c r="W57" s="69">
        <f t="shared" si="10"/>
        <v>2738.6264813630123</v>
      </c>
      <c r="X57" s="69">
        <f t="shared" si="10"/>
        <v>2854.2832753403386</v>
      </c>
      <c r="Y57" s="150">
        <f t="shared" si="10"/>
        <v>3126.3522200695347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7290.9320694888493</v>
      </c>
      <c r="E58" s="77">
        <f>+E57/E$9</f>
        <v>0</v>
      </c>
      <c r="F58" s="77">
        <f t="shared" ref="F58:Z58" si="12">+F57/F$9</f>
        <v>98.545423705727302</v>
      </c>
      <c r="G58" s="77">
        <f t="shared" si="12"/>
        <v>113.93852697046061</v>
      </c>
      <c r="H58" s="77">
        <f t="shared" si="12"/>
        <v>126.9671564689813</v>
      </c>
      <c r="I58" s="77">
        <f t="shared" si="12"/>
        <v>137.74062032075634</v>
      </c>
      <c r="J58" s="77">
        <f t="shared" si="12"/>
        <v>146.49672925488409</v>
      </c>
      <c r="K58" s="77">
        <f t="shared" si="12"/>
        <v>153.46790584243061</v>
      </c>
      <c r="L58" s="77">
        <f t="shared" si="12"/>
        <v>158.85436800096474</v>
      </c>
      <c r="M58" s="77">
        <f t="shared" si="12"/>
        <v>162.83929132699723</v>
      </c>
      <c r="N58" s="77">
        <f t="shared" si="12"/>
        <v>165.58804723870102</v>
      </c>
      <c r="O58" s="77">
        <f t="shared" si="12"/>
        <v>213.6046564600002</v>
      </c>
      <c r="P58" s="77">
        <f t="shared" si="12"/>
        <v>689.58126254200397</v>
      </c>
      <c r="Q58" s="77">
        <f t="shared" si="12"/>
        <v>662.84849664620492</v>
      </c>
      <c r="R58" s="77">
        <f t="shared" si="12"/>
        <v>636.91740931386084</v>
      </c>
      <c r="S58" s="77">
        <f t="shared" si="12"/>
        <v>611.8102833485467</v>
      </c>
      <c r="T58" s="77">
        <f t="shared" si="12"/>
        <v>587.4940768015374</v>
      </c>
      <c r="U58" s="77">
        <f t="shared" si="12"/>
        <v>563.96117739939848</v>
      </c>
      <c r="V58" s="77">
        <f t="shared" si="12"/>
        <v>541.20209240682004</v>
      </c>
      <c r="W58" s="77">
        <f t="shared" si="12"/>
        <v>519.20571247743226</v>
      </c>
      <c r="X58" s="77">
        <f t="shared" si="12"/>
        <v>497.95954851374972</v>
      </c>
      <c r="Y58" s="77">
        <f t="shared" si="12"/>
        <v>501.90928444939283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>Option 2: Replace / Install Network Devices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5510.9095932312866</v>
      </c>
      <c r="E62" s="64">
        <f>'User Input'!F17*E10</f>
        <v>470.14769407230017</v>
      </c>
      <c r="F62" s="64">
        <f>'User Input'!G17*F$10</f>
        <v>1621.5979205869107</v>
      </c>
      <c r="G62" s="64">
        <f>'User Input'!H17*G$10</f>
        <v>1679.6715902770402</v>
      </c>
      <c r="H62" s="64">
        <f>'User Input'!I17*H$10</f>
        <v>1739.4923882950352</v>
      </c>
      <c r="I62" s="64">
        <f>'User Input'!J17*I$10</f>
        <v>0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5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5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5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5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5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5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5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Cost 1</v>
      </c>
      <c r="D71" s="67">
        <f t="shared" si="13"/>
        <v>0</v>
      </c>
      <c r="E71" s="695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5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5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5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5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5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5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5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5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5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5510.9095932312866</v>
      </c>
      <c r="E81" s="68">
        <f>SUM(E62:E80)</f>
        <v>470.14769407230017</v>
      </c>
      <c r="F81" s="69">
        <f t="shared" ref="F81:Y81" si="14">SUM(F62:F80)</f>
        <v>1621.5979205869107</v>
      </c>
      <c r="G81" s="69">
        <f t="shared" si="14"/>
        <v>1679.6715902770402</v>
      </c>
      <c r="H81" s="69">
        <f t="shared" si="14"/>
        <v>1739.4923882950352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4013.9967431493333</v>
      </c>
      <c r="E82" s="77">
        <f>+E81/E$9</f>
        <v>398.12089915345371</v>
      </c>
      <c r="F82" s="77">
        <f t="shared" ref="F82" si="16">+F81/F$9</f>
        <v>1263.6132686621886</v>
      </c>
      <c r="G82" s="77">
        <f t="shared" ref="G82" si="17">+G81/G$9</f>
        <v>1204.4414927234889</v>
      </c>
      <c r="H82" s="77">
        <f t="shared" ref="H82" si="18">+H81/H$9</f>
        <v>1147.8210826102022</v>
      </c>
      <c r="I82" s="77">
        <f t="shared" ref="I82" si="19">+I81/I$9</f>
        <v>0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>Option 3: Replace / Install 80% Network Devices, Purchase the Remaining 20% of the AMI data and Control Functionality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9588.6176752320516</v>
      </c>
      <c r="E86" s="64">
        <f>'User Input'!F18*E10</f>
        <v>3265.0921231200005</v>
      </c>
      <c r="F86" s="64">
        <f>'User Input'!G18*F$10</f>
        <v>2507.4492147359283</v>
      </c>
      <c r="G86" s="64">
        <f>'User Input'!H18*G$10</f>
        <v>1402.7738718305218</v>
      </c>
      <c r="H86" s="64">
        <f>'User Input'!I18*H$10</f>
        <v>1454.2061060901221</v>
      </c>
      <c r="I86" s="64">
        <f>'User Input'!J18*I$10</f>
        <v>29.177032792017439</v>
      </c>
      <c r="J86" s="64">
        <f>'User Input'!K18*J$10</f>
        <v>32.030995476504316</v>
      </c>
      <c r="K86" s="64">
        <f>'User Input'!L18*K$10</f>
        <v>34.984710845087676</v>
      </c>
      <c r="L86" s="64">
        <f>'User Input'!M18*L$10</f>
        <v>38.040975184514537</v>
      </c>
      <c r="M86" s="64">
        <f>'User Input'!N18*M$10</f>
        <v>41.202655734537501</v>
      </c>
      <c r="N86" s="64">
        <f>'User Input'!O18*N$10</f>
        <v>44.472692388480908</v>
      </c>
      <c r="O86" s="64">
        <f>'User Input'!P18*O$10</f>
        <v>47.854099433085075</v>
      </c>
      <c r="P86" s="64">
        <f>'User Input'!Q18*P$10</f>
        <v>51.349967328512555</v>
      </c>
      <c r="Q86" s="64">
        <f>'User Input'!R18*Q$10</f>
        <v>54.96346452941998</v>
      </c>
      <c r="R86" s="64">
        <f>'User Input'!S18*R$10</f>
        <v>58.697839348018853</v>
      </c>
      <c r="S86" s="64">
        <f>'User Input'!T18*S$10</f>
        <v>62.556421860069072</v>
      </c>
      <c r="T86" s="64">
        <f>'User Input'!U18*T$10</f>
        <v>66.542625854769824</v>
      </c>
      <c r="U86" s="64">
        <f>'User Input'!V18*U$10</f>
        <v>70.659950829533699</v>
      </c>
      <c r="V86" s="64">
        <f>'User Input'!W18*V$10</f>
        <v>74.911984030651723</v>
      </c>
      <c r="W86" s="64">
        <f>'User Input'!X18*W$10</f>
        <v>79.302402540878916</v>
      </c>
      <c r="X86" s="64">
        <f>'User Input'!Y18*X$10</f>
        <v>83.834975414993139</v>
      </c>
      <c r="Y86" s="64">
        <f>'User Input'!Z18*Y$10</f>
        <v>88.513565864402722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5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5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5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5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5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5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5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Need to Neutral Inegrity Test 1/5 of the services where data is 
acquired from non-UE  Meter Data Provider</v>
      </c>
      <c r="D95" s="67">
        <f t="shared" si="37"/>
        <v>3616.9639549679928</v>
      </c>
      <c r="E95" s="695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25.1443908424719</v>
      </c>
      <c r="P95" s="64">
        <f>'User Input'!P129*P$10</f>
        <v>307.47637470957875</v>
      </c>
      <c r="Q95" s="64">
        <f>'User Input'!Q129*Q$10</f>
        <v>317.08872302991978</v>
      </c>
      <c r="R95" s="64">
        <f>'User Input'!R129*R$10</f>
        <v>327.1176211664179</v>
      </c>
      <c r="S95" s="64">
        <f>'User Input'!S129*S$10</f>
        <v>337.59786654866832</v>
      </c>
      <c r="T95" s="64">
        <f>'User Input'!T129*T$10</f>
        <v>348.52798802848486</v>
      </c>
      <c r="U95" s="64">
        <f>'User Input'!U129*U$10</f>
        <v>359.92472377065479</v>
      </c>
      <c r="V95" s="64">
        <f>'User Input'!V129*V$10</f>
        <v>371.80535467534804</v>
      </c>
      <c r="W95" s="64">
        <f>'User Input'!W129*W$10</f>
        <v>384.18772035130712</v>
      </c>
      <c r="X95" s="64">
        <f>'User Input'!X129*X$10</f>
        <v>397.09023552809703</v>
      </c>
      <c r="Y95" s="64">
        <f>'User Input'!Y129*Y$10</f>
        <v>441.00295631704449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5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5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5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5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5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5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5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5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5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13205.581630200044</v>
      </c>
      <c r="E105" s="68">
        <f>SUM(E86:E104)</f>
        <v>3265.0921231200005</v>
      </c>
      <c r="F105" s="69">
        <f t="shared" ref="F105:Y105" si="38">SUM(F86:F104)</f>
        <v>2507.4492147359283</v>
      </c>
      <c r="G105" s="69">
        <f t="shared" si="38"/>
        <v>1402.7738718305218</v>
      </c>
      <c r="H105" s="69">
        <f t="shared" si="38"/>
        <v>1454.2061060901221</v>
      </c>
      <c r="I105" s="69">
        <f t="shared" si="38"/>
        <v>29.177032792017439</v>
      </c>
      <c r="J105" s="69">
        <f t="shared" si="38"/>
        <v>32.030995476504316</v>
      </c>
      <c r="K105" s="69">
        <f t="shared" si="38"/>
        <v>34.984710845087676</v>
      </c>
      <c r="L105" s="69">
        <f t="shared" si="38"/>
        <v>38.040975184514537</v>
      </c>
      <c r="M105" s="69">
        <f t="shared" si="38"/>
        <v>41.202655734537501</v>
      </c>
      <c r="N105" s="69">
        <f t="shared" si="38"/>
        <v>44.472692388480908</v>
      </c>
      <c r="O105" s="69">
        <f t="shared" si="38"/>
        <v>72.998490275556975</v>
      </c>
      <c r="P105" s="69">
        <f t="shared" si="38"/>
        <v>358.8263420380913</v>
      </c>
      <c r="Q105" s="69">
        <f t="shared" si="38"/>
        <v>372.05218755933976</v>
      </c>
      <c r="R105" s="69">
        <f t="shared" si="38"/>
        <v>385.81546051443678</v>
      </c>
      <c r="S105" s="69">
        <f t="shared" si="38"/>
        <v>400.15428840873739</v>
      </c>
      <c r="T105" s="69">
        <f t="shared" si="38"/>
        <v>415.07061388325468</v>
      </c>
      <c r="U105" s="69">
        <f t="shared" si="38"/>
        <v>430.58467460018846</v>
      </c>
      <c r="V105" s="69">
        <f t="shared" si="38"/>
        <v>446.71733870599974</v>
      </c>
      <c r="W105" s="69">
        <f t="shared" si="38"/>
        <v>463.49012289218604</v>
      </c>
      <c r="X105" s="69">
        <f t="shared" si="38"/>
        <v>480.92521094309018</v>
      </c>
      <c r="Y105" s="150">
        <f t="shared" si="38"/>
        <v>529.51652218144727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7819.2799022999197</v>
      </c>
      <c r="E106" s="77">
        <f t="shared" ref="E106:Z106" si="40">+E105/E$9</f>
        <v>2764.8788418294198</v>
      </c>
      <c r="F106" s="77">
        <f t="shared" si="40"/>
        <v>1953.9036514613545</v>
      </c>
      <c r="G106" s="77">
        <f t="shared" si="40"/>
        <v>1005.8865470614948</v>
      </c>
      <c r="H106" s="77">
        <f t="shared" si="40"/>
        <v>959.57213625221289</v>
      </c>
      <c r="I106" s="77">
        <f t="shared" si="40"/>
        <v>17.716711825169014</v>
      </c>
      <c r="J106" s="77">
        <f t="shared" si="40"/>
        <v>17.897928413055904</v>
      </c>
      <c r="K106" s="77">
        <f t="shared" si="40"/>
        <v>17.988748594305029</v>
      </c>
      <c r="L106" s="77">
        <f t="shared" si="40"/>
        <v>17.999673940833272</v>
      </c>
      <c r="M106" s="77">
        <f t="shared" si="40"/>
        <v>17.940251993411962</v>
      </c>
      <c r="N106" s="77">
        <f t="shared" si="40"/>
        <v>17.819154151398173</v>
      </c>
      <c r="O106" s="77">
        <f t="shared" si="40"/>
        <v>26.915216255487632</v>
      </c>
      <c r="P106" s="77">
        <f t="shared" si="40"/>
        <v>121.74710584841615</v>
      </c>
      <c r="Q106" s="77">
        <f t="shared" si="40"/>
        <v>116.16318831999808</v>
      </c>
      <c r="R106" s="77">
        <f t="shared" si="40"/>
        <v>110.84972522715969</v>
      </c>
      <c r="S106" s="77">
        <f t="shared" si="40"/>
        <v>105.79686592748673</v>
      </c>
      <c r="T106" s="77">
        <f t="shared" si="40"/>
        <v>100.98518078936496</v>
      </c>
      <c r="U106" s="77">
        <f t="shared" si="40"/>
        <v>96.401670849863976</v>
      </c>
      <c r="V106" s="77">
        <f t="shared" si="40"/>
        <v>92.034177447788878</v>
      </c>
      <c r="W106" s="77">
        <f t="shared" si="40"/>
        <v>87.871318385382878</v>
      </c>
      <c r="X106" s="77">
        <f t="shared" si="40"/>
        <v>83.902429369609706</v>
      </c>
      <c r="Y106" s="77">
        <f t="shared" si="40"/>
        <v>85.009378356706762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5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5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5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5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5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5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5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Cost 1</v>
      </c>
      <c r="D119" s="67">
        <f t="shared" si="41"/>
        <v>0</v>
      </c>
      <c r="E119" s="695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5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5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5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5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5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5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5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5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5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5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5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5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5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5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5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5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Cost 1</v>
      </c>
      <c r="D143" s="67">
        <f t="shared" si="45"/>
        <v>0</v>
      </c>
      <c r="E143" s="695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5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5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5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5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5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5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5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5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5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0</v>
      </c>
      <c r="G161" s="81">
        <f t="shared" si="49"/>
        <v>0</v>
      </c>
      <c r="H161" s="81">
        <f t="shared" si="49"/>
        <v>0</v>
      </c>
      <c r="I161" s="81">
        <f t="shared" si="49"/>
        <v>0</v>
      </c>
      <c r="J161" s="81">
        <f t="shared" si="49"/>
        <v>0</v>
      </c>
      <c r="K161" s="81">
        <f t="shared" si="49"/>
        <v>0</v>
      </c>
      <c r="L161" s="81">
        <f t="shared" si="49"/>
        <v>0</v>
      </c>
      <c r="M161" s="81">
        <f t="shared" si="49"/>
        <v>0</v>
      </c>
      <c r="N161" s="81">
        <f t="shared" si="49"/>
        <v>0</v>
      </c>
      <c r="O161" s="81">
        <f t="shared" ref="O161:Y161" si="50">O33</f>
        <v>0</v>
      </c>
      <c r="P161" s="81">
        <f t="shared" si="50"/>
        <v>0</v>
      </c>
      <c r="Q161" s="81">
        <f t="shared" si="50"/>
        <v>0</v>
      </c>
      <c r="R161" s="81">
        <f t="shared" si="50"/>
        <v>0</v>
      </c>
      <c r="S161" s="81">
        <f t="shared" si="50"/>
        <v>0</v>
      </c>
      <c r="T161" s="81">
        <f t="shared" si="50"/>
        <v>0</v>
      </c>
      <c r="U161" s="81">
        <f t="shared" si="50"/>
        <v>0</v>
      </c>
      <c r="V161" s="81">
        <f t="shared" si="50"/>
        <v>0</v>
      </c>
      <c r="W161" s="81">
        <f t="shared" si="50"/>
        <v>0</v>
      </c>
      <c r="X161" s="81">
        <f t="shared" si="50"/>
        <v>0</v>
      </c>
      <c r="Y161" s="81">
        <f t="shared" si="50"/>
        <v>0</v>
      </c>
      <c r="Z161" s="81">
        <f t="shared" ref="Z161" si="51">Z33</f>
        <v>0</v>
      </c>
    </row>
    <row r="162" spans="1:26" s="3" customFormat="1" x14ac:dyDescent="0.2">
      <c r="A162" s="130">
        <v>2</v>
      </c>
      <c r="B162" s="13"/>
      <c r="C162" s="80" t="str">
        <f>B36</f>
        <v>Option 1: Perform Manual Neutral Integrity where UE Meters are Removed</v>
      </c>
      <c r="D162" s="2"/>
      <c r="E162" s="84">
        <f>E57</f>
        <v>0</v>
      </c>
      <c r="F162" s="84">
        <f t="shared" ref="F162:N162" si="52">F57</f>
        <v>126.46357720962195</v>
      </c>
      <c r="G162" s="84">
        <f t="shared" si="52"/>
        <v>158.89464780688451</v>
      </c>
      <c r="H162" s="84">
        <f t="shared" si="52"/>
        <v>192.41535600567181</v>
      </c>
      <c r="I162" s="84">
        <f t="shared" si="52"/>
        <v>226.84020802224637</v>
      </c>
      <c r="J162" s="84">
        <f t="shared" si="52"/>
        <v>262.17760870374826</v>
      </c>
      <c r="K162" s="84">
        <f t="shared" si="52"/>
        <v>298.46602623588456</v>
      </c>
      <c r="L162" s="84">
        <f t="shared" si="52"/>
        <v>335.72691877310126</v>
      </c>
      <c r="M162" s="84">
        <f t="shared" si="52"/>
        <v>373.98645587955855</v>
      </c>
      <c r="N162" s="84">
        <f t="shared" si="52"/>
        <v>413.27137222605887</v>
      </c>
      <c r="O162" s="84">
        <f t="shared" ref="O162:Y162" si="53">O57</f>
        <v>579.33093642633685</v>
      </c>
      <c r="P162" s="84">
        <f t="shared" si="53"/>
        <v>2032.4090683850534</v>
      </c>
      <c r="Q162" s="84">
        <f t="shared" si="53"/>
        <v>2122.9981439411326</v>
      </c>
      <c r="R162" s="84">
        <f t="shared" si="53"/>
        <v>2216.8082336741904</v>
      </c>
      <c r="S162" s="84">
        <f t="shared" si="53"/>
        <v>2314.0431092002718</v>
      </c>
      <c r="T162" s="84">
        <f t="shared" si="53"/>
        <v>2414.7258558601384</v>
      </c>
      <c r="U162" s="84">
        <f t="shared" si="53"/>
        <v>2518.9712783697237</v>
      </c>
      <c r="V162" s="84">
        <f t="shared" si="53"/>
        <v>2626.8975844245088</v>
      </c>
      <c r="W162" s="84">
        <f t="shared" si="53"/>
        <v>2738.6264813630123</v>
      </c>
      <c r="X162" s="84">
        <f t="shared" si="53"/>
        <v>2854.2832753403386</v>
      </c>
      <c r="Y162" s="84">
        <f t="shared" si="53"/>
        <v>3126.3522200695347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>Option 2: Replace / Install Network Devices</v>
      </c>
      <c r="D163" s="2"/>
      <c r="E163" s="84">
        <f>E81</f>
        <v>470.14769407230017</v>
      </c>
      <c r="F163" s="84">
        <f t="shared" ref="F163:N163" si="55">F81</f>
        <v>1621.5979205869107</v>
      </c>
      <c r="G163" s="84">
        <f t="shared" si="55"/>
        <v>1679.6715902770402</v>
      </c>
      <c r="H163" s="84">
        <f t="shared" si="55"/>
        <v>1739.4923882950352</v>
      </c>
      <c r="I163" s="84">
        <f t="shared" si="55"/>
        <v>0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>Option 3: Replace / Install 80% Network Devices, Purchase the Remaining 20% of the AMI data and Control Functionality</v>
      </c>
      <c r="D164" s="2"/>
      <c r="E164" s="84">
        <f>E105</f>
        <v>3265.0921231200005</v>
      </c>
      <c r="F164" s="84">
        <f t="shared" ref="F164:Y164" si="58">F105</f>
        <v>2507.4492147359283</v>
      </c>
      <c r="G164" s="84">
        <f t="shared" si="58"/>
        <v>1402.7738718305218</v>
      </c>
      <c r="H164" s="84">
        <f t="shared" si="58"/>
        <v>1454.2061060901221</v>
      </c>
      <c r="I164" s="84">
        <f t="shared" si="58"/>
        <v>29.177032792017439</v>
      </c>
      <c r="J164" s="84">
        <f t="shared" si="58"/>
        <v>32.030995476504316</v>
      </c>
      <c r="K164" s="84">
        <f t="shared" si="58"/>
        <v>34.984710845087676</v>
      </c>
      <c r="L164" s="84">
        <f t="shared" si="58"/>
        <v>38.040975184514537</v>
      </c>
      <c r="M164" s="84">
        <f t="shared" si="58"/>
        <v>41.202655734537501</v>
      </c>
      <c r="N164" s="84">
        <f t="shared" si="58"/>
        <v>44.472692388480908</v>
      </c>
      <c r="O164" s="84">
        <f t="shared" si="58"/>
        <v>72.998490275556975</v>
      </c>
      <c r="P164" s="84">
        <f t="shared" si="58"/>
        <v>358.8263420380913</v>
      </c>
      <c r="Q164" s="84">
        <f t="shared" si="58"/>
        <v>372.05218755933976</v>
      </c>
      <c r="R164" s="84">
        <f t="shared" si="58"/>
        <v>385.81546051443678</v>
      </c>
      <c r="S164" s="84">
        <f t="shared" si="58"/>
        <v>400.15428840873739</v>
      </c>
      <c r="T164" s="84">
        <f t="shared" si="58"/>
        <v>415.07061388325468</v>
      </c>
      <c r="U164" s="84">
        <f t="shared" si="58"/>
        <v>430.58467460018846</v>
      </c>
      <c r="V164" s="84">
        <f t="shared" si="58"/>
        <v>446.71733870599974</v>
      </c>
      <c r="W164" s="84">
        <f t="shared" si="58"/>
        <v>463.49012289218604</v>
      </c>
      <c r="X164" s="84">
        <f t="shared" si="58"/>
        <v>480.92521094309018</v>
      </c>
      <c r="Y164" s="84">
        <f t="shared" si="58"/>
        <v>529.51652218144727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0</v>
      </c>
      <c r="G170" s="81">
        <f>G34</f>
        <v>0</v>
      </c>
      <c r="H170" s="81">
        <f>H34</f>
        <v>0</v>
      </c>
      <c r="I170" s="81">
        <f>I34</f>
        <v>0</v>
      </c>
      <c r="J170" s="81">
        <f t="shared" ref="J170:Y170" si="64">J34</f>
        <v>0</v>
      </c>
      <c r="K170" s="81">
        <f t="shared" si="64"/>
        <v>0</v>
      </c>
      <c r="L170" s="81">
        <f t="shared" si="64"/>
        <v>0</v>
      </c>
      <c r="M170" s="81">
        <f t="shared" si="64"/>
        <v>0</v>
      </c>
      <c r="N170" s="81">
        <f t="shared" si="64"/>
        <v>0</v>
      </c>
      <c r="O170" s="81">
        <f t="shared" si="64"/>
        <v>0</v>
      </c>
      <c r="P170" s="81">
        <f t="shared" si="64"/>
        <v>0</v>
      </c>
      <c r="Q170" s="81">
        <f t="shared" si="64"/>
        <v>0</v>
      </c>
      <c r="R170" s="81">
        <f t="shared" si="64"/>
        <v>0</v>
      </c>
      <c r="S170" s="81">
        <f t="shared" si="64"/>
        <v>0</v>
      </c>
      <c r="T170" s="81">
        <f t="shared" si="64"/>
        <v>0</v>
      </c>
      <c r="U170" s="81">
        <f t="shared" si="64"/>
        <v>0</v>
      </c>
      <c r="V170" s="81">
        <f t="shared" si="64"/>
        <v>0</v>
      </c>
      <c r="W170" s="81">
        <f t="shared" si="64"/>
        <v>0</v>
      </c>
      <c r="X170" s="81">
        <f t="shared" si="64"/>
        <v>0</v>
      </c>
      <c r="Y170" s="81">
        <f t="shared" si="64"/>
        <v>0</v>
      </c>
      <c r="Z170" s="81">
        <f t="shared" ref="Z170" si="65">Z34</f>
        <v>0</v>
      </c>
    </row>
    <row r="171" spans="1:26" s="3" customFormat="1" x14ac:dyDescent="0.2">
      <c r="A171" s="130">
        <v>2</v>
      </c>
      <c r="B171" s="13"/>
      <c r="C171" s="80" t="str">
        <f>B36</f>
        <v>Option 1: Perform Manual Neutral Integrity where UE Meters are Removed</v>
      </c>
      <c r="D171" s="2"/>
      <c r="E171" s="81">
        <f>E58</f>
        <v>0</v>
      </c>
      <c r="F171" s="81">
        <f>F58</f>
        <v>98.545423705727302</v>
      </c>
      <c r="G171" s="81">
        <f>G58</f>
        <v>113.93852697046061</v>
      </c>
      <c r="H171" s="81">
        <f>H58</f>
        <v>126.9671564689813</v>
      </c>
      <c r="I171" s="81">
        <f>I58</f>
        <v>137.74062032075634</v>
      </c>
      <c r="J171" s="81">
        <f t="shared" ref="J171:Y171" si="66">J58</f>
        <v>146.49672925488409</v>
      </c>
      <c r="K171" s="81">
        <f t="shared" si="66"/>
        <v>153.46790584243061</v>
      </c>
      <c r="L171" s="81">
        <f t="shared" si="66"/>
        <v>158.85436800096474</v>
      </c>
      <c r="M171" s="81">
        <f t="shared" si="66"/>
        <v>162.83929132699723</v>
      </c>
      <c r="N171" s="81">
        <f t="shared" si="66"/>
        <v>165.58804723870102</v>
      </c>
      <c r="O171" s="81">
        <f t="shared" si="66"/>
        <v>213.6046564600002</v>
      </c>
      <c r="P171" s="81">
        <f t="shared" si="66"/>
        <v>689.58126254200397</v>
      </c>
      <c r="Q171" s="81">
        <f t="shared" si="66"/>
        <v>662.84849664620492</v>
      </c>
      <c r="R171" s="81">
        <f t="shared" si="66"/>
        <v>636.91740931386084</v>
      </c>
      <c r="S171" s="81">
        <f t="shared" si="66"/>
        <v>611.8102833485467</v>
      </c>
      <c r="T171" s="81">
        <f t="shared" si="66"/>
        <v>587.4940768015374</v>
      </c>
      <c r="U171" s="81">
        <f t="shared" si="66"/>
        <v>563.96117739939848</v>
      </c>
      <c r="V171" s="81">
        <f t="shared" si="66"/>
        <v>541.20209240682004</v>
      </c>
      <c r="W171" s="81">
        <f t="shared" si="66"/>
        <v>519.20571247743226</v>
      </c>
      <c r="X171" s="81">
        <f t="shared" si="66"/>
        <v>497.95954851374972</v>
      </c>
      <c r="Y171" s="81">
        <f t="shared" si="66"/>
        <v>501.90928444939283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>Option 2: Replace / Install Network Devices</v>
      </c>
      <c r="D172" s="2"/>
      <c r="E172" s="81">
        <f>E82</f>
        <v>398.12089915345371</v>
      </c>
      <c r="F172" s="81">
        <f>F82</f>
        <v>1263.6132686621886</v>
      </c>
      <c r="G172" s="81">
        <f>G82</f>
        <v>1204.4414927234889</v>
      </c>
      <c r="H172" s="81">
        <f>H82</f>
        <v>1147.8210826102022</v>
      </c>
      <c r="I172" s="81">
        <f>I82</f>
        <v>0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>Option 3: Replace / Install 80% Network Devices, Purchase the Remaining 20% of the AMI data and Control Functionality</v>
      </c>
      <c r="D173" s="2"/>
      <c r="E173" s="81">
        <f>E106</f>
        <v>2764.8788418294198</v>
      </c>
      <c r="F173" s="81">
        <f>F106</f>
        <v>1953.9036514613545</v>
      </c>
      <c r="G173" s="81">
        <f>G106</f>
        <v>1005.8865470614948</v>
      </c>
      <c r="H173" s="81">
        <f>H106</f>
        <v>959.57213625221289</v>
      </c>
      <c r="I173" s="81">
        <f>I106</f>
        <v>17.716711825169014</v>
      </c>
      <c r="J173" s="81">
        <f t="shared" ref="J173:Y173" si="70">J106</f>
        <v>17.897928413055904</v>
      </c>
      <c r="K173" s="81">
        <f t="shared" si="70"/>
        <v>17.988748594305029</v>
      </c>
      <c r="L173" s="81">
        <f t="shared" si="70"/>
        <v>17.999673940833272</v>
      </c>
      <c r="M173" s="81">
        <f t="shared" si="70"/>
        <v>17.940251993411962</v>
      </c>
      <c r="N173" s="81">
        <f t="shared" si="70"/>
        <v>17.819154151398173</v>
      </c>
      <c r="O173" s="81">
        <f t="shared" si="70"/>
        <v>26.915216255487632</v>
      </c>
      <c r="P173" s="81">
        <f t="shared" si="70"/>
        <v>121.74710584841615</v>
      </c>
      <c r="Q173" s="81">
        <f t="shared" si="70"/>
        <v>116.16318831999808</v>
      </c>
      <c r="R173" s="81">
        <f t="shared" si="70"/>
        <v>110.84972522715969</v>
      </c>
      <c r="S173" s="81">
        <f t="shared" si="70"/>
        <v>105.79686592748673</v>
      </c>
      <c r="T173" s="81">
        <f t="shared" si="70"/>
        <v>100.98518078936496</v>
      </c>
      <c r="U173" s="81">
        <f t="shared" si="70"/>
        <v>96.401670849863976</v>
      </c>
      <c r="V173" s="81">
        <f t="shared" si="70"/>
        <v>92.034177447788878</v>
      </c>
      <c r="W173" s="81">
        <f t="shared" si="70"/>
        <v>87.871318385382878</v>
      </c>
      <c r="X173" s="81">
        <f t="shared" si="70"/>
        <v>83.902429369609706</v>
      </c>
      <c r="Y173" s="81">
        <f t="shared" si="70"/>
        <v>85.009378356706762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Perform Manual Neutral Integrity where UE Meters are Removed</v>
      </c>
      <c r="D180" s="80"/>
      <c r="E180" s="302">
        <f>E38</f>
        <v>0</v>
      </c>
      <c r="F180" s="302">
        <f t="shared" ref="F180:Y180" si="78">F38</f>
        <v>105.93363813840003</v>
      </c>
      <c r="G180" s="302">
        <f t="shared" si="78"/>
        <v>118.78762579011348</v>
      </c>
      <c r="H180" s="302">
        <f t="shared" si="78"/>
        <v>132.10047897866363</v>
      </c>
      <c r="I180" s="302">
        <f t="shared" si="78"/>
        <v>145.8851639600872</v>
      </c>
      <c r="J180" s="302">
        <f t="shared" si="78"/>
        <v>160.15497738252159</v>
      </c>
      <c r="K180" s="302">
        <f t="shared" si="78"/>
        <v>174.92355422543838</v>
      </c>
      <c r="L180" s="302">
        <f t="shared" si="78"/>
        <v>190.20487592257268</v>
      </c>
      <c r="M180" s="302">
        <f t="shared" si="78"/>
        <v>206.01327867268751</v>
      </c>
      <c r="N180" s="302">
        <f t="shared" si="78"/>
        <v>222.36346194240457</v>
      </c>
      <c r="O180" s="302">
        <f t="shared" si="78"/>
        <v>239.27049716542538</v>
      </c>
      <c r="P180" s="302">
        <f t="shared" si="78"/>
        <v>256.74983664256274</v>
      </c>
      <c r="Q180" s="302">
        <f t="shared" si="78"/>
        <v>274.8173226470999</v>
      </c>
      <c r="R180" s="302">
        <f t="shared" si="78"/>
        <v>293.48919674009426</v>
      </c>
      <c r="S180" s="302">
        <f t="shared" si="78"/>
        <v>312.78210930034538</v>
      </c>
      <c r="T180" s="302">
        <f t="shared" si="78"/>
        <v>332.71312927384912</v>
      </c>
      <c r="U180" s="302">
        <f t="shared" si="78"/>
        <v>353.29975414766852</v>
      </c>
      <c r="V180" s="302">
        <f t="shared" si="78"/>
        <v>374.55992015325859</v>
      </c>
      <c r="W180" s="302">
        <f t="shared" si="78"/>
        <v>396.51201270439452</v>
      </c>
      <c r="X180" s="302">
        <f t="shared" si="78"/>
        <v>419.17487707496571</v>
      </c>
      <c r="Y180" s="302">
        <f t="shared" si="78"/>
        <v>442.56782932201361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>Option 2: Replace / Install Network Devices</v>
      </c>
      <c r="D181" s="80"/>
      <c r="E181" s="302">
        <f>E62</f>
        <v>470.14769407230017</v>
      </c>
      <c r="F181" s="302">
        <f t="shared" ref="F181:Y181" si="80">F62</f>
        <v>1621.5979205869107</v>
      </c>
      <c r="G181" s="302">
        <f t="shared" si="80"/>
        <v>1679.6715902770402</v>
      </c>
      <c r="H181" s="302">
        <f t="shared" si="80"/>
        <v>1739.4923882950352</v>
      </c>
      <c r="I181" s="302">
        <f t="shared" si="80"/>
        <v>0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>Option 3: Replace / Install 80% Network Devices, Purchase the Remaining 20% of the AMI data and Control Functionality</v>
      </c>
      <c r="D182" s="80"/>
      <c r="E182" s="302">
        <f>E86</f>
        <v>3265.0921231200005</v>
      </c>
      <c r="F182" s="302">
        <f t="shared" ref="F182:Y182" si="82">F86</f>
        <v>2507.4492147359283</v>
      </c>
      <c r="G182" s="302">
        <f t="shared" si="82"/>
        <v>1402.7738718305218</v>
      </c>
      <c r="H182" s="302">
        <f t="shared" si="82"/>
        <v>1454.2061060901221</v>
      </c>
      <c r="I182" s="302">
        <f t="shared" si="82"/>
        <v>29.177032792017439</v>
      </c>
      <c r="J182" s="302">
        <f t="shared" si="82"/>
        <v>32.030995476504316</v>
      </c>
      <c r="K182" s="302">
        <f t="shared" si="82"/>
        <v>34.984710845087676</v>
      </c>
      <c r="L182" s="302">
        <f t="shared" si="82"/>
        <v>38.040975184514537</v>
      </c>
      <c r="M182" s="302">
        <f t="shared" si="82"/>
        <v>41.202655734537501</v>
      </c>
      <c r="N182" s="302">
        <f t="shared" si="82"/>
        <v>44.472692388480908</v>
      </c>
      <c r="O182" s="302">
        <f t="shared" si="82"/>
        <v>47.854099433085075</v>
      </c>
      <c r="P182" s="302">
        <f t="shared" si="82"/>
        <v>51.349967328512555</v>
      </c>
      <c r="Q182" s="302">
        <f t="shared" si="82"/>
        <v>54.96346452941998</v>
      </c>
      <c r="R182" s="302">
        <f t="shared" si="82"/>
        <v>58.697839348018853</v>
      </c>
      <c r="S182" s="302">
        <f t="shared" si="82"/>
        <v>62.556421860069072</v>
      </c>
      <c r="T182" s="302">
        <f t="shared" si="82"/>
        <v>66.542625854769824</v>
      </c>
      <c r="U182" s="302">
        <f t="shared" si="82"/>
        <v>70.659950829533699</v>
      </c>
      <c r="V182" s="302">
        <f t="shared" si="82"/>
        <v>74.911984030651723</v>
      </c>
      <c r="W182" s="302">
        <f t="shared" si="82"/>
        <v>79.302402540878916</v>
      </c>
      <c r="X182" s="302">
        <f t="shared" si="82"/>
        <v>83.834975414993139</v>
      </c>
      <c r="Y182" s="302">
        <f t="shared" si="82"/>
        <v>88.513565864402722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2: Replace / Install Network Devices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0</v>
      </c>
      <c r="G188" s="145">
        <f t="shared" si="88"/>
        <v>0</v>
      </c>
      <c r="H188" s="145">
        <f t="shared" si="88"/>
        <v>0</v>
      </c>
      <c r="I188" s="145">
        <f t="shared" si="88"/>
        <v>0</v>
      </c>
      <c r="J188" s="145">
        <f t="shared" si="88"/>
        <v>0</v>
      </c>
      <c r="K188" s="145">
        <f t="shared" si="88"/>
        <v>0</v>
      </c>
      <c r="L188" s="145">
        <f t="shared" si="88"/>
        <v>0</v>
      </c>
      <c r="M188" s="145">
        <f t="shared" si="88"/>
        <v>0</v>
      </c>
      <c r="N188" s="145">
        <f t="shared" si="88"/>
        <v>0</v>
      </c>
      <c r="O188" s="145">
        <f t="shared" si="88"/>
        <v>0</v>
      </c>
      <c r="P188" s="145">
        <f t="shared" si="88"/>
        <v>0</v>
      </c>
      <c r="Q188" s="145">
        <f t="shared" si="88"/>
        <v>0</v>
      </c>
      <c r="R188" s="145">
        <f t="shared" si="88"/>
        <v>0</v>
      </c>
      <c r="S188" s="145">
        <f t="shared" si="88"/>
        <v>0</v>
      </c>
      <c r="T188" s="145">
        <f t="shared" si="88"/>
        <v>0</v>
      </c>
      <c r="U188" s="145">
        <f t="shared" si="88"/>
        <v>0</v>
      </c>
      <c r="V188" s="145">
        <f>-V161</f>
        <v>0</v>
      </c>
      <c r="W188" s="145">
        <f>-W161</f>
        <v>0</v>
      </c>
      <c r="X188" s="145">
        <f>-X161</f>
        <v>0</v>
      </c>
      <c r="Y188" s="145">
        <f>-Y161</f>
        <v>0</v>
      </c>
      <c r="Z188" s="145">
        <f t="shared" ref="Z188" si="89">-Z161</f>
        <v>0</v>
      </c>
    </row>
    <row r="189" spans="1:26" s="3" customFormat="1" x14ac:dyDescent="0.2">
      <c r="A189" s="2"/>
      <c r="B189" s="13"/>
      <c r="C189" s="80" t="str">
        <f>"Cashflow - "&amp;+D222</f>
        <v>Cashflow - Option 2: Replace / Install Network Devices</v>
      </c>
      <c r="D189" s="2"/>
      <c r="E189" s="145">
        <f>-E240-E242</f>
        <v>-470.14769407230017</v>
      </c>
      <c r="F189" s="145">
        <f>-F240+E240-F242</f>
        <v>-1621.5979205869107</v>
      </c>
      <c r="G189" s="145">
        <f t="shared" ref="G189:Y189" si="90">-G240+F240-G242</f>
        <v>-1679.6715902770402</v>
      </c>
      <c r="H189" s="145">
        <f t="shared" si="90"/>
        <v>-1739.4923882950357</v>
      </c>
      <c r="I189" s="145">
        <f t="shared" si="90"/>
        <v>0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-470.14769407230017</v>
      </c>
      <c r="F190" s="82">
        <f t="shared" si="92"/>
        <v>-1621.5979205869107</v>
      </c>
      <c r="G190" s="82">
        <f t="shared" si="92"/>
        <v>-1679.6715902770402</v>
      </c>
      <c r="H190" s="82">
        <f t="shared" si="92"/>
        <v>-1739.4923882950357</v>
      </c>
      <c r="I190" s="82">
        <f t="shared" si="92"/>
        <v>0</v>
      </c>
      <c r="J190" s="82">
        <f t="shared" si="92"/>
        <v>0</v>
      </c>
      <c r="K190" s="82">
        <f t="shared" si="92"/>
        <v>0</v>
      </c>
      <c r="L190" s="82">
        <f t="shared" si="92"/>
        <v>0</v>
      </c>
      <c r="M190" s="82">
        <f t="shared" si="92"/>
        <v>0</v>
      </c>
      <c r="N190" s="82">
        <f t="shared" si="92"/>
        <v>0</v>
      </c>
      <c r="O190" s="82">
        <f t="shared" si="92"/>
        <v>0</v>
      </c>
      <c r="P190" s="82">
        <f t="shared" si="92"/>
        <v>0</v>
      </c>
      <c r="Q190" s="82">
        <f t="shared" si="92"/>
        <v>0</v>
      </c>
      <c r="R190" s="82">
        <f t="shared" si="92"/>
        <v>0</v>
      </c>
      <c r="S190" s="82">
        <f t="shared" si="92"/>
        <v>0</v>
      </c>
      <c r="T190" s="82">
        <f t="shared" si="92"/>
        <v>0</v>
      </c>
      <c r="U190" s="82">
        <f t="shared" si="92"/>
        <v>0</v>
      </c>
      <c r="V190" s="82">
        <f t="shared" si="92"/>
        <v>0</v>
      </c>
      <c r="W190" s="82">
        <f t="shared" si="92"/>
        <v>0</v>
      </c>
      <c r="X190" s="82">
        <f t="shared" si="92"/>
        <v>0</v>
      </c>
      <c r="Y190" s="82">
        <f t="shared" si="92"/>
        <v>0</v>
      </c>
      <c r="Z190" s="82">
        <f t="shared" ref="Z190" si="93">Z189-Z188</f>
        <v>0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0</v>
      </c>
      <c r="G192" s="81">
        <f t="shared" si="94"/>
        <v>0</v>
      </c>
      <c r="H192" s="81">
        <f t="shared" si="94"/>
        <v>0</v>
      </c>
      <c r="I192" s="81">
        <f t="shared" si="94"/>
        <v>0</v>
      </c>
      <c r="J192" s="81">
        <f t="shared" si="94"/>
        <v>0</v>
      </c>
      <c r="K192" s="81">
        <f t="shared" si="94"/>
        <v>0</v>
      </c>
      <c r="L192" s="81">
        <f t="shared" ref="L192:Y192" si="95">-L170</f>
        <v>0</v>
      </c>
      <c r="M192" s="81">
        <f t="shared" si="95"/>
        <v>0</v>
      </c>
      <c r="N192" s="81">
        <f t="shared" si="95"/>
        <v>0</v>
      </c>
      <c r="O192" s="81">
        <f t="shared" si="95"/>
        <v>0</v>
      </c>
      <c r="P192" s="81">
        <f t="shared" si="95"/>
        <v>0</v>
      </c>
      <c r="Q192" s="81">
        <f t="shared" si="95"/>
        <v>0</v>
      </c>
      <c r="R192" s="81">
        <f t="shared" si="95"/>
        <v>0</v>
      </c>
      <c r="S192" s="81">
        <f t="shared" si="95"/>
        <v>0</v>
      </c>
      <c r="T192" s="81">
        <f t="shared" si="95"/>
        <v>0</v>
      </c>
      <c r="U192" s="81">
        <f t="shared" si="95"/>
        <v>0</v>
      </c>
      <c r="V192" s="81">
        <f t="shared" si="95"/>
        <v>0</v>
      </c>
      <c r="W192" s="81">
        <f t="shared" si="95"/>
        <v>0</v>
      </c>
      <c r="X192" s="81">
        <f t="shared" si="95"/>
        <v>0</v>
      </c>
      <c r="Y192" s="81">
        <f t="shared" si="95"/>
        <v>0</v>
      </c>
      <c r="Z192" s="81">
        <f t="shared" ref="Z192" si="96">-Z170</f>
        <v>0</v>
      </c>
    </row>
    <row r="193" spans="1:26" s="3" customFormat="1" x14ac:dyDescent="0.2">
      <c r="A193" s="2"/>
      <c r="B193" s="13"/>
      <c r="C193" s="80" t="str">
        <f>"PV - "&amp;+D222</f>
        <v>PV - Option 2: Replace / Install Network Devices</v>
      </c>
      <c r="D193" s="2"/>
      <c r="E193" s="81">
        <f t="shared" ref="E193:Y193" si="97">-E231</f>
        <v>-398.12089915345371</v>
      </c>
      <c r="F193" s="81">
        <f t="shared" si="97"/>
        <v>-1263.6132686621886</v>
      </c>
      <c r="G193" s="81">
        <f t="shared" si="97"/>
        <v>-1204.4414927234889</v>
      </c>
      <c r="H193" s="81">
        <f t="shared" si="97"/>
        <v>-1147.8210826102022</v>
      </c>
      <c r="I193" s="81">
        <f t="shared" si="97"/>
        <v>0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-398.12089915345371</v>
      </c>
      <c r="F194" s="82">
        <f t="shared" si="99"/>
        <v>-1263.6132686621886</v>
      </c>
      <c r="G194" s="82">
        <f t="shared" si="99"/>
        <v>-1204.4414927234889</v>
      </c>
      <c r="H194" s="82">
        <f t="shared" si="99"/>
        <v>-1147.8210826102022</v>
      </c>
      <c r="I194" s="82">
        <f t="shared" si="99"/>
        <v>0</v>
      </c>
      <c r="J194" s="82">
        <f t="shared" si="99"/>
        <v>0</v>
      </c>
      <c r="K194" s="82">
        <f t="shared" si="99"/>
        <v>0</v>
      </c>
      <c r="L194" s="82">
        <f t="shared" si="99"/>
        <v>0</v>
      </c>
      <c r="M194" s="82">
        <f t="shared" si="99"/>
        <v>0</v>
      </c>
      <c r="N194" s="82">
        <f t="shared" si="99"/>
        <v>0</v>
      </c>
      <c r="O194" s="82">
        <f t="shared" si="99"/>
        <v>0</v>
      </c>
      <c r="P194" s="82">
        <f t="shared" si="99"/>
        <v>0</v>
      </c>
      <c r="Q194" s="82">
        <f t="shared" si="99"/>
        <v>0</v>
      </c>
      <c r="R194" s="82">
        <f t="shared" si="99"/>
        <v>0</v>
      </c>
      <c r="S194" s="82">
        <f t="shared" si="99"/>
        <v>0</v>
      </c>
      <c r="T194" s="82">
        <f t="shared" si="99"/>
        <v>0</v>
      </c>
      <c r="U194" s="82">
        <f t="shared" si="99"/>
        <v>0</v>
      </c>
      <c r="V194" s="82">
        <f t="shared" si="99"/>
        <v>0</v>
      </c>
      <c r="W194" s="82">
        <f t="shared" si="99"/>
        <v>0</v>
      </c>
      <c r="X194" s="82">
        <f t="shared" si="99"/>
        <v>0</v>
      </c>
      <c r="Y194" s="82">
        <f t="shared" si="99"/>
        <v>0</v>
      </c>
      <c r="Z194" s="82">
        <f t="shared" ref="Z194" si="100">Z193-Z192</f>
        <v>0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-398.12089915345371</v>
      </c>
      <c r="F195" s="105">
        <f>E195+F194</f>
        <v>-1661.7341678156422</v>
      </c>
      <c r="G195" s="105">
        <f t="shared" ref="G195:Y195" si="101">F195+G194</f>
        <v>-2866.1756605391311</v>
      </c>
      <c r="H195" s="105">
        <f t="shared" si="101"/>
        <v>-4013.9967431493333</v>
      </c>
      <c r="I195" s="105">
        <f t="shared" si="101"/>
        <v>-4013.9967431493333</v>
      </c>
      <c r="J195" s="105">
        <f t="shared" si="101"/>
        <v>-4013.9967431493333</v>
      </c>
      <c r="K195" s="105">
        <f t="shared" si="101"/>
        <v>-4013.9967431493333</v>
      </c>
      <c r="L195" s="105">
        <f t="shared" si="101"/>
        <v>-4013.9967431493333</v>
      </c>
      <c r="M195" s="105">
        <f t="shared" si="101"/>
        <v>-4013.9967431493333</v>
      </c>
      <c r="N195" s="105">
        <f t="shared" si="101"/>
        <v>-4013.9967431493333</v>
      </c>
      <c r="O195" s="105">
        <f t="shared" si="101"/>
        <v>-4013.9967431493333</v>
      </c>
      <c r="P195" s="105">
        <f t="shared" si="101"/>
        <v>-4013.9967431493333</v>
      </c>
      <c r="Q195" s="105">
        <f t="shared" si="101"/>
        <v>-4013.9967431493333</v>
      </c>
      <c r="R195" s="105">
        <f t="shared" si="101"/>
        <v>-4013.9967431493333</v>
      </c>
      <c r="S195" s="105">
        <f t="shared" si="101"/>
        <v>-4013.9967431493333</v>
      </c>
      <c r="T195" s="105">
        <f t="shared" si="101"/>
        <v>-4013.9967431493333</v>
      </c>
      <c r="U195" s="105">
        <f t="shared" si="101"/>
        <v>-4013.9967431493333</v>
      </c>
      <c r="V195" s="105">
        <f t="shared" si="101"/>
        <v>-4013.9967431493333</v>
      </c>
      <c r="W195" s="105">
        <f t="shared" si="101"/>
        <v>-4013.9967431493333</v>
      </c>
      <c r="X195" s="105">
        <f t="shared" si="101"/>
        <v>-4013.9967431493333</v>
      </c>
      <c r="Y195" s="105">
        <f t="shared" si="101"/>
        <v>-4013.9967431493333</v>
      </c>
      <c r="Z195" s="105">
        <f t="shared" ref="Z195" si="102">Y195+Z194</f>
        <v>-4013.9967431493333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-4013.9967431493333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 t="e">
        <f>IRR(E190:Y190)</f>
        <v>#NUM!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21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153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Perform Manual Neutral Integrity where UE Meters are Removed</v>
      </c>
      <c r="F204" s="387" t="str">
        <f>B60</f>
        <v>Option 2: Replace / Install Network Devices</v>
      </c>
      <c r="G204" s="388" t="str">
        <f>B84</f>
        <v>Option 3: Replace / Install 80% Network Devices, Purchase the Remaining 20% of the AMI data and Control Functionality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5152.3035401845664</v>
      </c>
      <c r="F206" s="125">
        <f>D62</f>
        <v>5510.9095932312866</v>
      </c>
      <c r="G206" s="115">
        <f>D86</f>
        <v>9588.6176752320516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0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Cost 1</v>
      </c>
      <c r="D211" s="121">
        <f t="shared" si="103"/>
        <v>0</v>
      </c>
      <c r="E211" s="121">
        <f t="shared" si="104"/>
        <v>18084.819774839965</v>
      </c>
      <c r="F211" s="125">
        <f t="shared" si="105"/>
        <v>0</v>
      </c>
      <c r="G211" s="115">
        <f t="shared" si="106"/>
        <v>3616.9639549679928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4696.5650428924864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292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0</v>
      </c>
      <c r="E217" s="122">
        <f t="shared" si="109"/>
        <v>27933.688357917017</v>
      </c>
      <c r="F217" s="122">
        <f t="shared" si="109"/>
        <v>5510.9095932312866</v>
      </c>
      <c r="G217" s="122">
        <f t="shared" si="109"/>
        <v>13205.581630200044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 t="str">
        <f>IF(D217=0," ",D34)</f>
        <v xml:space="preserve"> </v>
      </c>
      <c r="E219" s="123">
        <f>IF(E217=0," ",D58)</f>
        <v>7290.9320694888493</v>
      </c>
      <c r="F219" s="128">
        <f>IF(F217=0," ",D82)</f>
        <v>4013.9967431493333</v>
      </c>
      <c r="G219" s="119">
        <f>IF(G217=0," ",D106)</f>
        <v>7819.2799022999197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4013.9967431493333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2: Replace / Install Network Devices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2017</v>
      </c>
      <c r="F228" s="80">
        <f t="shared" si="110"/>
        <v>2018</v>
      </c>
      <c r="G228" s="80">
        <f t="shared" si="110"/>
        <v>2019</v>
      </c>
      <c r="H228" s="80">
        <f t="shared" si="110"/>
        <v>2020</v>
      </c>
      <c r="I228" s="80">
        <f t="shared" si="110"/>
        <v>2021</v>
      </c>
      <c r="J228" s="80">
        <f t="shared" si="110"/>
        <v>2022</v>
      </c>
      <c r="K228" s="80">
        <f t="shared" si="110"/>
        <v>2023</v>
      </c>
      <c r="L228" s="80">
        <f t="shared" si="110"/>
        <v>2024</v>
      </c>
      <c r="M228" s="80">
        <f t="shared" si="110"/>
        <v>2025</v>
      </c>
      <c r="N228" s="80">
        <f t="shared" si="110"/>
        <v>2026</v>
      </c>
      <c r="O228" s="80">
        <f t="shared" si="110"/>
        <v>2027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0</v>
      </c>
      <c r="G229" s="145">
        <f t="shared" si="111"/>
        <v>0</v>
      </c>
      <c r="H229" s="145">
        <f t="shared" si="111"/>
        <v>0</v>
      </c>
      <c r="I229" s="145">
        <f t="shared" si="111"/>
        <v>0</v>
      </c>
      <c r="J229" s="145">
        <f t="shared" si="111"/>
        <v>0</v>
      </c>
      <c r="K229" s="145">
        <f t="shared" si="111"/>
        <v>0</v>
      </c>
      <c r="L229" s="145">
        <f t="shared" si="111"/>
        <v>0</v>
      </c>
      <c r="M229" s="145">
        <f t="shared" si="111"/>
        <v>0</v>
      </c>
      <c r="N229" s="145">
        <f t="shared" si="111"/>
        <v>0</v>
      </c>
      <c r="O229" s="145">
        <f t="shared" si="111"/>
        <v>0</v>
      </c>
      <c r="P229" s="145">
        <f t="shared" si="111"/>
        <v>0</v>
      </c>
      <c r="Q229" s="145">
        <f t="shared" si="111"/>
        <v>0</v>
      </c>
      <c r="R229" s="145">
        <f t="shared" si="111"/>
        <v>0</v>
      </c>
      <c r="S229" s="145">
        <f t="shared" si="111"/>
        <v>0</v>
      </c>
      <c r="T229" s="145">
        <f t="shared" si="111"/>
        <v>0</v>
      </c>
      <c r="U229" s="145">
        <f t="shared" si="111"/>
        <v>0</v>
      </c>
      <c r="V229" s="145">
        <f t="shared" si="111"/>
        <v>0</v>
      </c>
      <c r="W229" s="145">
        <f t="shared" si="111"/>
        <v>0</v>
      </c>
      <c r="X229" s="145">
        <f t="shared" si="111"/>
        <v>0</v>
      </c>
      <c r="Y229" s="145">
        <f t="shared" si="111"/>
        <v>0</v>
      </c>
      <c r="Z229" s="145">
        <f t="shared" ref="Z229" si="112">Z237</f>
        <v>0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2: Replace / Install Network Devices annual costs</v>
      </c>
      <c r="E230" s="145">
        <f>E243</f>
        <v>40.761805076068427</v>
      </c>
      <c r="F230" s="145">
        <f t="shared" ref="F230:Y230" si="113">F243</f>
        <v>181.35434479095358</v>
      </c>
      <c r="G230" s="145">
        <f t="shared" si="113"/>
        <v>326.98187166797294</v>
      </c>
      <c r="H230" s="145">
        <f t="shared" si="113"/>
        <v>477.79586173315255</v>
      </c>
      <c r="I230" s="145">
        <f t="shared" si="113"/>
        <v>477.79586173315255</v>
      </c>
      <c r="J230" s="145">
        <f t="shared" si="113"/>
        <v>477.79586173315255</v>
      </c>
      <c r="K230" s="145">
        <f t="shared" si="113"/>
        <v>477.79586173315255</v>
      </c>
      <c r="L230" s="145">
        <f t="shared" si="113"/>
        <v>477.79586173315255</v>
      </c>
      <c r="M230" s="145">
        <f t="shared" si="113"/>
        <v>477.79586173315255</v>
      </c>
      <c r="N230" s="145">
        <f t="shared" si="113"/>
        <v>477.79586173315255</v>
      </c>
      <c r="O230" s="145">
        <f t="shared" si="113"/>
        <v>477.79586173315255</v>
      </c>
      <c r="P230" s="145">
        <f t="shared" si="113"/>
        <v>477.79586173315255</v>
      </c>
      <c r="Q230" s="145">
        <f t="shared" si="113"/>
        <v>477.79586173315255</v>
      </c>
      <c r="R230" s="145">
        <f t="shared" si="113"/>
        <v>477.79586173315255</v>
      </c>
      <c r="S230" s="145">
        <f t="shared" si="113"/>
        <v>477.79586173315255</v>
      </c>
      <c r="T230" s="145">
        <f t="shared" si="113"/>
        <v>477.79586173315255</v>
      </c>
      <c r="U230" s="145">
        <f t="shared" si="113"/>
        <v>477.79586173315255</v>
      </c>
      <c r="V230" s="145">
        <f t="shared" si="113"/>
        <v>477.79586173315255</v>
      </c>
      <c r="W230" s="145">
        <f t="shared" si="113"/>
        <v>477.79586173315255</v>
      </c>
      <c r="X230" s="145">
        <f t="shared" si="113"/>
        <v>477.79586173315255</v>
      </c>
      <c r="Y230" s="145">
        <f t="shared" si="113"/>
        <v>477.79586173315255</v>
      </c>
      <c r="Z230" s="145">
        <f t="shared" ref="Z230" si="114">Z243</f>
        <v>477.79586173315255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2: Replace / Install Network Devices PV of costs</v>
      </c>
      <c r="E231" s="145">
        <f>VLOOKUP($B$239,$A$170:$Y$175,5)</f>
        <v>398.12089915345371</v>
      </c>
      <c r="F231" s="145">
        <f>VLOOKUP($B$239,$A$170:$Y$175,6)</f>
        <v>1263.6132686621886</v>
      </c>
      <c r="G231" s="145">
        <f>VLOOKUP($B$239,$A$170:$Y$175,7)</f>
        <v>1204.4414927234889</v>
      </c>
      <c r="H231" s="145">
        <f>VLOOKUP($B$239,$A$170:$Y$175,8)</f>
        <v>1147.8210826102022</v>
      </c>
      <c r="I231" s="145">
        <f>VLOOKUP($B$239,$A$170:$Y$175,9)</f>
        <v>0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0</v>
      </c>
      <c r="G236" s="145">
        <f t="shared" si="116"/>
        <v>0</v>
      </c>
      <c r="H236" s="145">
        <f t="shared" si="116"/>
        <v>0</v>
      </c>
      <c r="I236" s="145">
        <f t="shared" si="116"/>
        <v>0</v>
      </c>
      <c r="J236" s="145">
        <f t="shared" si="116"/>
        <v>0</v>
      </c>
      <c r="K236" s="145">
        <f t="shared" si="116"/>
        <v>0</v>
      </c>
      <c r="L236" s="145">
        <f t="shared" si="116"/>
        <v>0</v>
      </c>
      <c r="M236" s="145">
        <f t="shared" si="116"/>
        <v>0</v>
      </c>
      <c r="N236" s="145">
        <f t="shared" si="116"/>
        <v>0</v>
      </c>
      <c r="O236" s="145">
        <f t="shared" si="116"/>
        <v>0</v>
      </c>
      <c r="P236" s="145">
        <f t="shared" si="116"/>
        <v>0</v>
      </c>
      <c r="Q236" s="145">
        <f t="shared" si="116"/>
        <v>0</v>
      </c>
      <c r="R236" s="145">
        <f t="shared" si="116"/>
        <v>0</v>
      </c>
      <c r="S236" s="145">
        <f t="shared" si="116"/>
        <v>0</v>
      </c>
      <c r="T236" s="145">
        <f t="shared" si="116"/>
        <v>0</v>
      </c>
      <c r="U236" s="145">
        <f t="shared" si="116"/>
        <v>0</v>
      </c>
      <c r="V236" s="145">
        <f t="shared" si="116"/>
        <v>0</v>
      </c>
      <c r="W236" s="145">
        <f t="shared" si="116"/>
        <v>0</v>
      </c>
      <c r="X236" s="145">
        <f t="shared" si="116"/>
        <v>0</v>
      </c>
      <c r="Y236" s="145">
        <f t="shared" si="116"/>
        <v>0</v>
      </c>
      <c r="Z236" s="145">
        <f t="shared" ref="Z236" si="117">Z33-Z14</f>
        <v>0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0</v>
      </c>
      <c r="G237" s="145">
        <f t="shared" si="118"/>
        <v>0</v>
      </c>
      <c r="H237" s="145">
        <f t="shared" si="118"/>
        <v>0</v>
      </c>
      <c r="I237" s="145">
        <f t="shared" si="118"/>
        <v>0</v>
      </c>
      <c r="J237" s="145">
        <f t="shared" si="118"/>
        <v>0</v>
      </c>
      <c r="K237" s="145">
        <f t="shared" si="118"/>
        <v>0</v>
      </c>
      <c r="L237" s="145">
        <f t="shared" si="118"/>
        <v>0</v>
      </c>
      <c r="M237" s="145">
        <f t="shared" si="118"/>
        <v>0</v>
      </c>
      <c r="N237" s="145">
        <f t="shared" si="118"/>
        <v>0</v>
      </c>
      <c r="O237" s="145">
        <f t="shared" si="118"/>
        <v>0</v>
      </c>
      <c r="P237" s="145">
        <f t="shared" si="118"/>
        <v>0</v>
      </c>
      <c r="Q237" s="145">
        <f t="shared" si="118"/>
        <v>0</v>
      </c>
      <c r="R237" s="145">
        <f t="shared" si="118"/>
        <v>0</v>
      </c>
      <c r="S237" s="145">
        <f t="shared" si="118"/>
        <v>0</v>
      </c>
      <c r="T237" s="145">
        <f t="shared" si="118"/>
        <v>0</v>
      </c>
      <c r="U237" s="145">
        <f t="shared" si="118"/>
        <v>0</v>
      </c>
      <c r="V237" s="145">
        <f t="shared" si="118"/>
        <v>0</v>
      </c>
      <c r="W237" s="145">
        <f t="shared" si="118"/>
        <v>0</v>
      </c>
      <c r="X237" s="145">
        <f t="shared" si="118"/>
        <v>0</v>
      </c>
      <c r="Y237" s="145">
        <f t="shared" si="118"/>
        <v>0</v>
      </c>
      <c r="Z237" s="145">
        <f t="shared" ref="Z237" si="119">Z235+Z236</f>
        <v>0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3</v>
      </c>
      <c r="C239" s="80"/>
      <c r="D239" s="194" t="str">
        <f>"Recommended Case: "&amp;+D222</f>
        <v>Recommended Case: Option 2: Replace / Install Network Devices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470.14769407230017</v>
      </c>
      <c r="F240" s="145">
        <f>E240+VLOOKUP($B$239,$A$179:$Y$184,6)</f>
        <v>2091.7456146592108</v>
      </c>
      <c r="G240" s="145">
        <f>F240+VLOOKUP($B$239,$A$179:$Y$184,7)</f>
        <v>3771.417204936251</v>
      </c>
      <c r="H240" s="145">
        <f>G240+VLOOKUP($B$239,$A$179:$Y$184,8)</f>
        <v>5510.9095932312866</v>
      </c>
      <c r="I240" s="145">
        <f>H240+VLOOKUP($B$239,$A$179:$Y$184,9)</f>
        <v>5510.9095932312866</v>
      </c>
      <c r="J240" s="145">
        <f>I240+VLOOKUP($B$239,$A$179:$Y$184,10)</f>
        <v>5510.9095932312866</v>
      </c>
      <c r="K240" s="145">
        <f>J240+VLOOKUP($B$239,$A$179:$Y$184,11)</f>
        <v>5510.9095932312866</v>
      </c>
      <c r="L240" s="145">
        <f>K240+VLOOKUP($B$239,$A$179:$Y$184,12)</f>
        <v>5510.9095932312866</v>
      </c>
      <c r="M240" s="145">
        <f>L240+VLOOKUP($B$239,$A$179:$Y$184,13)</f>
        <v>5510.9095932312866</v>
      </c>
      <c r="N240" s="145">
        <f>M240+VLOOKUP($B$239,$A$179:$Y$184,14)</f>
        <v>5510.9095932312866</v>
      </c>
      <c r="O240" s="145">
        <f>N240+VLOOKUP($B$239,$A$179:$Y$184,15)</f>
        <v>5510.9095932312866</v>
      </c>
      <c r="P240" s="145">
        <f>O240+VLOOKUP($B$239,$A$179:$Y$184,16)</f>
        <v>5510.9095932312866</v>
      </c>
      <c r="Q240" s="145">
        <f>P240+VLOOKUP($B$239,$A$179:$Y$184,17)</f>
        <v>5510.9095932312866</v>
      </c>
      <c r="R240" s="145">
        <f>Q240+VLOOKUP($B$239,$A$179:$Y$184,18)</f>
        <v>5510.9095932312866</v>
      </c>
      <c r="S240" s="145">
        <f>R240+VLOOKUP($B$239,$A$179:$Y$184,19)</f>
        <v>5510.9095932312866</v>
      </c>
      <c r="T240" s="145">
        <f>S240+VLOOKUP($B$239,$A$179:$Y$184,20)</f>
        <v>5510.9095932312866</v>
      </c>
      <c r="U240" s="145">
        <f>T240+VLOOKUP($B$239,$A$179:$Y$184,21)</f>
        <v>5510.9095932312866</v>
      </c>
      <c r="V240" s="145">
        <f>U240+VLOOKUP($B$239,$A$179:$Y$184,22)</f>
        <v>5510.9095932312866</v>
      </c>
      <c r="W240" s="145">
        <f>V240+VLOOKUP($B$239,$A$179:$Y$184,23)</f>
        <v>5510.9095932312866</v>
      </c>
      <c r="X240" s="145">
        <f>W240+VLOOKUP($B$239,$A$179:$Y$184,24)</f>
        <v>5510.9095932312866</v>
      </c>
      <c r="Y240" s="145">
        <f>X240+VLOOKUP($B$239,$A$179:$Y$184,25)</f>
        <v>5510.9095932312866</v>
      </c>
      <c r="Z240" s="145">
        <f t="shared" ref="Z240" si="120">Y240+VLOOKUP($B$239,$A$179:$Y$184,25)</f>
        <v>5510.9095932312866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40.761805076068427</v>
      </c>
      <c r="F241" s="145">
        <f>F240*'Administrator Input'!$F$22</f>
        <v>181.35434479095358</v>
      </c>
      <c r="G241" s="145">
        <f>G240*'Administrator Input'!$F$22</f>
        <v>326.98187166797294</v>
      </c>
      <c r="H241" s="145">
        <f>H240*'Administrator Input'!$F$22</f>
        <v>477.79586173315255</v>
      </c>
      <c r="I241" s="145">
        <f>I240*'Administrator Input'!$F$22</f>
        <v>477.79586173315255</v>
      </c>
      <c r="J241" s="145">
        <f>J240*'Administrator Input'!$F$22</f>
        <v>477.79586173315255</v>
      </c>
      <c r="K241" s="145">
        <f>K240*'Administrator Input'!$F$22</f>
        <v>477.79586173315255</v>
      </c>
      <c r="L241" s="145">
        <f>L240*'Administrator Input'!$F$22</f>
        <v>477.79586173315255</v>
      </c>
      <c r="M241" s="145">
        <f>M240*'Administrator Input'!$F$22</f>
        <v>477.79586173315255</v>
      </c>
      <c r="N241" s="145">
        <f>N240*'Administrator Input'!$F$22</f>
        <v>477.79586173315255</v>
      </c>
      <c r="O241" s="145">
        <f>O240*'Administrator Input'!$F$22</f>
        <v>477.79586173315255</v>
      </c>
      <c r="P241" s="145">
        <f>P240*'Administrator Input'!$F$22</f>
        <v>477.79586173315255</v>
      </c>
      <c r="Q241" s="145">
        <f>Q240*'Administrator Input'!$F$22</f>
        <v>477.79586173315255</v>
      </c>
      <c r="R241" s="145">
        <f>R240*'Administrator Input'!$F$22</f>
        <v>477.79586173315255</v>
      </c>
      <c r="S241" s="145">
        <f>S240*'Administrator Input'!$F$22</f>
        <v>477.79586173315255</v>
      </c>
      <c r="T241" s="145">
        <f>T240*'Administrator Input'!$F$22</f>
        <v>477.79586173315255</v>
      </c>
      <c r="U241" s="145">
        <f>U240*'Administrator Input'!$F$22</f>
        <v>477.79586173315255</v>
      </c>
      <c r="V241" s="145">
        <f>V240*'Administrator Input'!$F$22</f>
        <v>477.79586173315255</v>
      </c>
      <c r="W241" s="145">
        <f>W240*'Administrator Input'!$F$22</f>
        <v>477.79586173315255</v>
      </c>
      <c r="X241" s="145">
        <f>X240*'Administrator Input'!$F$22</f>
        <v>477.79586173315255</v>
      </c>
      <c r="Y241" s="145">
        <f>Y240*'Administrator Input'!$F$22</f>
        <v>477.79586173315255</v>
      </c>
      <c r="Z241" s="145">
        <f>Z240*'Administrator Input'!$F$22</f>
        <v>477.79586173315255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40.761805076068427</v>
      </c>
      <c r="F243" s="145">
        <f t="shared" ref="F243:Y243" si="122">F241+F242</f>
        <v>181.35434479095358</v>
      </c>
      <c r="G243" s="145">
        <f t="shared" si="122"/>
        <v>326.98187166797294</v>
      </c>
      <c r="H243" s="145">
        <f t="shared" si="122"/>
        <v>477.79586173315255</v>
      </c>
      <c r="I243" s="145">
        <f t="shared" si="122"/>
        <v>477.79586173315255</v>
      </c>
      <c r="J243" s="145">
        <f t="shared" si="122"/>
        <v>477.79586173315255</v>
      </c>
      <c r="K243" s="145">
        <f t="shared" si="122"/>
        <v>477.79586173315255</v>
      </c>
      <c r="L243" s="145">
        <f t="shared" si="122"/>
        <v>477.79586173315255</v>
      </c>
      <c r="M243" s="145">
        <f t="shared" si="122"/>
        <v>477.79586173315255</v>
      </c>
      <c r="N243" s="145">
        <f t="shared" si="122"/>
        <v>477.79586173315255</v>
      </c>
      <c r="O243" s="145">
        <f t="shared" si="122"/>
        <v>477.79586173315255</v>
      </c>
      <c r="P243" s="145">
        <f t="shared" si="122"/>
        <v>477.79586173315255</v>
      </c>
      <c r="Q243" s="145">
        <f t="shared" si="122"/>
        <v>477.79586173315255</v>
      </c>
      <c r="R243" s="145">
        <f t="shared" si="122"/>
        <v>477.79586173315255</v>
      </c>
      <c r="S243" s="145">
        <f t="shared" si="122"/>
        <v>477.79586173315255</v>
      </c>
      <c r="T243" s="145">
        <f t="shared" si="122"/>
        <v>477.79586173315255</v>
      </c>
      <c r="U243" s="145">
        <f t="shared" si="122"/>
        <v>477.79586173315255</v>
      </c>
      <c r="V243" s="145">
        <f t="shared" si="122"/>
        <v>477.79586173315255</v>
      </c>
      <c r="W243" s="145">
        <f t="shared" si="122"/>
        <v>477.79586173315255</v>
      </c>
      <c r="X243" s="145">
        <f t="shared" si="122"/>
        <v>477.79586173315255</v>
      </c>
      <c r="Y243" s="145">
        <f t="shared" si="122"/>
        <v>477.79586173315255</v>
      </c>
      <c r="Z243" s="145">
        <f t="shared" ref="Z243" si="123">Z241+Z242</f>
        <v>477.79586173315255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/>
  <headerFooter alignWithMargins="0">
    <oddFooter>&amp;L&amp;D&amp;CPage &amp;P of &amp;N
&amp;R&amp;Z&amp;F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zoomScalePageLayoutView="80" workbookViewId="0">
      <selection activeCell="G21" sqref="G21"/>
    </sheetView>
  </sheetViews>
  <sheetFormatPr defaultColWidth="8.85546875"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42578125" style="29" bestFit="1" customWidth="1"/>
    <col min="26" max="26" width="2.28515625" style="143" customWidth="1"/>
    <col min="27" max="27" width="15" style="143" bestFit="1" customWidth="1"/>
    <col min="28" max="16384" width="8.8554687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325</v>
      </c>
      <c r="D7" s="182"/>
      <c r="E7" s="183" t="str">
        <f>'User Input'!E4</f>
        <v>DNSP Intelligent Network Device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2017</v>
      </c>
      <c r="F9" s="133">
        <f t="shared" ref="F9:Y9" si="0">E9+1</f>
        <v>2018</v>
      </c>
      <c r="G9" s="133">
        <f t="shared" si="0"/>
        <v>2019</v>
      </c>
      <c r="H9" s="133">
        <f t="shared" si="0"/>
        <v>2020</v>
      </c>
      <c r="I9" s="133">
        <f t="shared" si="0"/>
        <v>2021</v>
      </c>
      <c r="J9" s="133">
        <f t="shared" si="0"/>
        <v>2022</v>
      </c>
      <c r="K9" s="133">
        <f t="shared" si="0"/>
        <v>2023</v>
      </c>
      <c r="L9" s="133">
        <f t="shared" si="0"/>
        <v>2024</v>
      </c>
      <c r="M9" s="133">
        <f t="shared" si="0"/>
        <v>2025</v>
      </c>
      <c r="N9" s="133">
        <f t="shared" si="0"/>
        <v>2026</v>
      </c>
      <c r="O9" s="133">
        <f t="shared" si="0"/>
        <v>2027</v>
      </c>
      <c r="P9" s="133">
        <f t="shared" si="0"/>
        <v>2028</v>
      </c>
      <c r="Q9" s="133">
        <f t="shared" si="0"/>
        <v>2029</v>
      </c>
      <c r="R9" s="133">
        <f t="shared" si="0"/>
        <v>2030</v>
      </c>
      <c r="S9" s="133">
        <f t="shared" si="0"/>
        <v>2031</v>
      </c>
      <c r="T9" s="133">
        <f t="shared" si="0"/>
        <v>2032</v>
      </c>
      <c r="U9" s="133">
        <f t="shared" si="0"/>
        <v>2033</v>
      </c>
      <c r="V9" s="133">
        <f t="shared" si="0"/>
        <v>2034</v>
      </c>
      <c r="W9" s="133">
        <f t="shared" si="0"/>
        <v>2035</v>
      </c>
      <c r="X9" s="133">
        <f t="shared" si="0"/>
        <v>2036</v>
      </c>
      <c r="Y9" s="133">
        <f t="shared" si="0"/>
        <v>2037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322</v>
      </c>
      <c r="E13" s="698">
        <f>+(1+$D$18)^(E9-'User Input'!$E$9)</f>
        <v>1.1592828900000001</v>
      </c>
      <c r="F13" s="698">
        <f>+(1+$D$18)^(F9-'User Input'!$E$9)</f>
        <v>1.2481998876630001</v>
      </c>
      <c r="G13" s="698">
        <f>+(1+$D$18)^(G9-'User Input'!$E$9)</f>
        <v>1.3439368190467522</v>
      </c>
      <c r="H13" s="698">
        <f>+(1+$D$18)^(H9-'User Input'!$E$9)</f>
        <v>1.4470167730676382</v>
      </c>
      <c r="I13" s="698">
        <f>+(1+$D$18)^(I9-'User Input'!$E$9)</f>
        <v>1.558002959561926</v>
      </c>
      <c r="J13" s="698">
        <f>+(1+$D$18)^(J9-'User Input'!$E$9)</f>
        <v>1.6775017865603257</v>
      </c>
      <c r="K13" s="698">
        <f>+(1+$D$18)^(K9-'User Input'!$E$9)</f>
        <v>1.8061661735895027</v>
      </c>
      <c r="L13" s="698">
        <f>+(1+$D$18)^(L9-'User Input'!$E$9)</f>
        <v>1.9446991191038177</v>
      </c>
      <c r="M13" s="698">
        <f>+(1+$D$18)^(M9-'User Input'!$E$9)</f>
        <v>2.0938575415390805</v>
      </c>
      <c r="N13" s="698">
        <f>+(1+$D$18)^(N9-'User Input'!$E$9)</f>
        <v>2.2544564149751278</v>
      </c>
      <c r="O13" s="698">
        <f>+(1+$D$18)^(O9-'User Input'!$E$9)</f>
        <v>2.4273732220037205</v>
      </c>
      <c r="P13" s="698">
        <f>+(1+$D$18)^(P9-'User Input'!$E$9)</f>
        <v>2.613552748131406</v>
      </c>
      <c r="Q13" s="698">
        <f>+(1+$D$18)^(Q9-'User Input'!$E$9)</f>
        <v>2.8140122439130848</v>
      </c>
      <c r="R13" s="698">
        <f>+(1+$D$18)^(R9-'User Input'!$E$9)</f>
        <v>3.0298469830212182</v>
      </c>
      <c r="S13" s="698">
        <f>+(1+$D$18)^(S9-'User Input'!$E$9)</f>
        <v>3.2622362466189458</v>
      </c>
      <c r="T13" s="698">
        <f>+(1+$D$18)^(T9-'User Input'!$E$9)</f>
        <v>3.5124497667346191</v>
      </c>
      <c r="U13" s="698">
        <f>+(1+$D$18)^(U9-'User Input'!$E$9)</f>
        <v>3.7818546638431645</v>
      </c>
      <c r="V13" s="698">
        <f>+(1+$D$18)^(V9-'User Input'!$E$9)</f>
        <v>4.0719229165599353</v>
      </c>
      <c r="W13" s="698">
        <f>+(1+$D$18)^(W9-'User Input'!$E$9)</f>
        <v>4.3842394042600823</v>
      </c>
      <c r="X13" s="698">
        <f>+(1+$D$18)^(X9-'User Input'!$E$9)</f>
        <v>4.7205105665668308</v>
      </c>
      <c r="Y13" s="698">
        <f>+(1+$D$18)^(Y9-'User Input'!$E$9)</f>
        <v>5.0825737270225071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1.0391763600000001</v>
      </c>
      <c r="F14" s="228">
        <f>Calculations!F10</f>
        <v>1.0593363813840002</v>
      </c>
      <c r="G14" s="228">
        <f>Calculations!G10</f>
        <v>1.0798875071828498</v>
      </c>
      <c r="H14" s="228">
        <f>Calculations!H10</f>
        <v>1.100837324822197</v>
      </c>
      <c r="I14" s="228">
        <f>Calculations!I10</f>
        <v>1.1221935689237477</v>
      </c>
      <c r="J14" s="228">
        <f>Calculations!J10</f>
        <v>1.1439641241608685</v>
      </c>
      <c r="K14" s="228">
        <f>Calculations!K10</f>
        <v>1.1661570281695892</v>
      </c>
      <c r="L14" s="228">
        <f>Calculations!L10</f>
        <v>1.1887804745160793</v>
      </c>
      <c r="M14" s="228">
        <f>Calculations!M10</f>
        <v>1.2118428157216912</v>
      </c>
      <c r="N14" s="228">
        <f>Calculations!N10</f>
        <v>1.235352566346692</v>
      </c>
      <c r="O14" s="228">
        <f>Calculations!O10</f>
        <v>1.2593184061338178</v>
      </c>
      <c r="P14" s="228">
        <f>Calculations!P10</f>
        <v>1.2837491832128138</v>
      </c>
      <c r="Q14" s="228">
        <f>Calculations!Q10</f>
        <v>1.3086539173671423</v>
      </c>
      <c r="R14" s="228">
        <f>Calculations!R10</f>
        <v>1.3340418033640649</v>
      </c>
      <c r="S14" s="228">
        <f>Calculations!S10</f>
        <v>1.3599222143493277</v>
      </c>
      <c r="T14" s="228">
        <f>Calculations!T10</f>
        <v>1.3863047053077047</v>
      </c>
      <c r="U14" s="228">
        <f>Calculations!U10</f>
        <v>1.413199016590674</v>
      </c>
      <c r="V14" s="228">
        <f>Calculations!V10</f>
        <v>1.440615077512533</v>
      </c>
      <c r="W14" s="228">
        <f>Calculations!W10</f>
        <v>1.4685630100162761</v>
      </c>
      <c r="X14" s="228">
        <f>Calculations!X10</f>
        <v>1.4970531324105918</v>
      </c>
      <c r="Y14" s="228">
        <f>Calculations!Y10</f>
        <v>1.5260959631793574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284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285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286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0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0</v>
      </c>
      <c r="I30" s="64">
        <f>Calculations!I17*(1+$D$22)</f>
        <v>0</v>
      </c>
      <c r="J30" s="64">
        <f>Calculations!J17*(1+$D$22)</f>
        <v>0</v>
      </c>
      <c r="K30" s="64">
        <f>Calculations!K17*(1+$D$22)</f>
        <v>0</v>
      </c>
      <c r="L30" s="64">
        <f>Calculations!L17*(1+$D$22)</f>
        <v>0</v>
      </c>
      <c r="M30" s="64">
        <f>Calculations!M17*(1+$D$22)</f>
        <v>0</v>
      </c>
      <c r="N30" s="64">
        <f>Calculations!N17*(1+$D$22)</f>
        <v>0</v>
      </c>
      <c r="O30" s="64">
        <f>Calculations!O17*(1+$D$22)</f>
        <v>0</v>
      </c>
      <c r="P30" s="64">
        <f>Calculations!P17*(1+$D$22)</f>
        <v>0</v>
      </c>
      <c r="Q30" s="64">
        <f>Calculations!Q17*(1+$D$22)</f>
        <v>0</v>
      </c>
      <c r="R30" s="64">
        <f>Calculations!R17*(1+$D$22)</f>
        <v>0</v>
      </c>
      <c r="S30" s="64">
        <f>Calculations!S17*(1+$D$22)</f>
        <v>0</v>
      </c>
      <c r="T30" s="64">
        <f>Calculations!T17*(1+$D$22)</f>
        <v>0</v>
      </c>
      <c r="U30" s="64">
        <f>Calculations!U17*(1+$D$22)</f>
        <v>0</v>
      </c>
      <c r="V30" s="64">
        <f>Calculations!V17*(1+$D$22)</f>
        <v>0</v>
      </c>
      <c r="W30" s="64">
        <f>Calculations!W17*(1+$D$22)</f>
        <v>0</v>
      </c>
      <c r="X30" s="64">
        <f>Calculations!X17*(1+$D$22)</f>
        <v>0</v>
      </c>
      <c r="Y30" s="64">
        <f>Calculations!Y17*(1+$D$22)</f>
        <v>0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0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0</v>
      </c>
      <c r="I31" s="64">
        <f>Calculations!I18*(1+$D$21)</f>
        <v>0</v>
      </c>
      <c r="J31" s="64">
        <f>Calculations!J18*(1+$D$21)</f>
        <v>0</v>
      </c>
      <c r="K31" s="64">
        <f>Calculations!K18*(1+$D$21)</f>
        <v>0</v>
      </c>
      <c r="L31" s="64">
        <f>Calculations!L18*(1+$D$21)</f>
        <v>0</v>
      </c>
      <c r="M31" s="64">
        <f>Calculations!M18*(1+$D$21)</f>
        <v>0</v>
      </c>
      <c r="N31" s="64">
        <f>Calculations!N18*(1+$D$21)</f>
        <v>0</v>
      </c>
      <c r="O31" s="64">
        <f>Calculations!O18*(1+$D$21)</f>
        <v>0</v>
      </c>
      <c r="P31" s="64">
        <f>Calculations!P18*(1+$D$21)</f>
        <v>0</v>
      </c>
      <c r="Q31" s="64">
        <f>Calculations!Q18*(1+$D$21)</f>
        <v>0</v>
      </c>
      <c r="R31" s="64">
        <f>Calculations!R18*(1+$D$21)</f>
        <v>0</v>
      </c>
      <c r="S31" s="64">
        <f>Calculations!S18*(1+$D$21)</f>
        <v>0</v>
      </c>
      <c r="T31" s="64">
        <f>Calculations!T18*(1+$D$21)</f>
        <v>0</v>
      </c>
      <c r="U31" s="64">
        <f>Calculations!U18*(1+$D$21)</f>
        <v>0</v>
      </c>
      <c r="V31" s="64">
        <f>Calculations!V18*(1+$D$21)</f>
        <v>0</v>
      </c>
      <c r="W31" s="64">
        <f>Calculations!W18*(1+$D$21)</f>
        <v>0</v>
      </c>
      <c r="X31" s="64">
        <f>Calculations!X18*(1+$D$21)</f>
        <v>0</v>
      </c>
      <c r="Y31" s="64">
        <f>Calculations!Y18*(1+$D$21)</f>
        <v>0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Cost 1</v>
      </c>
      <c r="D36" s="67">
        <f t="shared" si="2"/>
        <v>0</v>
      </c>
      <c r="E36" s="64">
        <f>Calculations!E23*(1+$D$20)</f>
        <v>0</v>
      </c>
      <c r="F36" s="64">
        <f>Calculations!F23*(1+$D$20)</f>
        <v>0</v>
      </c>
      <c r="G36" s="64">
        <f>Calculations!G23*(1+$D$20)</f>
        <v>0</v>
      </c>
      <c r="H36" s="64">
        <f>Calculations!H23*(1+$D$20)</f>
        <v>0</v>
      </c>
      <c r="I36" s="64">
        <f>Calculations!I23*(1+$D$20)</f>
        <v>0</v>
      </c>
      <c r="J36" s="64">
        <f>Calculations!J23*(1+$D$20)</f>
        <v>0</v>
      </c>
      <c r="K36" s="64">
        <f>Calculations!K23*(1+$D$20)</f>
        <v>0</v>
      </c>
      <c r="L36" s="64">
        <f>Calculations!L23*(1+$D$20)</f>
        <v>0</v>
      </c>
      <c r="M36" s="64">
        <f>Calculations!M23*(1+$D$20)</f>
        <v>0</v>
      </c>
      <c r="N36" s="64">
        <f>Calculations!N23*(1+$D$20)</f>
        <v>0</v>
      </c>
      <c r="O36" s="64">
        <f>Calculations!O23*(1+$D$20)</f>
        <v>0</v>
      </c>
      <c r="P36" s="64">
        <f>Calculations!P23*(1+$D$20)</f>
        <v>0</v>
      </c>
      <c r="Q36" s="64">
        <f>Calculations!Q23*(1+$D$20)</f>
        <v>0</v>
      </c>
      <c r="R36" s="64">
        <f>Calculations!R23*(1+$D$20)</f>
        <v>0</v>
      </c>
      <c r="S36" s="64">
        <f>Calculations!S23*(1+$D$20)</f>
        <v>0</v>
      </c>
      <c r="T36" s="64">
        <f>Calculations!T23*(1+$D$20)</f>
        <v>0</v>
      </c>
      <c r="U36" s="64">
        <f>Calculations!U23*(1+$D$20)</f>
        <v>0</v>
      </c>
      <c r="V36" s="64">
        <f>Calculations!V23*(1+$D$20)</f>
        <v>0</v>
      </c>
      <c r="W36" s="64">
        <f>Calculations!W23*(1+$D$20)</f>
        <v>0</v>
      </c>
      <c r="X36" s="64">
        <f>Calculations!X23*(1+$D$20)</f>
        <v>0</v>
      </c>
      <c r="Y36" s="64">
        <f>Calculations!Y23*(1+$D$20)</f>
        <v>0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0</v>
      </c>
      <c r="E46" s="65">
        <f>SUM(E27:E45)</f>
        <v>0</v>
      </c>
      <c r="F46" s="66">
        <f t="shared" ref="F46:Y46" si="3">SUM(F27:F45)</f>
        <v>0</v>
      </c>
      <c r="G46" s="66">
        <f t="shared" si="3"/>
        <v>0</v>
      </c>
      <c r="H46" s="66">
        <f t="shared" si="3"/>
        <v>0</v>
      </c>
      <c r="I46" s="66">
        <f t="shared" si="3"/>
        <v>0</v>
      </c>
      <c r="J46" s="66">
        <f t="shared" si="3"/>
        <v>0</v>
      </c>
      <c r="K46" s="66">
        <f t="shared" si="3"/>
        <v>0</v>
      </c>
      <c r="L46" s="66">
        <f t="shared" si="3"/>
        <v>0</v>
      </c>
      <c r="M46" s="66">
        <f t="shared" si="3"/>
        <v>0</v>
      </c>
      <c r="N46" s="66">
        <f t="shared" si="3"/>
        <v>0</v>
      </c>
      <c r="O46" s="66">
        <f t="shared" si="3"/>
        <v>0</v>
      </c>
      <c r="P46" s="66">
        <f t="shared" si="3"/>
        <v>0</v>
      </c>
      <c r="Q46" s="66">
        <f t="shared" si="3"/>
        <v>0</v>
      </c>
      <c r="R46" s="66">
        <f t="shared" si="3"/>
        <v>0</v>
      </c>
      <c r="S46" s="66">
        <f t="shared" si="3"/>
        <v>0</v>
      </c>
      <c r="T46" s="66">
        <f t="shared" si="3"/>
        <v>0</v>
      </c>
      <c r="U46" s="66">
        <f t="shared" si="3"/>
        <v>0</v>
      </c>
      <c r="V46" s="66">
        <f t="shared" si="3"/>
        <v>0</v>
      </c>
      <c r="W46" s="66">
        <f t="shared" si="3"/>
        <v>0</v>
      </c>
      <c r="X46" s="66">
        <f t="shared" si="3"/>
        <v>0</v>
      </c>
      <c r="Y46" s="148">
        <f t="shared" si="3"/>
        <v>0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0</v>
      </c>
      <c r="E47" s="77">
        <f>E46/E$13</f>
        <v>0</v>
      </c>
      <c r="F47" s="77">
        <f t="shared" ref="F47:Y47" si="4">F46/F$13</f>
        <v>0</v>
      </c>
      <c r="G47" s="77">
        <f t="shared" si="4"/>
        <v>0</v>
      </c>
      <c r="H47" s="77">
        <f t="shared" si="4"/>
        <v>0</v>
      </c>
      <c r="I47" s="77">
        <f t="shared" si="4"/>
        <v>0</v>
      </c>
      <c r="J47" s="77">
        <f t="shared" si="4"/>
        <v>0</v>
      </c>
      <c r="K47" s="77">
        <f t="shared" si="4"/>
        <v>0</v>
      </c>
      <c r="L47" s="77">
        <f t="shared" si="4"/>
        <v>0</v>
      </c>
      <c r="M47" s="77">
        <f t="shared" si="4"/>
        <v>0</v>
      </c>
      <c r="N47" s="77">
        <f t="shared" si="4"/>
        <v>0</v>
      </c>
      <c r="O47" s="77">
        <f t="shared" si="4"/>
        <v>0</v>
      </c>
      <c r="P47" s="77">
        <f t="shared" si="4"/>
        <v>0</v>
      </c>
      <c r="Q47" s="77">
        <f t="shared" si="4"/>
        <v>0</v>
      </c>
      <c r="R47" s="77">
        <f t="shared" si="4"/>
        <v>0</v>
      </c>
      <c r="S47" s="77">
        <f t="shared" si="4"/>
        <v>0</v>
      </c>
      <c r="T47" s="77">
        <f t="shared" si="4"/>
        <v>0</v>
      </c>
      <c r="U47" s="77">
        <f t="shared" si="4"/>
        <v>0</v>
      </c>
      <c r="V47" s="77">
        <f t="shared" si="4"/>
        <v>0</v>
      </c>
      <c r="W47" s="77">
        <f t="shared" si="4"/>
        <v>0</v>
      </c>
      <c r="X47" s="77">
        <f t="shared" si="4"/>
        <v>0</v>
      </c>
      <c r="Y47" s="77">
        <f t="shared" si="4"/>
        <v>0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Perform Manual Neutral Integrity where UE Meters are Removed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4637.0731861661097</v>
      </c>
      <c r="E51" s="141">
        <f>Calculations!E38*(1+$D$19)</f>
        <v>0</v>
      </c>
      <c r="F51" s="141">
        <f>Calculations!F38*(1+$D$19)</f>
        <v>95.340274324560028</v>
      </c>
      <c r="G51" s="141">
        <f>Calculations!G38*(1+$D$19)</f>
        <v>106.90886321110213</v>
      </c>
      <c r="H51" s="141">
        <f>Calculations!H38*(1+$D$19)</f>
        <v>118.89043108079727</v>
      </c>
      <c r="I51" s="141">
        <f>Calculations!I38*(1+$D$19)</f>
        <v>131.29664756407848</v>
      </c>
      <c r="J51" s="141">
        <f>Calculations!J38*(1+$D$19)</f>
        <v>144.13947964426944</v>
      </c>
      <c r="K51" s="141">
        <f>Calculations!K38*(1+$D$19)</f>
        <v>157.43119880289456</v>
      </c>
      <c r="L51" s="141">
        <f>Calculations!L38*(1+$D$19)</f>
        <v>171.18438833031541</v>
      </c>
      <c r="M51" s="141">
        <f>Calculations!M38*(1+$D$19)</f>
        <v>185.41195080541877</v>
      </c>
      <c r="N51" s="141">
        <f>Calculations!N38*(1+$D$19)</f>
        <v>200.12711574816413</v>
      </c>
      <c r="O51" s="141">
        <f>Calculations!O38*(1+$D$19)</f>
        <v>215.34344744888284</v>
      </c>
      <c r="P51" s="141">
        <f>Calculations!P38*(1+$D$19)</f>
        <v>231.07485297830647</v>
      </c>
      <c r="Q51" s="141">
        <f>Calculations!Q38*(1+$D$19)</f>
        <v>247.33559038238991</v>
      </c>
      <c r="R51" s="141">
        <f>Calculations!R38*(1+$D$19)</f>
        <v>264.14027706608482</v>
      </c>
      <c r="S51" s="141">
        <f>Calculations!S38*(1+$D$19)</f>
        <v>281.50389837031088</v>
      </c>
      <c r="T51" s="141">
        <f>Calculations!T38*(1+$D$19)</f>
        <v>299.44181634646424</v>
      </c>
      <c r="U51" s="141">
        <f>Calculations!U38*(1+$D$19)</f>
        <v>317.96977873290166</v>
      </c>
      <c r="V51" s="141">
        <f>Calculations!V38*(1+$D$19)</f>
        <v>337.10392813793271</v>
      </c>
      <c r="W51" s="141">
        <f>Calculations!W38*(1+$D$19)</f>
        <v>356.86081143395506</v>
      </c>
      <c r="X51" s="141">
        <f>Calculations!X38*(1+$D$19)</f>
        <v>377.25738936746916</v>
      </c>
      <c r="Y51" s="141">
        <f>Calculations!Y38*(1+$D$19)</f>
        <v>398.31104638981225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Neutral integrity Testing (NIT) reverted to Manual Testing 10 years after 1 December 2017 - Assume  start manual NIT in 2027.</v>
      </c>
      <c r="D60" s="67">
        <f t="shared" si="5"/>
        <v>16276.337797355969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113.14975879112355</v>
      </c>
      <c r="P60" s="141">
        <f>Calculations!P47*(1+$D$20)</f>
        <v>1383.6436861931043</v>
      </c>
      <c r="Q60" s="141">
        <f>Calculations!Q47*(1+$D$20)</f>
        <v>1426.8992536346391</v>
      </c>
      <c r="R60" s="141">
        <f>Calculations!R47*(1+$D$20)</f>
        <v>1472.0292952488805</v>
      </c>
      <c r="S60" s="141">
        <f>Calculations!S47*(1+$D$20)</f>
        <v>1519.1903994690074</v>
      </c>
      <c r="T60" s="141">
        <f>Calculations!T47*(1+$D$20)</f>
        <v>1568.3759461281818</v>
      </c>
      <c r="U60" s="141">
        <f>Calculations!U47*(1+$D$20)</f>
        <v>1619.6612569679467</v>
      </c>
      <c r="V60" s="141">
        <f>Calculations!V47*(1+$D$20)</f>
        <v>1673.1240960390664</v>
      </c>
      <c r="W60" s="141">
        <f>Calculations!W47*(1+$D$20)</f>
        <v>1728.8447415808821</v>
      </c>
      <c r="X60" s="141">
        <f>Calculations!X47*(1+$D$20)</f>
        <v>1786.9060598764365</v>
      </c>
      <c r="Y60" s="141">
        <f>Calculations!Y47*(1+$D$20)</f>
        <v>1984.5133034266998</v>
      </c>
      <c r="Z60" s="287"/>
    </row>
    <row r="61" spans="1:26" ht="13.5" thickBot="1" x14ac:dyDescent="0.25">
      <c r="B61" s="107"/>
      <c r="C61" s="137" t="str">
        <f>'User Input'!D72</f>
        <v>Ping Real Time confirmation Customer Power is on/off - Avoided LV Truck Roll Outs = $20M over 10 years, Therefore $2M p.a. Therefore utilise % to work out cost e.g. 2017 implies 499 * 2000/ (650,000 + 499).</v>
      </c>
      <c r="D61" s="67">
        <f t="shared" si="5"/>
        <v>4226.9085386032384</v>
      </c>
      <c r="E61" s="141">
        <f>Calculations!E48*(1+$D$20)</f>
        <v>0</v>
      </c>
      <c r="F61" s="141">
        <f>Calculations!F48*(1+$D$20)</f>
        <v>18.476945164099728</v>
      </c>
      <c r="G61" s="141">
        <f>Calculations!G48*(1+$D$20)</f>
        <v>36.096319815093935</v>
      </c>
      <c r="H61" s="141">
        <f>Calculations!H48*(1+$D$20)</f>
        <v>54.283389324307358</v>
      </c>
      <c r="I61" s="141">
        <f>Calculations!I48*(1+$D$20)</f>
        <v>72.859539655943252</v>
      </c>
      <c r="J61" s="141">
        <f>Calculations!J48*(1+$D$20)</f>
        <v>91.820368189104002</v>
      </c>
      <c r="K61" s="141">
        <f>Calculations!K48*(1+$D$20)</f>
        <v>111.18822480940159</v>
      </c>
      <c r="L61" s="141">
        <f>Calculations!L48*(1+$D$20)</f>
        <v>130.96983856547573</v>
      </c>
      <c r="M61" s="141">
        <f>Calculations!M48*(1+$D$20)</f>
        <v>151.17585948618395</v>
      </c>
      <c r="N61" s="141">
        <f>Calculations!N48*(1+$D$20)</f>
        <v>171.81711925528887</v>
      </c>
      <c r="O61" s="141">
        <f>Calculations!O48*(1+$D$20)</f>
        <v>192.9046365436968</v>
      </c>
      <c r="P61" s="141">
        <f>Calculations!P48*(1+$D$20)</f>
        <v>214.44962237513747</v>
      </c>
      <c r="Q61" s="141">
        <f>Calculations!Q48*(1+$D$20)</f>
        <v>236.46348552999038</v>
      </c>
      <c r="R61" s="141">
        <f>Calculations!R48*(1+$D$20)</f>
        <v>258.95783799180612</v>
      </c>
      <c r="S61" s="141">
        <f>Calculations!S48*(1+$D$20)</f>
        <v>281.94450044092633</v>
      </c>
      <c r="T61" s="141">
        <f>Calculations!T48*(1+$D$20)</f>
        <v>305.43550779947867</v>
      </c>
      <c r="U61" s="141">
        <f>Calculations!U48*(1+$D$20)</f>
        <v>329.44311483190268</v>
      </c>
      <c r="V61" s="141">
        <f>Calculations!V48*(1+$D$20)</f>
        <v>353.97980180505863</v>
      </c>
      <c r="W61" s="141">
        <f>Calculations!W48*(1+$D$20)</f>
        <v>379.05828021187375</v>
      </c>
      <c r="X61" s="141">
        <f>Calculations!X48*(1+$D$20)</f>
        <v>404.69149856239932</v>
      </c>
      <c r="Y61" s="141">
        <f>Calculations!Y48*(1+$D$20)</f>
        <v>430.89264824606948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25140.319522125315</v>
      </c>
      <c r="E70" s="68">
        <f>SUM(E51:E69)</f>
        <v>0</v>
      </c>
      <c r="F70" s="69">
        <f t="shared" ref="F70:Y70" si="6">SUM(F51:F69)</f>
        <v>113.81721948865976</v>
      </c>
      <c r="G70" s="69">
        <f t="shared" si="6"/>
        <v>143.00518302619605</v>
      </c>
      <c r="H70" s="69">
        <f t="shared" si="6"/>
        <v>173.17382040510464</v>
      </c>
      <c r="I70" s="69">
        <f t="shared" si="6"/>
        <v>204.15618722002174</v>
      </c>
      <c r="J70" s="69">
        <f t="shared" si="6"/>
        <v>235.95984783337343</v>
      </c>
      <c r="K70" s="69">
        <f t="shared" si="6"/>
        <v>268.61942361229615</v>
      </c>
      <c r="L70" s="69">
        <f t="shared" si="6"/>
        <v>302.15422689579111</v>
      </c>
      <c r="M70" s="69">
        <f t="shared" si="6"/>
        <v>336.58781029160275</v>
      </c>
      <c r="N70" s="69">
        <f t="shared" si="6"/>
        <v>371.944235003453</v>
      </c>
      <c r="O70" s="69">
        <f t="shared" si="6"/>
        <v>521.39784278370314</v>
      </c>
      <c r="P70" s="69">
        <f t="shared" si="6"/>
        <v>1829.1681615465482</v>
      </c>
      <c r="Q70" s="69">
        <f t="shared" si="6"/>
        <v>1910.6983295470193</v>
      </c>
      <c r="R70" s="69">
        <f t="shared" si="6"/>
        <v>1995.1274103067715</v>
      </c>
      <c r="S70" s="69">
        <f t="shared" si="6"/>
        <v>2082.6387982802448</v>
      </c>
      <c r="T70" s="69">
        <f t="shared" si="6"/>
        <v>2173.2532702741246</v>
      </c>
      <c r="U70" s="69">
        <f t="shared" si="6"/>
        <v>2267.074150532751</v>
      </c>
      <c r="V70" s="69">
        <f t="shared" si="6"/>
        <v>2364.2078259820578</v>
      </c>
      <c r="W70" s="69">
        <f t="shared" si="6"/>
        <v>2464.7638332267111</v>
      </c>
      <c r="X70" s="69">
        <f t="shared" si="6"/>
        <v>2568.8549478063051</v>
      </c>
      <c r="Y70" s="150">
        <f t="shared" si="6"/>
        <v>2813.7169980625813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7568.147390789517</v>
      </c>
      <c r="E71" s="77">
        <f t="shared" ref="E71:Y71" si="7">E70/E$13</f>
        <v>0</v>
      </c>
      <c r="F71" s="77">
        <f t="shared" si="7"/>
        <v>91.185090315750074</v>
      </c>
      <c r="G71" s="77">
        <f t="shared" si="7"/>
        <v>106.40766812805153</v>
      </c>
      <c r="H71" s="77">
        <f t="shared" si="7"/>
        <v>119.67644302973808</v>
      </c>
      <c r="I71" s="77">
        <f t="shared" si="7"/>
        <v>131.03709846445071</v>
      </c>
      <c r="J71" s="77">
        <f t="shared" si="7"/>
        <v>140.6614584400551</v>
      </c>
      <c r="K71" s="77">
        <f t="shared" si="7"/>
        <v>148.72353803329878</v>
      </c>
      <c r="L71" s="77">
        <f t="shared" si="7"/>
        <v>155.37325230806599</v>
      </c>
      <c r="M71" s="77">
        <f t="shared" si="7"/>
        <v>160.75010052698971</v>
      </c>
      <c r="N71" s="77">
        <f t="shared" si="7"/>
        <v>164.98178121024196</v>
      </c>
      <c r="O71" s="77">
        <f t="shared" si="7"/>
        <v>214.79920683697151</v>
      </c>
      <c r="P71" s="77">
        <f t="shared" si="7"/>
        <v>699.87803492940247</v>
      </c>
      <c r="Q71" s="77">
        <f t="shared" si="7"/>
        <v>678.99431982927581</v>
      </c>
      <c r="R71" s="77">
        <f t="shared" si="7"/>
        <v>658.49114542323389</v>
      </c>
      <c r="S71" s="77">
        <f t="shared" si="7"/>
        <v>638.40833122945583</v>
      </c>
      <c r="T71" s="77">
        <f t="shared" si="7"/>
        <v>618.72864086381207</v>
      </c>
      <c r="U71" s="77">
        <f t="shared" si="7"/>
        <v>599.46093968320929</v>
      </c>
      <c r="V71" s="77">
        <f t="shared" si="7"/>
        <v>580.61212710269115</v>
      </c>
      <c r="W71" s="77">
        <f t="shared" si="7"/>
        <v>562.18732736897232</v>
      </c>
      <c r="X71" s="77">
        <f t="shared" si="7"/>
        <v>544.19006410033342</v>
      </c>
      <c r="Y71" s="77">
        <f t="shared" si="7"/>
        <v>553.60082296551832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>Option 2: Replace / Install Network Devices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4959.8186339081585</v>
      </c>
      <c r="E75" s="141">
        <f>Calculations!E62*(1+$D$19)</f>
        <v>423.13292466507016</v>
      </c>
      <c r="F75" s="141">
        <f>Calculations!F62*(1+$D$19)</f>
        <v>1459.4381285282197</v>
      </c>
      <c r="G75" s="141">
        <f>Calculations!G62*(1+$D$19)</f>
        <v>1511.7044312493363</v>
      </c>
      <c r="H75" s="141">
        <f>Calculations!H62*(1+$D$19)</f>
        <v>1565.5431494655318</v>
      </c>
      <c r="I75" s="141">
        <f>Calculations!I62*(1+$D$19)</f>
        <v>0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Cost 1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4959.8186339081585</v>
      </c>
      <c r="E94" s="68">
        <f>SUM(E75:E93)</f>
        <v>423.13292466507016</v>
      </c>
      <c r="F94" s="69">
        <f t="shared" ref="F94:Y94" si="9">SUM(F75:F93)</f>
        <v>1459.4381285282197</v>
      </c>
      <c r="G94" s="69">
        <f t="shared" si="9"/>
        <v>1511.7044312493363</v>
      </c>
      <c r="H94" s="69">
        <f t="shared" si="9"/>
        <v>1565.5431494655318</v>
      </c>
      <c r="I94" s="69">
        <f t="shared" si="9"/>
        <v>0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3740.9735199997594</v>
      </c>
      <c r="E95" s="77">
        <f t="shared" ref="E95:Y95" si="10">E94/E$13</f>
        <v>364.99540217062133</v>
      </c>
      <c r="F95" s="77">
        <f t="shared" si="10"/>
        <v>1169.2343053008283</v>
      </c>
      <c r="G95" s="77">
        <f t="shared" si="10"/>
        <v>1124.8329607649121</v>
      </c>
      <c r="H95" s="77">
        <f t="shared" si="10"/>
        <v>1081.9108517633979</v>
      </c>
      <c r="I95" s="77">
        <f t="shared" si="10"/>
        <v>0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>Option 3: Replace / Install 80% Network Devices, Purchase the Remaining 20% of the AMI data and Control Functionality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8629.7559077088445</v>
      </c>
      <c r="E99" s="141">
        <f>Calculations!E86*(1+$D$19)</f>
        <v>2938.5829108080006</v>
      </c>
      <c r="F99" s="141">
        <f>Calculations!F86*(1+$D$19)</f>
        <v>2256.7042932623353</v>
      </c>
      <c r="G99" s="141">
        <f>Calculations!G86*(1+$D$19)</f>
        <v>1262.4964846474697</v>
      </c>
      <c r="H99" s="141">
        <f>Calculations!H86*(1+$D$19)</f>
        <v>1308.78549548111</v>
      </c>
      <c r="I99" s="141">
        <f>Calculations!I86*(1+$D$19)</f>
        <v>26.259329512815697</v>
      </c>
      <c r="J99" s="141">
        <f>Calculations!J86*(1+$D$19)</f>
        <v>28.827895928853884</v>
      </c>
      <c r="K99" s="141">
        <f>Calculations!K86*(1+$D$19)</f>
        <v>31.486239760578908</v>
      </c>
      <c r="L99" s="141">
        <f>Calculations!L86*(1+$D$19)</f>
        <v>34.236877666063087</v>
      </c>
      <c r="M99" s="141">
        <f>Calculations!M86*(1+$D$19)</f>
        <v>37.082390161083751</v>
      </c>
      <c r="N99" s="141">
        <f>Calculations!N86*(1+$D$19)</f>
        <v>40.025423149632822</v>
      </c>
      <c r="O99" s="141">
        <f>Calculations!O86*(1+$D$19)</f>
        <v>43.068689489776567</v>
      </c>
      <c r="P99" s="141">
        <f>Calculations!P86*(1+$D$19)</f>
        <v>46.214970595661299</v>
      </c>
      <c r="Q99" s="141">
        <f>Calculations!Q86*(1+$D$19)</f>
        <v>49.467118076477981</v>
      </c>
      <c r="R99" s="141">
        <f>Calculations!R86*(1+$D$19)</f>
        <v>52.828055413216966</v>
      </c>
      <c r="S99" s="141">
        <f>Calculations!S86*(1+$D$19)</f>
        <v>56.300779674062163</v>
      </c>
      <c r="T99" s="141">
        <f>Calculations!T86*(1+$D$19)</f>
        <v>59.888363269292846</v>
      </c>
      <c r="U99" s="141">
        <f>Calculations!U86*(1+$D$19)</f>
        <v>63.593955746580328</v>
      </c>
      <c r="V99" s="141">
        <f>Calculations!V86*(1+$D$19)</f>
        <v>67.420785627586554</v>
      </c>
      <c r="W99" s="141">
        <f>Calculations!W86*(1+$D$19)</f>
        <v>71.372162286791024</v>
      </c>
      <c r="X99" s="141">
        <f>Calculations!X86*(1+$D$19)</f>
        <v>75.451477873493829</v>
      </c>
      <c r="Y99" s="141">
        <f>Calculations!Y86*(1+$D$19)</f>
        <v>79.662209277962447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Need to Neutral Inegrity Test 1/5 of the services where data is 
acquired from non-UE  Meter Data Provider</v>
      </c>
      <c r="D108" s="67">
        <f t="shared" si="11"/>
        <v>3255.2675594711932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22.62995175822471</v>
      </c>
      <c r="P108" s="141">
        <f>Calculations!P95*(1+$D$20)</f>
        <v>276.72873723862091</v>
      </c>
      <c r="Q108" s="141">
        <f>Calculations!Q95*(1+$D$20)</f>
        <v>285.37985072692783</v>
      </c>
      <c r="R108" s="141">
        <f>Calculations!R95*(1+$D$20)</f>
        <v>294.4058590497761</v>
      </c>
      <c r="S108" s="141">
        <f>Calculations!S95*(1+$D$20)</f>
        <v>303.83807989380148</v>
      </c>
      <c r="T108" s="141">
        <f>Calculations!T95*(1+$D$20)</f>
        <v>313.67518922563636</v>
      </c>
      <c r="U108" s="141">
        <f>Calculations!U95*(1+$D$20)</f>
        <v>323.9322513935893</v>
      </c>
      <c r="V108" s="141">
        <f>Calculations!V95*(1+$D$20)</f>
        <v>334.62481920781323</v>
      </c>
      <c r="W108" s="141">
        <f>Calculations!W95*(1+$D$20)</f>
        <v>345.76894831617642</v>
      </c>
      <c r="X108" s="141">
        <f>Calculations!X95*(1+$D$20)</f>
        <v>357.38121197528733</v>
      </c>
      <c r="Y108" s="141">
        <f>Calculations!Y95*(1+$D$20)</f>
        <v>396.90266068534004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11885.023467180039</v>
      </c>
      <c r="E118" s="68">
        <f>SUM(E99:E117)</f>
        <v>2938.5829108080006</v>
      </c>
      <c r="F118" s="69">
        <f t="shared" ref="F118:Y118" si="12">SUM(F99:F117)</f>
        <v>2256.7042932623353</v>
      </c>
      <c r="G118" s="69">
        <f t="shared" si="12"/>
        <v>1262.4964846474697</v>
      </c>
      <c r="H118" s="69">
        <f t="shared" si="12"/>
        <v>1308.78549548111</v>
      </c>
      <c r="I118" s="69">
        <f t="shared" si="12"/>
        <v>26.259329512815697</v>
      </c>
      <c r="J118" s="69">
        <f t="shared" si="12"/>
        <v>28.827895928853884</v>
      </c>
      <c r="K118" s="69">
        <f t="shared" si="12"/>
        <v>31.486239760578908</v>
      </c>
      <c r="L118" s="69">
        <f t="shared" si="12"/>
        <v>34.236877666063087</v>
      </c>
      <c r="M118" s="69">
        <f t="shared" si="12"/>
        <v>37.082390161083751</v>
      </c>
      <c r="N118" s="69">
        <f t="shared" si="12"/>
        <v>40.025423149632822</v>
      </c>
      <c r="O118" s="69">
        <f t="shared" si="12"/>
        <v>65.69864124800128</v>
      </c>
      <c r="P118" s="69">
        <f t="shared" si="12"/>
        <v>322.94370783428224</v>
      </c>
      <c r="Q118" s="69">
        <f t="shared" si="12"/>
        <v>334.84696880340579</v>
      </c>
      <c r="R118" s="69">
        <f t="shared" si="12"/>
        <v>347.23391446299308</v>
      </c>
      <c r="S118" s="69">
        <f t="shared" si="12"/>
        <v>360.13885956786362</v>
      </c>
      <c r="T118" s="69">
        <f t="shared" si="12"/>
        <v>373.56355249492918</v>
      </c>
      <c r="U118" s="69">
        <f t="shared" si="12"/>
        <v>387.52620714016962</v>
      </c>
      <c r="V118" s="69">
        <f t="shared" si="12"/>
        <v>402.04560483539979</v>
      </c>
      <c r="W118" s="69">
        <f t="shared" si="12"/>
        <v>417.14111060296744</v>
      </c>
      <c r="X118" s="69">
        <f t="shared" si="12"/>
        <v>432.83268984878117</v>
      </c>
      <c r="Y118" s="150">
        <f t="shared" si="12"/>
        <v>476.5648699633025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7373.9961055069389</v>
      </c>
      <c r="E119" s="77">
        <f t="shared" ref="E119:Y119" si="13">E118/E$13</f>
        <v>2534.8281564027916</v>
      </c>
      <c r="F119" s="77">
        <f t="shared" si="13"/>
        <v>1807.9670696714725</v>
      </c>
      <c r="G119" s="77">
        <f t="shared" si="13"/>
        <v>939.40166438996164</v>
      </c>
      <c r="H119" s="77">
        <f t="shared" si="13"/>
        <v>904.47154438059385</v>
      </c>
      <c r="I119" s="77">
        <f t="shared" si="13"/>
        <v>16.85447986581438</v>
      </c>
      <c r="J119" s="77">
        <f t="shared" si="13"/>
        <v>17.185016528634968</v>
      </c>
      <c r="K119" s="77">
        <f t="shared" si="13"/>
        <v>17.432637273902881</v>
      </c>
      <c r="L119" s="77">
        <f t="shared" si="13"/>
        <v>17.605231230752334</v>
      </c>
      <c r="M119" s="77">
        <f t="shared" si="13"/>
        <v>17.710082670584413</v>
      </c>
      <c r="N119" s="77">
        <f t="shared" si="13"/>
        <v>17.753913042525774</v>
      </c>
      <c r="O119" s="77">
        <f t="shared" si="13"/>
        <v>27.065735360534756</v>
      </c>
      <c r="P119" s="77">
        <f t="shared" si="13"/>
        <v>123.56502391817999</v>
      </c>
      <c r="Q119" s="77">
        <f t="shared" si="13"/>
        <v>118.99271921353731</v>
      </c>
      <c r="R119" s="77">
        <f t="shared" si="13"/>
        <v>114.60443923697693</v>
      </c>
      <c r="S119" s="77">
        <f t="shared" si="13"/>
        <v>110.39631477981386</v>
      </c>
      <c r="T119" s="77">
        <f t="shared" si="13"/>
        <v>106.35413381077787</v>
      </c>
      <c r="U119" s="77">
        <f t="shared" si="13"/>
        <v>102.46988358520393</v>
      </c>
      <c r="V119" s="77">
        <f t="shared" si="13"/>
        <v>98.736054948470937</v>
      </c>
      <c r="W119" s="77">
        <f t="shared" si="13"/>
        <v>95.14560500451671</v>
      </c>
      <c r="X119" s="77">
        <f t="shared" si="13"/>
        <v>91.691922673435528</v>
      </c>
      <c r="Y119" s="77">
        <f t="shared" si="13"/>
        <v>93.764477518457085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Cost 1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Cost 1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0</v>
      </c>
      <c r="G174" s="145">
        <f t="shared" si="20"/>
        <v>0</v>
      </c>
      <c r="H174" s="145">
        <f t="shared" si="20"/>
        <v>0</v>
      </c>
      <c r="I174" s="145">
        <f t="shared" si="20"/>
        <v>0</v>
      </c>
      <c r="J174" s="145">
        <f t="shared" si="20"/>
        <v>0</v>
      </c>
      <c r="K174" s="145">
        <f t="shared" si="20"/>
        <v>0</v>
      </c>
      <c r="L174" s="145">
        <f t="shared" si="20"/>
        <v>0</v>
      </c>
      <c r="M174" s="145">
        <f t="shared" si="20"/>
        <v>0</v>
      </c>
      <c r="N174" s="145">
        <f t="shared" si="20"/>
        <v>0</v>
      </c>
      <c r="O174" s="145">
        <f t="shared" si="20"/>
        <v>0</v>
      </c>
      <c r="P174" s="145">
        <f t="shared" si="20"/>
        <v>0</v>
      </c>
      <c r="Q174" s="145">
        <f t="shared" si="20"/>
        <v>0</v>
      </c>
      <c r="R174" s="145">
        <f t="shared" si="20"/>
        <v>0</v>
      </c>
      <c r="S174" s="145">
        <f t="shared" si="20"/>
        <v>0</v>
      </c>
      <c r="T174" s="145">
        <f t="shared" si="20"/>
        <v>0</v>
      </c>
      <c r="U174" s="145">
        <f t="shared" si="20"/>
        <v>0</v>
      </c>
      <c r="V174" s="145">
        <f t="shared" si="20"/>
        <v>0</v>
      </c>
      <c r="W174" s="145">
        <f t="shared" si="20"/>
        <v>0</v>
      </c>
      <c r="X174" s="145">
        <f t="shared" si="20"/>
        <v>0</v>
      </c>
      <c r="Y174" s="145">
        <f t="shared" si="20"/>
        <v>0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Perform Manual Neutral Integrity where UE Meters are Removed</v>
      </c>
      <c r="D175" s="80"/>
      <c r="E175" s="302">
        <f t="shared" ref="E175:Y175" si="21">E70</f>
        <v>0</v>
      </c>
      <c r="F175" s="302">
        <f t="shared" si="21"/>
        <v>113.81721948865976</v>
      </c>
      <c r="G175" s="302">
        <f t="shared" si="21"/>
        <v>143.00518302619605</v>
      </c>
      <c r="H175" s="302">
        <f t="shared" si="21"/>
        <v>173.17382040510464</v>
      </c>
      <c r="I175" s="302">
        <f t="shared" si="21"/>
        <v>204.15618722002174</v>
      </c>
      <c r="J175" s="302">
        <f t="shared" si="21"/>
        <v>235.95984783337343</v>
      </c>
      <c r="K175" s="302">
        <f t="shared" si="21"/>
        <v>268.61942361229615</v>
      </c>
      <c r="L175" s="302">
        <f t="shared" si="21"/>
        <v>302.15422689579111</v>
      </c>
      <c r="M175" s="302">
        <f t="shared" si="21"/>
        <v>336.58781029160275</v>
      </c>
      <c r="N175" s="302">
        <f t="shared" si="21"/>
        <v>371.944235003453</v>
      </c>
      <c r="O175" s="302">
        <f t="shared" si="21"/>
        <v>521.39784278370314</v>
      </c>
      <c r="P175" s="302">
        <f t="shared" si="21"/>
        <v>1829.1681615465482</v>
      </c>
      <c r="Q175" s="302">
        <f t="shared" si="21"/>
        <v>1910.6983295470193</v>
      </c>
      <c r="R175" s="302">
        <f t="shared" si="21"/>
        <v>1995.1274103067715</v>
      </c>
      <c r="S175" s="302">
        <f t="shared" si="21"/>
        <v>2082.6387982802448</v>
      </c>
      <c r="T175" s="302">
        <f t="shared" si="21"/>
        <v>2173.2532702741246</v>
      </c>
      <c r="U175" s="302">
        <f t="shared" si="21"/>
        <v>2267.074150532751</v>
      </c>
      <c r="V175" s="302">
        <f t="shared" si="21"/>
        <v>2364.2078259820578</v>
      </c>
      <c r="W175" s="302">
        <f t="shared" si="21"/>
        <v>2464.7638332267111</v>
      </c>
      <c r="X175" s="302">
        <f t="shared" si="21"/>
        <v>2568.8549478063051</v>
      </c>
      <c r="Y175" s="302">
        <f t="shared" si="21"/>
        <v>2813.7169980625813</v>
      </c>
      <c r="Z175" s="301"/>
    </row>
    <row r="176" spans="1:26" s="291" customFormat="1" x14ac:dyDescent="0.2">
      <c r="A176" s="130">
        <v>3</v>
      </c>
      <c r="B176" s="107"/>
      <c r="C176" s="80" t="str">
        <f>B73</f>
        <v>Option 2: Replace / Install Network Devices</v>
      </c>
      <c r="D176" s="80"/>
      <c r="E176" s="302">
        <f t="shared" ref="E176:Y176" si="22">E94</f>
        <v>423.13292466507016</v>
      </c>
      <c r="F176" s="302">
        <f t="shared" si="22"/>
        <v>1459.4381285282197</v>
      </c>
      <c r="G176" s="302">
        <f t="shared" si="22"/>
        <v>1511.7044312493363</v>
      </c>
      <c r="H176" s="302">
        <f t="shared" si="22"/>
        <v>1565.5431494655318</v>
      </c>
      <c r="I176" s="302">
        <f t="shared" si="22"/>
        <v>0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>Option 3: Replace / Install 80% Network Devices, Purchase the Remaining 20% of the AMI data and Control Functionality</v>
      </c>
      <c r="D177" s="80"/>
      <c r="E177" s="302">
        <f t="shared" ref="E177:Y177" si="23">E118</f>
        <v>2938.5829108080006</v>
      </c>
      <c r="F177" s="302">
        <f t="shared" si="23"/>
        <v>2256.7042932623353</v>
      </c>
      <c r="G177" s="302">
        <f t="shared" si="23"/>
        <v>1262.4964846474697</v>
      </c>
      <c r="H177" s="302">
        <f t="shared" si="23"/>
        <v>1308.78549548111</v>
      </c>
      <c r="I177" s="302">
        <f t="shared" si="23"/>
        <v>26.259329512815697</v>
      </c>
      <c r="J177" s="302">
        <f t="shared" si="23"/>
        <v>28.827895928853884</v>
      </c>
      <c r="K177" s="302">
        <f t="shared" si="23"/>
        <v>31.486239760578908</v>
      </c>
      <c r="L177" s="302">
        <f t="shared" si="23"/>
        <v>34.236877666063087</v>
      </c>
      <c r="M177" s="302">
        <f t="shared" si="23"/>
        <v>37.082390161083751</v>
      </c>
      <c r="N177" s="302">
        <f t="shared" si="23"/>
        <v>40.025423149632822</v>
      </c>
      <c r="O177" s="302">
        <f t="shared" si="23"/>
        <v>65.69864124800128</v>
      </c>
      <c r="P177" s="302">
        <f t="shared" si="23"/>
        <v>322.94370783428224</v>
      </c>
      <c r="Q177" s="302">
        <f t="shared" si="23"/>
        <v>334.84696880340579</v>
      </c>
      <c r="R177" s="302">
        <f t="shared" si="23"/>
        <v>347.23391446299308</v>
      </c>
      <c r="S177" s="302">
        <f t="shared" si="23"/>
        <v>360.13885956786362</v>
      </c>
      <c r="T177" s="302">
        <f t="shared" si="23"/>
        <v>373.56355249492918</v>
      </c>
      <c r="U177" s="302">
        <f t="shared" si="23"/>
        <v>387.52620714016962</v>
      </c>
      <c r="V177" s="302">
        <f t="shared" si="23"/>
        <v>402.04560483539979</v>
      </c>
      <c r="W177" s="302">
        <f t="shared" si="23"/>
        <v>417.14111060296744</v>
      </c>
      <c r="X177" s="302">
        <f t="shared" si="23"/>
        <v>432.83268984878117</v>
      </c>
      <c r="Y177" s="302">
        <f t="shared" si="23"/>
        <v>476.5648699633025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0</v>
      </c>
      <c r="G183" s="145">
        <f t="shared" si="26"/>
        <v>0</v>
      </c>
      <c r="H183" s="145">
        <f t="shared" si="26"/>
        <v>0</v>
      </c>
      <c r="I183" s="145">
        <f t="shared" si="26"/>
        <v>0</v>
      </c>
      <c r="J183" s="145">
        <f t="shared" si="26"/>
        <v>0</v>
      </c>
      <c r="K183" s="145">
        <f t="shared" si="26"/>
        <v>0</v>
      </c>
      <c r="L183" s="145">
        <f t="shared" si="26"/>
        <v>0</v>
      </c>
      <c r="M183" s="145">
        <f t="shared" si="26"/>
        <v>0</v>
      </c>
      <c r="N183" s="145">
        <f t="shared" si="26"/>
        <v>0</v>
      </c>
      <c r="O183" s="145">
        <f t="shared" si="26"/>
        <v>0</v>
      </c>
      <c r="P183" s="145">
        <f t="shared" si="26"/>
        <v>0</v>
      </c>
      <c r="Q183" s="145">
        <f t="shared" si="26"/>
        <v>0</v>
      </c>
      <c r="R183" s="145">
        <f t="shared" si="26"/>
        <v>0</v>
      </c>
      <c r="S183" s="145">
        <f t="shared" si="26"/>
        <v>0</v>
      </c>
      <c r="T183" s="145">
        <f t="shared" si="26"/>
        <v>0</v>
      </c>
      <c r="U183" s="145">
        <f t="shared" si="26"/>
        <v>0</v>
      </c>
      <c r="V183" s="145">
        <f t="shared" si="26"/>
        <v>0</v>
      </c>
      <c r="W183" s="145">
        <f t="shared" si="26"/>
        <v>0</v>
      </c>
      <c r="X183" s="145">
        <f t="shared" si="26"/>
        <v>0</v>
      </c>
      <c r="Y183" s="145">
        <f t="shared" si="26"/>
        <v>0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Perform Manual Neutral Integrity where UE Meters are Removed</v>
      </c>
      <c r="D184" s="80"/>
      <c r="E184" s="145">
        <f t="shared" ref="E184:Y184" si="27">E71</f>
        <v>0</v>
      </c>
      <c r="F184" s="145">
        <f t="shared" si="27"/>
        <v>91.185090315750074</v>
      </c>
      <c r="G184" s="145">
        <f t="shared" si="27"/>
        <v>106.40766812805153</v>
      </c>
      <c r="H184" s="145">
        <f t="shared" si="27"/>
        <v>119.67644302973808</v>
      </c>
      <c r="I184" s="145">
        <f t="shared" si="27"/>
        <v>131.03709846445071</v>
      </c>
      <c r="J184" s="145">
        <f t="shared" si="27"/>
        <v>140.6614584400551</v>
      </c>
      <c r="K184" s="145">
        <f t="shared" si="27"/>
        <v>148.72353803329878</v>
      </c>
      <c r="L184" s="145">
        <f t="shared" si="27"/>
        <v>155.37325230806599</v>
      </c>
      <c r="M184" s="145">
        <f t="shared" si="27"/>
        <v>160.75010052698971</v>
      </c>
      <c r="N184" s="145">
        <f t="shared" si="27"/>
        <v>164.98178121024196</v>
      </c>
      <c r="O184" s="145">
        <f t="shared" si="27"/>
        <v>214.79920683697151</v>
      </c>
      <c r="P184" s="145">
        <f t="shared" si="27"/>
        <v>699.87803492940247</v>
      </c>
      <c r="Q184" s="145">
        <f t="shared" si="27"/>
        <v>678.99431982927581</v>
      </c>
      <c r="R184" s="145">
        <f t="shared" si="27"/>
        <v>658.49114542323389</v>
      </c>
      <c r="S184" s="145">
        <f t="shared" si="27"/>
        <v>638.40833122945583</v>
      </c>
      <c r="T184" s="145">
        <f t="shared" si="27"/>
        <v>618.72864086381207</v>
      </c>
      <c r="U184" s="145">
        <f t="shared" si="27"/>
        <v>599.46093968320929</v>
      </c>
      <c r="V184" s="145">
        <f t="shared" si="27"/>
        <v>580.61212710269115</v>
      </c>
      <c r="W184" s="145">
        <f t="shared" si="27"/>
        <v>562.18732736897232</v>
      </c>
      <c r="X184" s="145">
        <f t="shared" si="27"/>
        <v>544.19006410033342</v>
      </c>
      <c r="Y184" s="145">
        <f t="shared" si="27"/>
        <v>553.60082296551832</v>
      </c>
      <c r="Z184" s="301"/>
    </row>
    <row r="185" spans="1:26" s="291" customFormat="1" x14ac:dyDescent="0.2">
      <c r="A185" s="130">
        <v>3</v>
      </c>
      <c r="B185" s="107"/>
      <c r="C185" s="80" t="str">
        <f>B73</f>
        <v>Option 2: Replace / Install Network Devices</v>
      </c>
      <c r="D185" s="80"/>
      <c r="E185" s="145">
        <f t="shared" ref="E185:Y185" si="28">E95</f>
        <v>364.99540217062133</v>
      </c>
      <c r="F185" s="145">
        <f t="shared" si="28"/>
        <v>1169.2343053008283</v>
      </c>
      <c r="G185" s="145">
        <f t="shared" si="28"/>
        <v>1124.8329607649121</v>
      </c>
      <c r="H185" s="145">
        <f t="shared" si="28"/>
        <v>1081.9108517633979</v>
      </c>
      <c r="I185" s="145">
        <f t="shared" si="28"/>
        <v>0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>Option 3: Replace / Install 80% Network Devices, Purchase the Remaining 20% of the AMI data and Control Functionality</v>
      </c>
      <c r="D186" s="80"/>
      <c r="E186" s="145">
        <f t="shared" ref="E186:Y186" si="29">E119</f>
        <v>2534.8281564027916</v>
      </c>
      <c r="F186" s="145">
        <f t="shared" si="29"/>
        <v>1807.9670696714725</v>
      </c>
      <c r="G186" s="145">
        <f t="shared" si="29"/>
        <v>939.40166438996164</v>
      </c>
      <c r="H186" s="145">
        <f t="shared" si="29"/>
        <v>904.47154438059385</v>
      </c>
      <c r="I186" s="145">
        <f t="shared" si="29"/>
        <v>16.85447986581438</v>
      </c>
      <c r="J186" s="145">
        <f t="shared" si="29"/>
        <v>17.185016528634968</v>
      </c>
      <c r="K186" s="145">
        <f t="shared" si="29"/>
        <v>17.432637273902881</v>
      </c>
      <c r="L186" s="145">
        <f t="shared" si="29"/>
        <v>17.605231230752334</v>
      </c>
      <c r="M186" s="145">
        <f t="shared" si="29"/>
        <v>17.710082670584413</v>
      </c>
      <c r="N186" s="145">
        <f t="shared" si="29"/>
        <v>17.753913042525774</v>
      </c>
      <c r="O186" s="145">
        <f t="shared" si="29"/>
        <v>27.065735360534756</v>
      </c>
      <c r="P186" s="145">
        <f t="shared" si="29"/>
        <v>123.56502391817999</v>
      </c>
      <c r="Q186" s="145">
        <f t="shared" si="29"/>
        <v>118.99271921353731</v>
      </c>
      <c r="R186" s="145">
        <f t="shared" si="29"/>
        <v>114.60443923697693</v>
      </c>
      <c r="S186" s="145">
        <f t="shared" si="29"/>
        <v>110.39631477981386</v>
      </c>
      <c r="T186" s="145">
        <f t="shared" si="29"/>
        <v>106.35413381077787</v>
      </c>
      <c r="U186" s="145">
        <f t="shared" si="29"/>
        <v>102.46988358520393</v>
      </c>
      <c r="V186" s="145">
        <f t="shared" si="29"/>
        <v>98.736054948470937</v>
      </c>
      <c r="W186" s="145">
        <f t="shared" si="29"/>
        <v>95.14560500451671</v>
      </c>
      <c r="X186" s="145">
        <f t="shared" si="29"/>
        <v>91.691922673435528</v>
      </c>
      <c r="Y186" s="145">
        <f t="shared" si="29"/>
        <v>93.764477518457085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153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Perform Manual Neutral Integrity where UE Meters are Removed</v>
      </c>
      <c r="F191" s="387" t="str">
        <f>B73</f>
        <v>Option 2: Replace / Install Network Devices</v>
      </c>
      <c r="G191" s="388" t="str">
        <f>B97</f>
        <v>Option 3: Replace / Install 80% Network Devices, Purchase the Remaining 20% of the AMI data and Control Functionality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4637.0731861661097</v>
      </c>
      <c r="F193" s="305">
        <f>D75</f>
        <v>4959.8186339081585</v>
      </c>
      <c r="G193" s="306">
        <f>D99</f>
        <v>8629.7559077088445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0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Cost 1</v>
      </c>
      <c r="D198" s="304">
        <f t="shared" si="37"/>
        <v>0</v>
      </c>
      <c r="E198" s="304">
        <f t="shared" si="32"/>
        <v>16276.337797355969</v>
      </c>
      <c r="F198" s="305">
        <f t="shared" si="33"/>
        <v>0</v>
      </c>
      <c r="G198" s="306">
        <f t="shared" si="34"/>
        <v>3255.2675594711932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4226.9085386032384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0</v>
      </c>
      <c r="E204" s="122">
        <f t="shared" si="38"/>
        <v>25140.319522125319</v>
      </c>
      <c r="F204" s="122">
        <f t="shared" si="38"/>
        <v>4959.8186339081585</v>
      </c>
      <c r="G204" s="122">
        <f t="shared" si="38"/>
        <v>11885.023467180037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 t="str">
        <f>IF(D204=0," ",D47)</f>
        <v xml:space="preserve"> </v>
      </c>
      <c r="E206" s="123">
        <f>IF(E204=0," ",D71)</f>
        <v>7568.147390789517</v>
      </c>
      <c r="F206" s="128">
        <f>IF(F204=0," ",D95)</f>
        <v>3740.9735199997594</v>
      </c>
      <c r="G206" s="119">
        <f>IF(G204=0," ",D119)</f>
        <v>7373.9961055069389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3740.9735199997594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2: Replace / Install Network Devices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2017</v>
      </c>
      <c r="F215" s="311">
        <f t="shared" si="39"/>
        <v>2018</v>
      </c>
      <c r="G215" s="311">
        <f t="shared" si="39"/>
        <v>2019</v>
      </c>
      <c r="H215" s="311">
        <f t="shared" si="39"/>
        <v>2020</v>
      </c>
      <c r="I215" s="311">
        <f t="shared" si="39"/>
        <v>2021</v>
      </c>
      <c r="J215" s="311">
        <f t="shared" si="39"/>
        <v>2022</v>
      </c>
      <c r="K215" s="311">
        <f t="shared" si="39"/>
        <v>2023</v>
      </c>
      <c r="L215" s="311">
        <f t="shared" si="39"/>
        <v>2024</v>
      </c>
      <c r="M215" s="311">
        <f t="shared" si="39"/>
        <v>2025</v>
      </c>
      <c r="N215" s="311">
        <f t="shared" si="39"/>
        <v>2026</v>
      </c>
      <c r="O215" s="311">
        <f t="shared" si="39"/>
        <v>2027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0</v>
      </c>
      <c r="G216" s="313">
        <f t="shared" si="40"/>
        <v>0</v>
      </c>
      <c r="H216" s="313">
        <f t="shared" si="40"/>
        <v>0</v>
      </c>
      <c r="I216" s="313">
        <f t="shared" si="40"/>
        <v>0</v>
      </c>
      <c r="J216" s="313">
        <f t="shared" si="40"/>
        <v>0</v>
      </c>
      <c r="K216" s="313">
        <f t="shared" si="40"/>
        <v>0</v>
      </c>
      <c r="L216" s="313">
        <f t="shared" si="40"/>
        <v>0</v>
      </c>
      <c r="M216" s="313">
        <f t="shared" si="40"/>
        <v>0</v>
      </c>
      <c r="N216" s="313">
        <f t="shared" si="40"/>
        <v>0</v>
      </c>
      <c r="O216" s="313">
        <f t="shared" si="40"/>
        <v>0</v>
      </c>
      <c r="P216" s="313">
        <f t="shared" si="40"/>
        <v>0</v>
      </c>
      <c r="Q216" s="313">
        <f t="shared" si="40"/>
        <v>0</v>
      </c>
      <c r="R216" s="313">
        <f t="shared" si="40"/>
        <v>0</v>
      </c>
      <c r="S216" s="313">
        <f t="shared" si="40"/>
        <v>0</v>
      </c>
      <c r="T216" s="313">
        <f t="shared" si="40"/>
        <v>0</v>
      </c>
      <c r="U216" s="313">
        <f t="shared" si="40"/>
        <v>0</v>
      </c>
      <c r="V216" s="313">
        <f t="shared" si="40"/>
        <v>0</v>
      </c>
      <c r="W216" s="313">
        <f t="shared" si="40"/>
        <v>0</v>
      </c>
      <c r="X216" s="313">
        <f t="shared" si="40"/>
        <v>0</v>
      </c>
      <c r="Y216" s="313">
        <f t="shared" si="40"/>
        <v>0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2: Replace / Install Network Devices annual carrying costs</v>
      </c>
      <c r="E217" s="313">
        <f t="shared" ref="E217:Y217" si="41">E228</f>
        <v>36.685624568461584</v>
      </c>
      <c r="F217" s="313">
        <f t="shared" si="41"/>
        <v>163.21891031185825</v>
      </c>
      <c r="G217" s="313">
        <f t="shared" si="41"/>
        <v>294.28368450117568</v>
      </c>
      <c r="H217" s="313">
        <f t="shared" si="41"/>
        <v>430.01627555983737</v>
      </c>
      <c r="I217" s="313">
        <f t="shared" si="41"/>
        <v>430.01627555983737</v>
      </c>
      <c r="J217" s="313">
        <f t="shared" si="41"/>
        <v>430.01627555983737</v>
      </c>
      <c r="K217" s="313">
        <f t="shared" si="41"/>
        <v>430.01627555983737</v>
      </c>
      <c r="L217" s="313">
        <f t="shared" si="41"/>
        <v>430.01627555983737</v>
      </c>
      <c r="M217" s="313">
        <f t="shared" si="41"/>
        <v>430.01627555983737</v>
      </c>
      <c r="N217" s="313">
        <f t="shared" si="41"/>
        <v>430.01627555983737</v>
      </c>
      <c r="O217" s="313">
        <f t="shared" si="41"/>
        <v>430.01627555983737</v>
      </c>
      <c r="P217" s="313">
        <f t="shared" si="41"/>
        <v>430.01627555983737</v>
      </c>
      <c r="Q217" s="313">
        <f t="shared" si="41"/>
        <v>430.01627555983737</v>
      </c>
      <c r="R217" s="313">
        <f t="shared" si="41"/>
        <v>430.01627555983737</v>
      </c>
      <c r="S217" s="313">
        <f t="shared" si="41"/>
        <v>430.01627555983737</v>
      </c>
      <c r="T217" s="313">
        <f t="shared" si="41"/>
        <v>430.01627555983737</v>
      </c>
      <c r="U217" s="313">
        <f t="shared" si="41"/>
        <v>430.01627555983737</v>
      </c>
      <c r="V217" s="313">
        <f t="shared" si="41"/>
        <v>430.01627555983737</v>
      </c>
      <c r="W217" s="313">
        <f t="shared" si="41"/>
        <v>430.01627555983737</v>
      </c>
      <c r="X217" s="313">
        <f t="shared" si="41"/>
        <v>430.01627555983737</v>
      </c>
      <c r="Y217" s="313">
        <f t="shared" si="41"/>
        <v>430.01627555983737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2: Replace / Install Network Devices PV of costs</v>
      </c>
      <c r="E218" s="313">
        <f>VLOOKUP($B$225,$A$183:$Y$188,5)</f>
        <v>364.99540217062133</v>
      </c>
      <c r="F218" s="313">
        <f>VLOOKUP($B$225,$A$183:$Y$188,6)</f>
        <v>1169.2343053008283</v>
      </c>
      <c r="G218" s="313">
        <f>VLOOKUP($B$225,$A$183:$Y$188,7)</f>
        <v>1124.8329607649121</v>
      </c>
      <c r="H218" s="313">
        <f>VLOOKUP($B$225,$A$183:$Y$188,8)</f>
        <v>1081.9108517633979</v>
      </c>
      <c r="I218" s="313">
        <f>VLOOKUP($B$225,$A$183:$Y$188,9)</f>
        <v>0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0</v>
      </c>
      <c r="G221" s="313">
        <f t="shared" si="42"/>
        <v>0</v>
      </c>
      <c r="H221" s="313">
        <f t="shared" si="42"/>
        <v>0</v>
      </c>
      <c r="I221" s="313">
        <f t="shared" si="42"/>
        <v>0</v>
      </c>
      <c r="J221" s="313">
        <f t="shared" si="42"/>
        <v>0</v>
      </c>
      <c r="K221" s="313">
        <f t="shared" si="42"/>
        <v>0</v>
      </c>
      <c r="L221" s="313">
        <f t="shared" si="42"/>
        <v>0</v>
      </c>
      <c r="M221" s="313">
        <f t="shared" si="42"/>
        <v>0</v>
      </c>
      <c r="N221" s="313">
        <f t="shared" si="42"/>
        <v>0</v>
      </c>
      <c r="O221" s="313">
        <f t="shared" si="42"/>
        <v>0</v>
      </c>
      <c r="P221" s="313">
        <f t="shared" si="42"/>
        <v>0</v>
      </c>
      <c r="Q221" s="313">
        <f t="shared" si="42"/>
        <v>0</v>
      </c>
      <c r="R221" s="313">
        <f t="shared" si="42"/>
        <v>0</v>
      </c>
      <c r="S221" s="313">
        <f t="shared" si="42"/>
        <v>0</v>
      </c>
      <c r="T221" s="313">
        <f t="shared" si="42"/>
        <v>0</v>
      </c>
      <c r="U221" s="313">
        <f t="shared" si="42"/>
        <v>0</v>
      </c>
      <c r="V221" s="313">
        <f t="shared" si="42"/>
        <v>0</v>
      </c>
      <c r="W221" s="313">
        <f t="shared" si="42"/>
        <v>0</v>
      </c>
      <c r="X221" s="313">
        <f t="shared" si="42"/>
        <v>0</v>
      </c>
      <c r="Y221" s="313">
        <f t="shared" si="42"/>
        <v>0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0</v>
      </c>
      <c r="G222" s="313">
        <f t="shared" si="43"/>
        <v>0</v>
      </c>
      <c r="H222" s="313">
        <f t="shared" si="43"/>
        <v>0</v>
      </c>
      <c r="I222" s="313">
        <f t="shared" si="43"/>
        <v>0</v>
      </c>
      <c r="J222" s="313">
        <f t="shared" si="43"/>
        <v>0</v>
      </c>
      <c r="K222" s="313">
        <f t="shared" si="43"/>
        <v>0</v>
      </c>
      <c r="L222" s="313">
        <f t="shared" si="43"/>
        <v>0</v>
      </c>
      <c r="M222" s="313">
        <f t="shared" si="43"/>
        <v>0</v>
      </c>
      <c r="N222" s="313">
        <f t="shared" si="43"/>
        <v>0</v>
      </c>
      <c r="O222" s="313">
        <f t="shared" si="43"/>
        <v>0</v>
      </c>
      <c r="P222" s="313">
        <f t="shared" si="43"/>
        <v>0</v>
      </c>
      <c r="Q222" s="313">
        <f t="shared" si="43"/>
        <v>0</v>
      </c>
      <c r="R222" s="313">
        <f t="shared" si="43"/>
        <v>0</v>
      </c>
      <c r="S222" s="313">
        <f t="shared" si="43"/>
        <v>0</v>
      </c>
      <c r="T222" s="313">
        <f t="shared" si="43"/>
        <v>0</v>
      </c>
      <c r="U222" s="313">
        <f t="shared" si="43"/>
        <v>0</v>
      </c>
      <c r="V222" s="313">
        <f t="shared" si="43"/>
        <v>0</v>
      </c>
      <c r="W222" s="313">
        <f t="shared" si="43"/>
        <v>0</v>
      </c>
      <c r="X222" s="313">
        <f t="shared" si="43"/>
        <v>0</v>
      </c>
      <c r="Y222" s="313">
        <f t="shared" si="43"/>
        <v>0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0</v>
      </c>
      <c r="G223" s="326">
        <f>G222*'Administrator Input'!$F$22</f>
        <v>0</v>
      </c>
      <c r="H223" s="326">
        <f>H222*'Administrator Input'!$F$22</f>
        <v>0</v>
      </c>
      <c r="I223" s="326">
        <f>I222*'Administrator Input'!$F$22</f>
        <v>0</v>
      </c>
      <c r="J223" s="326">
        <f>J222*'Administrator Input'!$F$22</f>
        <v>0</v>
      </c>
      <c r="K223" s="326">
        <f>K222*'Administrator Input'!$F$22</f>
        <v>0</v>
      </c>
      <c r="L223" s="326">
        <f>L222*'Administrator Input'!$F$22</f>
        <v>0</v>
      </c>
      <c r="M223" s="326">
        <f>M222*'Administrator Input'!$F$22</f>
        <v>0</v>
      </c>
      <c r="N223" s="326">
        <f>N222*'Administrator Input'!$F$22</f>
        <v>0</v>
      </c>
      <c r="O223" s="326">
        <f>O222*'Administrator Input'!$F$22</f>
        <v>0</v>
      </c>
      <c r="P223" s="326">
        <f>P222*'Administrator Input'!$F$22</f>
        <v>0</v>
      </c>
      <c r="Q223" s="326">
        <f>Q222*'Administrator Input'!$F$22</f>
        <v>0</v>
      </c>
      <c r="R223" s="326">
        <f>R222*'Administrator Input'!$F$22</f>
        <v>0</v>
      </c>
      <c r="S223" s="326">
        <f>S222*'Administrator Input'!$F$22</f>
        <v>0</v>
      </c>
      <c r="T223" s="326">
        <f>T222*'Administrator Input'!$F$22</f>
        <v>0</v>
      </c>
      <c r="U223" s="326">
        <f>U222*'Administrator Input'!$F$22</f>
        <v>0</v>
      </c>
      <c r="V223" s="326">
        <f>V222*'Administrator Input'!$F$22</f>
        <v>0</v>
      </c>
      <c r="W223" s="326">
        <f>W222*'Administrator Input'!$F$22</f>
        <v>0</v>
      </c>
      <c r="X223" s="326">
        <f>X222*'Administrator Input'!$F$22</f>
        <v>0</v>
      </c>
      <c r="Y223" s="326">
        <f>Y222*'Administrator Input'!$F$22</f>
        <v>0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3</v>
      </c>
      <c r="C225" s="311"/>
      <c r="D225" s="325" t="str">
        <f>"Recommended Case: "&amp;+D209</f>
        <v>Recommended Case: Option 2: Replace / Install Network Devices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423.13292466507016</v>
      </c>
      <c r="F226" s="313">
        <f>VLOOKUP($B$225,$A$174:$Y$179,6)</f>
        <v>1459.4381285282197</v>
      </c>
      <c r="G226" s="313">
        <f>VLOOKUP($B$225,$A$174:$Y$179,7)</f>
        <v>1511.7044312493363</v>
      </c>
      <c r="H226" s="313">
        <f>VLOOKUP($B$225,$A$174:$Y$179,8)</f>
        <v>1565.5431494655318</v>
      </c>
      <c r="I226" s="313">
        <f>VLOOKUP($B$225,$A$174:$Y$179,9)</f>
        <v>0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423.13292466507016</v>
      </c>
      <c r="F227" s="313">
        <f t="shared" ref="F227:Y227" si="44">E227+F226</f>
        <v>1882.57105319329</v>
      </c>
      <c r="G227" s="313">
        <f t="shared" si="44"/>
        <v>3394.2754844426263</v>
      </c>
      <c r="H227" s="313">
        <f t="shared" si="44"/>
        <v>4959.8186339081585</v>
      </c>
      <c r="I227" s="313">
        <f t="shared" si="44"/>
        <v>4959.8186339081585</v>
      </c>
      <c r="J227" s="313">
        <f t="shared" si="44"/>
        <v>4959.8186339081585</v>
      </c>
      <c r="K227" s="313">
        <f t="shared" si="44"/>
        <v>4959.8186339081585</v>
      </c>
      <c r="L227" s="313">
        <f t="shared" si="44"/>
        <v>4959.8186339081585</v>
      </c>
      <c r="M227" s="313">
        <f t="shared" si="44"/>
        <v>4959.8186339081585</v>
      </c>
      <c r="N227" s="313">
        <f t="shared" si="44"/>
        <v>4959.8186339081585</v>
      </c>
      <c r="O227" s="313">
        <f t="shared" si="44"/>
        <v>4959.8186339081585</v>
      </c>
      <c r="P227" s="313">
        <f t="shared" si="44"/>
        <v>4959.8186339081585</v>
      </c>
      <c r="Q227" s="313">
        <f t="shared" si="44"/>
        <v>4959.8186339081585</v>
      </c>
      <c r="R227" s="313">
        <f t="shared" si="44"/>
        <v>4959.8186339081585</v>
      </c>
      <c r="S227" s="313">
        <f t="shared" si="44"/>
        <v>4959.8186339081585</v>
      </c>
      <c r="T227" s="313">
        <f t="shared" si="44"/>
        <v>4959.8186339081585</v>
      </c>
      <c r="U227" s="313">
        <f t="shared" si="44"/>
        <v>4959.8186339081585</v>
      </c>
      <c r="V227" s="313">
        <f t="shared" si="44"/>
        <v>4959.8186339081585</v>
      </c>
      <c r="W227" s="313">
        <f t="shared" si="44"/>
        <v>4959.8186339081585</v>
      </c>
      <c r="X227" s="313">
        <f t="shared" si="44"/>
        <v>4959.8186339081585</v>
      </c>
      <c r="Y227" s="313">
        <f t="shared" si="44"/>
        <v>4959.8186339081585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36.685624568461584</v>
      </c>
      <c r="F228" s="326">
        <f>F227*'Administrator Input'!$F$22</f>
        <v>163.21891031185825</v>
      </c>
      <c r="G228" s="326">
        <f>G227*'Administrator Input'!$F$22</f>
        <v>294.28368450117568</v>
      </c>
      <c r="H228" s="326">
        <f>H227*'Administrator Input'!$F$22</f>
        <v>430.01627555983737</v>
      </c>
      <c r="I228" s="326">
        <f>I227*'Administrator Input'!$F$22</f>
        <v>430.01627555983737</v>
      </c>
      <c r="J228" s="326">
        <f>J227*'Administrator Input'!$F$22</f>
        <v>430.01627555983737</v>
      </c>
      <c r="K228" s="326">
        <f>K227*'Administrator Input'!$F$22</f>
        <v>430.01627555983737</v>
      </c>
      <c r="L228" s="326">
        <f>L227*'Administrator Input'!$F$22</f>
        <v>430.01627555983737</v>
      </c>
      <c r="M228" s="326">
        <f>M227*'Administrator Input'!$F$22</f>
        <v>430.01627555983737</v>
      </c>
      <c r="N228" s="326">
        <f>N227*'Administrator Input'!$F$22</f>
        <v>430.01627555983737</v>
      </c>
      <c r="O228" s="326">
        <f>O227*'Administrator Input'!$F$22</f>
        <v>430.01627555983737</v>
      </c>
      <c r="P228" s="326">
        <f>P227*'Administrator Input'!$F$22</f>
        <v>430.01627555983737</v>
      </c>
      <c r="Q228" s="326">
        <f>Q227*'Administrator Input'!$F$22</f>
        <v>430.01627555983737</v>
      </c>
      <c r="R228" s="326">
        <f>R227*'Administrator Input'!$F$22</f>
        <v>430.01627555983737</v>
      </c>
      <c r="S228" s="326">
        <f>S227*'Administrator Input'!$F$22</f>
        <v>430.01627555983737</v>
      </c>
      <c r="T228" s="326">
        <f>T227*'Administrator Input'!$F$22</f>
        <v>430.01627555983737</v>
      </c>
      <c r="U228" s="326">
        <f>U227*'Administrator Input'!$F$22</f>
        <v>430.01627555983737</v>
      </c>
      <c r="V228" s="326">
        <f>V227*'Administrator Input'!$F$22</f>
        <v>430.01627555983737</v>
      </c>
      <c r="W228" s="326">
        <f>W227*'Administrator Input'!$F$22</f>
        <v>430.01627555983737</v>
      </c>
      <c r="X228" s="326">
        <f>X227*'Administrator Input'!$F$22</f>
        <v>430.01627555983737</v>
      </c>
      <c r="Y228" s="326">
        <f>Y227*'Administrator Input'!$F$22</f>
        <v>430.01627555983737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DNSP Intelligent Network Device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2017</v>
      </c>
      <c r="F236" s="133">
        <f t="shared" ref="F236:Y236" si="45">E236+1</f>
        <v>2018</v>
      </c>
      <c r="G236" s="133">
        <f t="shared" si="45"/>
        <v>2019</v>
      </c>
      <c r="H236" s="133">
        <f t="shared" si="45"/>
        <v>2020</v>
      </c>
      <c r="I236" s="133">
        <f t="shared" si="45"/>
        <v>2021</v>
      </c>
      <c r="J236" s="133">
        <f t="shared" si="45"/>
        <v>2022</v>
      </c>
      <c r="K236" s="133">
        <f t="shared" si="45"/>
        <v>2023</v>
      </c>
      <c r="L236" s="133">
        <f t="shared" si="45"/>
        <v>2024</v>
      </c>
      <c r="M236" s="133">
        <f t="shared" si="45"/>
        <v>2025</v>
      </c>
      <c r="N236" s="133">
        <f t="shared" si="45"/>
        <v>2026</v>
      </c>
      <c r="O236" s="133">
        <f t="shared" si="45"/>
        <v>2027</v>
      </c>
      <c r="P236" s="133">
        <f t="shared" si="45"/>
        <v>2028</v>
      </c>
      <c r="Q236" s="133">
        <f t="shared" si="45"/>
        <v>2029</v>
      </c>
      <c r="R236" s="133">
        <f t="shared" si="45"/>
        <v>2030</v>
      </c>
      <c r="S236" s="133">
        <f t="shared" si="45"/>
        <v>2031</v>
      </c>
      <c r="T236" s="133">
        <f t="shared" si="45"/>
        <v>2032</v>
      </c>
      <c r="U236" s="133">
        <f t="shared" si="45"/>
        <v>2033</v>
      </c>
      <c r="V236" s="133">
        <f t="shared" si="45"/>
        <v>2034</v>
      </c>
      <c r="W236" s="133">
        <f t="shared" si="45"/>
        <v>2035</v>
      </c>
      <c r="X236" s="133">
        <f t="shared" si="45"/>
        <v>2036</v>
      </c>
      <c r="Y236" s="133">
        <f t="shared" si="45"/>
        <v>2037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284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285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286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0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0</v>
      </c>
      <c r="I256" s="141">
        <f>Calculations!I17*(1+$D$248)</f>
        <v>0</v>
      </c>
      <c r="J256" s="141">
        <f>Calculations!J17*(1+$D$248)</f>
        <v>0</v>
      </c>
      <c r="K256" s="141">
        <f>Calculations!K17*(1+$D$248)</f>
        <v>0</v>
      </c>
      <c r="L256" s="141">
        <f>Calculations!L17*(1+$D$248)</f>
        <v>0</v>
      </c>
      <c r="M256" s="141">
        <f>Calculations!M17*(1+$D$248)</f>
        <v>0</v>
      </c>
      <c r="N256" s="141">
        <f>Calculations!N17*(1+$D$248)</f>
        <v>0</v>
      </c>
      <c r="O256" s="141">
        <f>Calculations!O17*(1+$D$248)</f>
        <v>0</v>
      </c>
      <c r="P256" s="141">
        <f>Calculations!P17*(1+$D$248)</f>
        <v>0</v>
      </c>
      <c r="Q256" s="141">
        <f>Calculations!Q17*(1+$D$248)</f>
        <v>0</v>
      </c>
      <c r="R256" s="141">
        <f>Calculations!R17*(1+$D$248)</f>
        <v>0</v>
      </c>
      <c r="S256" s="141">
        <f>Calculations!S17*(1+$D$248)</f>
        <v>0</v>
      </c>
      <c r="T256" s="141">
        <f>Calculations!T17*(1+$D$248)</f>
        <v>0</v>
      </c>
      <c r="U256" s="141">
        <f>Calculations!U17*(1+$D$248)</f>
        <v>0</v>
      </c>
      <c r="V256" s="141">
        <f>Calculations!V17*(1+$D$248)</f>
        <v>0</v>
      </c>
      <c r="W256" s="141">
        <f>Calculations!W17*(1+$D$248)</f>
        <v>0</v>
      </c>
      <c r="X256" s="141">
        <f>Calculations!X17*(1+$D$248)</f>
        <v>0</v>
      </c>
      <c r="Y256" s="141">
        <f>Calculations!Y17*(1+$D$248)</f>
        <v>0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0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0</v>
      </c>
      <c r="I257" s="141">
        <f>Calculations!I18*(1+$D$247)</f>
        <v>0</v>
      </c>
      <c r="J257" s="141">
        <f>Calculations!J18*(1+$D$247)</f>
        <v>0</v>
      </c>
      <c r="K257" s="141">
        <f>Calculations!K18*(1+$D$247)</f>
        <v>0</v>
      </c>
      <c r="L257" s="141">
        <f>Calculations!L18*(1+$D$247)</f>
        <v>0</v>
      </c>
      <c r="M257" s="141">
        <f>Calculations!M18*(1+$D$247)</f>
        <v>0</v>
      </c>
      <c r="N257" s="141">
        <f>Calculations!N18*(1+$D$247)</f>
        <v>0</v>
      </c>
      <c r="O257" s="141">
        <f>Calculations!O18*(1+$D$247)</f>
        <v>0</v>
      </c>
      <c r="P257" s="141">
        <f>Calculations!P18*(1+$D$247)</f>
        <v>0</v>
      </c>
      <c r="Q257" s="141">
        <f>Calculations!Q18*(1+$D$247)</f>
        <v>0</v>
      </c>
      <c r="R257" s="141">
        <f>Calculations!R18*(1+$D$247)</f>
        <v>0</v>
      </c>
      <c r="S257" s="141">
        <f>Calculations!S18*(1+$D$247)</f>
        <v>0</v>
      </c>
      <c r="T257" s="141">
        <f>Calculations!T18*(1+$D$247)</f>
        <v>0</v>
      </c>
      <c r="U257" s="141">
        <f>Calculations!U18*(1+$D$247)</f>
        <v>0</v>
      </c>
      <c r="V257" s="141">
        <f>Calculations!V18*(1+$D$247)</f>
        <v>0</v>
      </c>
      <c r="W257" s="141">
        <f>Calculations!W18*(1+$D$247)</f>
        <v>0</v>
      </c>
      <c r="X257" s="141">
        <f>Calculations!X18*(1+$D$247)</f>
        <v>0</v>
      </c>
      <c r="Y257" s="141">
        <f>Calculations!Y18*(1+$D$247)</f>
        <v>0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Cost 1</v>
      </c>
      <c r="D262" s="67">
        <f t="shared" si="48"/>
        <v>0</v>
      </c>
      <c r="E262" s="141">
        <f>Calculations!E23*(1+$D$246)</f>
        <v>0</v>
      </c>
      <c r="F262" s="141">
        <f>Calculations!F23*(1+$D$246)</f>
        <v>0</v>
      </c>
      <c r="G262" s="141">
        <f>Calculations!G23*(1+$D$246)</f>
        <v>0</v>
      </c>
      <c r="H262" s="141">
        <f>Calculations!H23*(1+$D$246)</f>
        <v>0</v>
      </c>
      <c r="I262" s="141">
        <f>Calculations!I23*(1+$D$246)</f>
        <v>0</v>
      </c>
      <c r="J262" s="141">
        <f>Calculations!J23*(1+$D$246)</f>
        <v>0</v>
      </c>
      <c r="K262" s="141">
        <f>Calculations!K23*(1+$D$246)</f>
        <v>0</v>
      </c>
      <c r="L262" s="141">
        <f>Calculations!L23*(1+$D$246)</f>
        <v>0</v>
      </c>
      <c r="M262" s="141">
        <f>Calculations!M23*(1+$D$246)</f>
        <v>0</v>
      </c>
      <c r="N262" s="141">
        <f>Calculations!N23*(1+$D$246)</f>
        <v>0</v>
      </c>
      <c r="O262" s="141">
        <f>Calculations!O23*(1+$D$246)</f>
        <v>0</v>
      </c>
      <c r="P262" s="141">
        <f>Calculations!P23*(1+$D$246)</f>
        <v>0</v>
      </c>
      <c r="Q262" s="141">
        <f>Calculations!Q23*(1+$D$246)</f>
        <v>0</v>
      </c>
      <c r="R262" s="141">
        <f>Calculations!R23*(1+$D$246)</f>
        <v>0</v>
      </c>
      <c r="S262" s="141">
        <f>Calculations!S23*(1+$D$246)</f>
        <v>0</v>
      </c>
      <c r="T262" s="141">
        <f>Calculations!T23*(1+$D$246)</f>
        <v>0</v>
      </c>
      <c r="U262" s="141">
        <f>Calculations!U23*(1+$D$246)</f>
        <v>0</v>
      </c>
      <c r="V262" s="141">
        <f>Calculations!V23*(1+$D$246)</f>
        <v>0</v>
      </c>
      <c r="W262" s="141">
        <f>Calculations!W23*(1+$D$246)</f>
        <v>0</v>
      </c>
      <c r="X262" s="141">
        <f>Calculations!X23*(1+$D$246)</f>
        <v>0</v>
      </c>
      <c r="Y262" s="141">
        <f>Calculations!Y23*(1+$D$246)</f>
        <v>0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0</v>
      </c>
      <c r="E272" s="65">
        <f>SUM(E253:E271)</f>
        <v>0</v>
      </c>
      <c r="F272" s="66">
        <f t="shared" ref="F272:Y272" si="49">SUM(F253:F271)</f>
        <v>0</v>
      </c>
      <c r="G272" s="66">
        <f t="shared" si="49"/>
        <v>0</v>
      </c>
      <c r="H272" s="66">
        <f t="shared" si="49"/>
        <v>0</v>
      </c>
      <c r="I272" s="66">
        <f t="shared" si="49"/>
        <v>0</v>
      </c>
      <c r="J272" s="66">
        <f t="shared" si="49"/>
        <v>0</v>
      </c>
      <c r="K272" s="66">
        <f t="shared" si="49"/>
        <v>0</v>
      </c>
      <c r="L272" s="66">
        <f t="shared" si="49"/>
        <v>0</v>
      </c>
      <c r="M272" s="66">
        <f t="shared" si="49"/>
        <v>0</v>
      </c>
      <c r="N272" s="66">
        <f t="shared" si="49"/>
        <v>0</v>
      </c>
      <c r="O272" s="66">
        <f t="shared" si="49"/>
        <v>0</v>
      </c>
      <c r="P272" s="66">
        <f t="shared" si="49"/>
        <v>0</v>
      </c>
      <c r="Q272" s="66">
        <f t="shared" si="49"/>
        <v>0</v>
      </c>
      <c r="R272" s="66">
        <f t="shared" si="49"/>
        <v>0</v>
      </c>
      <c r="S272" s="66">
        <f t="shared" si="49"/>
        <v>0</v>
      </c>
      <c r="T272" s="66">
        <f t="shared" si="49"/>
        <v>0</v>
      </c>
      <c r="U272" s="66">
        <f t="shared" si="49"/>
        <v>0</v>
      </c>
      <c r="V272" s="66">
        <f t="shared" si="49"/>
        <v>0</v>
      </c>
      <c r="W272" s="66">
        <f t="shared" si="49"/>
        <v>0</v>
      </c>
      <c r="X272" s="66">
        <f t="shared" si="49"/>
        <v>0</v>
      </c>
      <c r="Y272" s="148">
        <f t="shared" si="49"/>
        <v>0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0</v>
      </c>
      <c r="E273" s="77">
        <f t="shared" ref="E273:Y273" si="50">E272/(1+$D$244)^E$238</f>
        <v>0</v>
      </c>
      <c r="F273" s="77">
        <f t="shared" si="50"/>
        <v>0</v>
      </c>
      <c r="G273" s="77">
        <f t="shared" si="50"/>
        <v>0</v>
      </c>
      <c r="H273" s="77">
        <f t="shared" si="50"/>
        <v>0</v>
      </c>
      <c r="I273" s="77">
        <f t="shared" si="50"/>
        <v>0</v>
      </c>
      <c r="J273" s="77">
        <f t="shared" si="50"/>
        <v>0</v>
      </c>
      <c r="K273" s="77">
        <f t="shared" si="50"/>
        <v>0</v>
      </c>
      <c r="L273" s="77">
        <f t="shared" si="50"/>
        <v>0</v>
      </c>
      <c r="M273" s="77">
        <f t="shared" si="50"/>
        <v>0</v>
      </c>
      <c r="N273" s="77">
        <f t="shared" si="50"/>
        <v>0</v>
      </c>
      <c r="O273" s="77">
        <f t="shared" si="50"/>
        <v>0</v>
      </c>
      <c r="P273" s="77">
        <f t="shared" si="50"/>
        <v>0</v>
      </c>
      <c r="Q273" s="77">
        <f t="shared" si="50"/>
        <v>0</v>
      </c>
      <c r="R273" s="77">
        <f t="shared" si="50"/>
        <v>0</v>
      </c>
      <c r="S273" s="77">
        <f t="shared" si="50"/>
        <v>0</v>
      </c>
      <c r="T273" s="77">
        <f t="shared" si="50"/>
        <v>0</v>
      </c>
      <c r="U273" s="77">
        <f t="shared" si="50"/>
        <v>0</v>
      </c>
      <c r="V273" s="77">
        <f t="shared" si="50"/>
        <v>0</v>
      </c>
      <c r="W273" s="77">
        <f t="shared" si="50"/>
        <v>0</v>
      </c>
      <c r="X273" s="77">
        <f t="shared" si="50"/>
        <v>0</v>
      </c>
      <c r="Y273" s="149">
        <f t="shared" si="50"/>
        <v>0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Perform Manual Neutral Integrity where UE Meters are Removed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5667.5338942030239</v>
      </c>
      <c r="E277" s="141">
        <f>Calculations!E38*(1+$D$245)</f>
        <v>0</v>
      </c>
      <c r="F277" s="141">
        <f>Calculations!F38*(1+$D$245)</f>
        <v>116.52700195224004</v>
      </c>
      <c r="G277" s="141">
        <f>Calculations!G38*(1+$D$245)</f>
        <v>130.66638836912483</v>
      </c>
      <c r="H277" s="141">
        <f>Calculations!H38*(1+$D$245)</f>
        <v>145.31052687653002</v>
      </c>
      <c r="I277" s="141">
        <f>Calculations!I38*(1+$D$245)</f>
        <v>160.47368035609594</v>
      </c>
      <c r="J277" s="141">
        <f>Calculations!J38*(1+$D$245)</f>
        <v>176.17047512077377</v>
      </c>
      <c r="K277" s="141">
        <f>Calculations!K38*(1+$D$245)</f>
        <v>192.41590964798223</v>
      </c>
      <c r="L277" s="141">
        <f>Calculations!L38*(1+$D$245)</f>
        <v>209.22536351482998</v>
      </c>
      <c r="M277" s="141">
        <f>Calculations!M38*(1+$D$245)</f>
        <v>226.61460653995627</v>
      </c>
      <c r="N277" s="141">
        <f>Calculations!N38*(1+$D$245)</f>
        <v>244.59980813664504</v>
      </c>
      <c r="O277" s="141">
        <f>Calculations!O38*(1+$D$245)</f>
        <v>263.19754688196792</v>
      </c>
      <c r="P277" s="141">
        <f>Calculations!P38*(1+$D$245)</f>
        <v>282.42482030681902</v>
      </c>
      <c r="Q277" s="141">
        <f>Calculations!Q38*(1+$D$245)</f>
        <v>302.29905491180989</v>
      </c>
      <c r="R277" s="141">
        <f>Calculations!R38*(1+$D$245)</f>
        <v>322.83811641410369</v>
      </c>
      <c r="S277" s="141">
        <f>Calculations!S38*(1+$D$245)</f>
        <v>344.06032023037994</v>
      </c>
      <c r="T277" s="141">
        <f>Calculations!T38*(1+$D$245)</f>
        <v>365.98444220123406</v>
      </c>
      <c r="U277" s="141">
        <f>Calculations!U38*(1+$D$245)</f>
        <v>388.62972956243539</v>
      </c>
      <c r="V277" s="141">
        <f>Calculations!V38*(1+$D$245)</f>
        <v>412.01591216858446</v>
      </c>
      <c r="W277" s="141">
        <f>Calculations!W38*(1+$D$245)</f>
        <v>436.16321397483404</v>
      </c>
      <c r="X277" s="141">
        <f>Calculations!X38*(1+$D$245)</f>
        <v>461.09236478246231</v>
      </c>
      <c r="Y277" s="141">
        <f>Calculations!Y38*(1+$D$245)</f>
        <v>486.82461225421503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Neutral integrity Testing (NIT) reverted to Manual Testing 10 years after 1 December 2017 - Assume  start manual NIT in 2027.</v>
      </c>
      <c r="D286" s="67">
        <f t="shared" si="51"/>
        <v>19893.301752323965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138.29414963359545</v>
      </c>
      <c r="P286" s="141">
        <f>Calculations!P47*(1+$D$246)</f>
        <v>1691.120060902683</v>
      </c>
      <c r="Q286" s="141">
        <f>Calculations!Q47*(1+$D$246)</f>
        <v>1743.987976664559</v>
      </c>
      <c r="R286" s="141">
        <f>Calculations!R47*(1+$D$246)</f>
        <v>1799.1469164152986</v>
      </c>
      <c r="S286" s="141">
        <f>Calculations!S47*(1+$D$246)</f>
        <v>1856.7882660176758</v>
      </c>
      <c r="T286" s="141">
        <f>Calculations!T47*(1+$D$246)</f>
        <v>1916.9039341566668</v>
      </c>
      <c r="U286" s="141">
        <f>Calculations!U47*(1+$D$246)</f>
        <v>1979.5859807386016</v>
      </c>
      <c r="V286" s="141">
        <f>Calculations!V47*(1+$D$246)</f>
        <v>2044.9294507144148</v>
      </c>
      <c r="W286" s="141">
        <f>Calculations!W47*(1+$D$246)</f>
        <v>2113.0324619321896</v>
      </c>
      <c r="X286" s="141">
        <f>Calculations!X47*(1+$D$246)</f>
        <v>2183.9962954045336</v>
      </c>
      <c r="Y286" s="141">
        <f>Calculations!Y47*(1+$D$246)</f>
        <v>2425.5162597437443</v>
      </c>
      <c r="Z286" s="287"/>
    </row>
    <row r="287" spans="1:26" ht="13.5" thickBot="1" x14ac:dyDescent="0.25">
      <c r="B287" s="107"/>
      <c r="C287" s="137" t="str">
        <f>'User Input'!D72</f>
        <v>Ping Real Time confirmation Customer Power is on/off - Avoided LV Truck Roll Outs = $20M over 10 years, Therefore $2M p.a. Therefore utilise % to work out cost e.g. 2017 implies 499 * 2000/ (650,000 + 499).</v>
      </c>
      <c r="D287" s="67">
        <f t="shared" si="51"/>
        <v>5166.2215471817353</v>
      </c>
      <c r="E287" s="141">
        <f>Calculations!E48*(1+$D$246)</f>
        <v>0</v>
      </c>
      <c r="F287" s="141">
        <f>Calculations!F48*(1+$D$246)</f>
        <v>22.582932978344115</v>
      </c>
      <c r="G287" s="141">
        <f>Calculations!G48*(1+$D$246)</f>
        <v>44.117724218448146</v>
      </c>
      <c r="H287" s="141">
        <f>Calculations!H48*(1+$D$246)</f>
        <v>66.346364729708995</v>
      </c>
      <c r="I287" s="141">
        <f>Calculations!I48*(1+$D$246)</f>
        <v>89.050548468375084</v>
      </c>
      <c r="J287" s="141">
        <f>Calculations!J48*(1+$D$246)</f>
        <v>112.22489445334935</v>
      </c>
      <c r="K287" s="141">
        <f>Calculations!K48*(1+$D$246)</f>
        <v>135.89671921149085</v>
      </c>
      <c r="L287" s="141">
        <f>Calculations!L48*(1+$D$246)</f>
        <v>160.07424713558146</v>
      </c>
      <c r="M287" s="141">
        <f>Calculations!M48*(1+$D$246)</f>
        <v>184.77049492755816</v>
      </c>
      <c r="N287" s="141">
        <f>Calculations!N48*(1+$D$246)</f>
        <v>209.99870131201976</v>
      </c>
      <c r="O287" s="141">
        <f>Calculations!O48*(1+$D$246)</f>
        <v>235.77233355340721</v>
      </c>
      <c r="P287" s="141">
        <f>Calculations!P48*(1+$D$246)</f>
        <v>262.10509401405693</v>
      </c>
      <c r="Q287" s="141">
        <f>Calculations!Q48*(1+$D$246)</f>
        <v>289.01092675887713</v>
      </c>
      <c r="R287" s="141">
        <f>Calculations!R48*(1+$D$246)</f>
        <v>316.50402421220747</v>
      </c>
      <c r="S287" s="141">
        <f>Calculations!S48*(1+$D$246)</f>
        <v>344.59883387224329</v>
      </c>
      <c r="T287" s="141">
        <f>Calculations!T48*(1+$D$246)</f>
        <v>373.31006508825169</v>
      </c>
      <c r="U287" s="141">
        <f>Calculations!U48*(1+$D$246)</f>
        <v>402.65269590565885</v>
      </c>
      <c r="V287" s="141">
        <f>Calculations!V48*(1+$D$246)</f>
        <v>432.64197998396054</v>
      </c>
      <c r="W287" s="141">
        <f>Calculations!W48*(1+$D$246)</f>
        <v>463.29345359229012</v>
      </c>
      <c r="X287" s="141">
        <f>Calculations!X48*(1+$D$246)</f>
        <v>494.62294268737696</v>
      </c>
      <c r="Y287" s="141">
        <f>Calculations!Y48*(1+$D$246)</f>
        <v>526.64657007852941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30727.057193708722</v>
      </c>
      <c r="E296" s="68">
        <f>SUM(E277:E295)</f>
        <v>0</v>
      </c>
      <c r="F296" s="69">
        <f t="shared" ref="F296:Y296" si="52">SUM(F277:F295)</f>
        <v>139.10993493058416</v>
      </c>
      <c r="G296" s="69">
        <f t="shared" si="52"/>
        <v>174.78411258757296</v>
      </c>
      <c r="H296" s="69">
        <f t="shared" si="52"/>
        <v>211.65689160623901</v>
      </c>
      <c r="I296" s="69">
        <f t="shared" si="52"/>
        <v>249.52422882447104</v>
      </c>
      <c r="J296" s="69">
        <f t="shared" si="52"/>
        <v>288.39536957412315</v>
      </c>
      <c r="K296" s="69">
        <f t="shared" si="52"/>
        <v>328.31262885947308</v>
      </c>
      <c r="L296" s="69">
        <f t="shared" si="52"/>
        <v>369.29961065041141</v>
      </c>
      <c r="M296" s="69">
        <f t="shared" si="52"/>
        <v>411.38510146751446</v>
      </c>
      <c r="N296" s="69">
        <f t="shared" si="52"/>
        <v>454.5985094486648</v>
      </c>
      <c r="O296" s="69">
        <f t="shared" si="52"/>
        <v>637.26403006897056</v>
      </c>
      <c r="P296" s="69">
        <f t="shared" si="52"/>
        <v>2235.6499752235586</v>
      </c>
      <c r="Q296" s="69">
        <f t="shared" si="52"/>
        <v>2335.2979583352462</v>
      </c>
      <c r="R296" s="69">
        <f t="shared" si="52"/>
        <v>2438.4890570416101</v>
      </c>
      <c r="S296" s="69">
        <f t="shared" si="52"/>
        <v>2545.4474201202988</v>
      </c>
      <c r="T296" s="69">
        <f t="shared" si="52"/>
        <v>2656.1984414461522</v>
      </c>
      <c r="U296" s="69">
        <f t="shared" si="52"/>
        <v>2770.8684062066955</v>
      </c>
      <c r="V296" s="69">
        <f t="shared" si="52"/>
        <v>2889.5873428669597</v>
      </c>
      <c r="W296" s="69">
        <f t="shared" si="52"/>
        <v>3012.4891294993135</v>
      </c>
      <c r="X296" s="69">
        <f t="shared" si="52"/>
        <v>3139.7116028743731</v>
      </c>
      <c r="Y296" s="150">
        <f t="shared" si="52"/>
        <v>3438.9874420764886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8389.7250405264895</v>
      </c>
      <c r="E297" s="77">
        <f t="shared" ref="E297:Y297" si="53">E296/(1+$D$244)^E$238</f>
        <v>0</v>
      </c>
      <c r="F297" s="77">
        <f t="shared" si="53"/>
        <v>126.84410953823668</v>
      </c>
      <c r="G297" s="77">
        <f t="shared" si="53"/>
        <v>145.32029370402125</v>
      </c>
      <c r="H297" s="77">
        <f t="shared" si="53"/>
        <v>160.46077423625104</v>
      </c>
      <c r="I297" s="77">
        <f t="shared" si="53"/>
        <v>172.48897766877568</v>
      </c>
      <c r="J297" s="77">
        <f t="shared" si="53"/>
        <v>181.78124176212995</v>
      </c>
      <c r="K297" s="77">
        <f t="shared" si="53"/>
        <v>188.69505879022353</v>
      </c>
      <c r="L297" s="77">
        <f t="shared" si="53"/>
        <v>193.53697356633606</v>
      </c>
      <c r="M297" s="77">
        <f t="shared" si="53"/>
        <v>196.5829335708064</v>
      </c>
      <c r="N297" s="77">
        <f t="shared" si="53"/>
        <v>198.07853541003993</v>
      </c>
      <c r="O297" s="77">
        <f t="shared" si="53"/>
        <v>253.18674823577163</v>
      </c>
      <c r="P297" s="77">
        <f t="shared" si="53"/>
        <v>809.91143549966557</v>
      </c>
      <c r="Q297" s="77">
        <f t="shared" si="53"/>
        <v>771.41517517824104</v>
      </c>
      <c r="R297" s="77">
        <f t="shared" si="53"/>
        <v>734.47809148152749</v>
      </c>
      <c r="S297" s="77">
        <f t="shared" si="53"/>
        <v>699.0919832022106</v>
      </c>
      <c r="T297" s="77">
        <f t="shared" si="53"/>
        <v>665.18564056645937</v>
      </c>
      <c r="U297" s="77">
        <f t="shared" si="53"/>
        <v>632.71831401820236</v>
      </c>
      <c r="V297" s="77">
        <f t="shared" si="53"/>
        <v>601.64801381426935</v>
      </c>
      <c r="W297" s="77">
        <f t="shared" si="53"/>
        <v>571.93188105015213</v>
      </c>
      <c r="X297" s="77">
        <f t="shared" si="53"/>
        <v>543.52651095043927</v>
      </c>
      <c r="Y297" s="149">
        <f t="shared" si="53"/>
        <v>542.84234828273009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>Option 2: Replace / Install Network Devices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6062.0005525544157</v>
      </c>
      <c r="E301" s="141">
        <f>Calculations!E62*(1+$D$245)</f>
        <v>517.16246347953017</v>
      </c>
      <c r="F301" s="141">
        <f>Calculations!F62*(1+$D$245)</f>
        <v>1783.7577126456019</v>
      </c>
      <c r="G301" s="141">
        <f>Calculations!G62*(1+$D$245)</f>
        <v>1847.6387493047444</v>
      </c>
      <c r="H301" s="141">
        <f>Calculations!H62*(1+$D$245)</f>
        <v>1913.4416271245389</v>
      </c>
      <c r="I301" s="141">
        <f>Calculations!I62*(1+$D$245)</f>
        <v>0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Cost 1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6062.0005525544157</v>
      </c>
      <c r="E320" s="68">
        <f>SUM(E301:E319)</f>
        <v>517.16246347953017</v>
      </c>
      <c r="F320" s="69">
        <f t="shared" ref="F320:Y320" si="55">SUM(F301:F319)</f>
        <v>1783.7577126456019</v>
      </c>
      <c r="G320" s="69">
        <f t="shared" si="55"/>
        <v>1847.6387493047444</v>
      </c>
      <c r="H320" s="69">
        <f t="shared" si="55"/>
        <v>1913.4416271245389</v>
      </c>
      <c r="I320" s="69">
        <f t="shared" si="55"/>
        <v>0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5130.430636377916</v>
      </c>
      <c r="E321" s="77">
        <f t="shared" ref="E321:Y321" si="56">E320/(1+$D$244)^E$238</f>
        <v>517.16246347953017</v>
      </c>
      <c r="F321" s="77">
        <f t="shared" si="56"/>
        <v>1626.4773526448453</v>
      </c>
      <c r="G321" s="77">
        <f t="shared" si="56"/>
        <v>1536.177411853542</v>
      </c>
      <c r="H321" s="77">
        <f t="shared" si="56"/>
        <v>1450.6134083999989</v>
      </c>
      <c r="I321" s="77">
        <f t="shared" si="56"/>
        <v>0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>Option 3: Replace / Install 80% Network Devices, Purchase the Remaining 20% of the AMI data and Control Functionality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10547.479442755255</v>
      </c>
      <c r="E325" s="141">
        <f>Calculations!E86*(1+$D$245)</f>
        <v>3591.6013354320007</v>
      </c>
      <c r="F325" s="141">
        <f>Calculations!F86*(1+$D$245)</f>
        <v>2758.1941362095213</v>
      </c>
      <c r="G325" s="141">
        <f>Calculations!G86*(1+$D$245)</f>
        <v>1543.0512590135741</v>
      </c>
      <c r="H325" s="141">
        <f>Calculations!H86*(1+$D$245)</f>
        <v>1599.6267166991345</v>
      </c>
      <c r="I325" s="141">
        <f>Calculations!I86*(1+$D$245)</f>
        <v>32.094736071219188</v>
      </c>
      <c r="J325" s="141">
        <f>Calculations!J86*(1+$D$245)</f>
        <v>35.234095024154747</v>
      </c>
      <c r="K325" s="141">
        <f>Calculations!K86*(1+$D$245)</f>
        <v>38.483181929596448</v>
      </c>
      <c r="L325" s="141">
        <f>Calculations!L86*(1+$D$245)</f>
        <v>41.845072702965993</v>
      </c>
      <c r="M325" s="141">
        <f>Calculations!M86*(1+$D$245)</f>
        <v>45.322921307991258</v>
      </c>
      <c r="N325" s="141">
        <f>Calculations!N86*(1+$D$245)</f>
        <v>48.919961627329002</v>
      </c>
      <c r="O325" s="141">
        <f>Calculations!O86*(1+$D$245)</f>
        <v>52.639509376393583</v>
      </c>
      <c r="P325" s="141">
        <f>Calculations!P86*(1+$D$245)</f>
        <v>56.484964061363819</v>
      </c>
      <c r="Q325" s="141">
        <f>Calculations!Q86*(1+$D$245)</f>
        <v>60.459810982361979</v>
      </c>
      <c r="R325" s="141">
        <f>Calculations!R86*(1+$D$245)</f>
        <v>64.567623282820747</v>
      </c>
      <c r="S325" s="141">
        <f>Calculations!S86*(1+$D$245)</f>
        <v>68.812064046075989</v>
      </c>
      <c r="T325" s="141">
        <f>Calculations!T86*(1+$D$245)</f>
        <v>73.196888440246809</v>
      </c>
      <c r="U325" s="141">
        <f>Calculations!U86*(1+$D$245)</f>
        <v>77.725945912487077</v>
      </c>
      <c r="V325" s="141">
        <f>Calculations!V86*(1+$D$245)</f>
        <v>82.403182433716907</v>
      </c>
      <c r="W325" s="141">
        <f>Calculations!W86*(1+$D$245)</f>
        <v>87.232642794966807</v>
      </c>
      <c r="X325" s="141">
        <f>Calculations!X86*(1+$D$245)</f>
        <v>92.218472956492462</v>
      </c>
      <c r="Y325" s="141">
        <f>Calculations!Y86*(1+$D$245)</f>
        <v>97.364922450842997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Need to Neutral Inegrity Test 1/5 of the services where data is 
acquired from non-UE  Meter Data Provider</v>
      </c>
      <c r="D334" s="67">
        <f t="shared" si="57"/>
        <v>3978.6603504647924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27.658829926719093</v>
      </c>
      <c r="P334" s="141">
        <f>Calculations!P95*(1+$D$246)</f>
        <v>338.22401218053665</v>
      </c>
      <c r="Q334" s="141">
        <f>Calculations!Q95*(1+$D$246)</f>
        <v>348.79759533291178</v>
      </c>
      <c r="R334" s="141">
        <f>Calculations!R95*(1+$D$246)</f>
        <v>359.82938328305971</v>
      </c>
      <c r="S334" s="141">
        <f>Calculations!S95*(1+$D$246)</f>
        <v>371.35765320353516</v>
      </c>
      <c r="T334" s="141">
        <f>Calculations!T95*(1+$D$246)</f>
        <v>383.38078683133335</v>
      </c>
      <c r="U334" s="141">
        <f>Calculations!U95*(1+$D$246)</f>
        <v>395.91719614772029</v>
      </c>
      <c r="V334" s="141">
        <f>Calculations!V95*(1+$D$246)</f>
        <v>408.98589014288285</v>
      </c>
      <c r="W334" s="141">
        <f>Calculations!W95*(1+$D$246)</f>
        <v>422.60649238643788</v>
      </c>
      <c r="X334" s="141">
        <f>Calculations!X95*(1+$D$246)</f>
        <v>436.79925908090678</v>
      </c>
      <c r="Y334" s="141">
        <f>Calculations!Y95*(1+$D$246)</f>
        <v>485.103251948749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14526.139793220047</v>
      </c>
      <c r="E344" s="68">
        <f>SUM(E325:E343)</f>
        <v>3591.6013354320007</v>
      </c>
      <c r="F344" s="69">
        <f t="shared" ref="F344:Y344" si="58">SUM(F325:F343)</f>
        <v>2758.1941362095213</v>
      </c>
      <c r="G344" s="69">
        <f t="shared" si="58"/>
        <v>1543.0512590135741</v>
      </c>
      <c r="H344" s="69">
        <f t="shared" si="58"/>
        <v>1599.6267166991345</v>
      </c>
      <c r="I344" s="69">
        <f t="shared" si="58"/>
        <v>32.094736071219188</v>
      </c>
      <c r="J344" s="69">
        <f t="shared" si="58"/>
        <v>35.234095024154747</v>
      </c>
      <c r="K344" s="69">
        <f t="shared" si="58"/>
        <v>38.483181929596448</v>
      </c>
      <c r="L344" s="69">
        <f t="shared" si="58"/>
        <v>41.845072702965993</v>
      </c>
      <c r="M344" s="69">
        <f t="shared" si="58"/>
        <v>45.322921307991258</v>
      </c>
      <c r="N344" s="69">
        <f t="shared" si="58"/>
        <v>48.919961627329002</v>
      </c>
      <c r="O344" s="69">
        <f t="shared" si="58"/>
        <v>80.29833930311267</v>
      </c>
      <c r="P344" s="69">
        <f t="shared" si="58"/>
        <v>394.70897624190047</v>
      </c>
      <c r="Q344" s="69">
        <f t="shared" si="58"/>
        <v>409.25740631527378</v>
      </c>
      <c r="R344" s="69">
        <f t="shared" si="58"/>
        <v>424.39700656588047</v>
      </c>
      <c r="S344" s="69">
        <f t="shared" si="58"/>
        <v>440.16971724961115</v>
      </c>
      <c r="T344" s="69">
        <f t="shared" si="58"/>
        <v>456.57767527158018</v>
      </c>
      <c r="U344" s="69">
        <f t="shared" si="58"/>
        <v>473.64314206020737</v>
      </c>
      <c r="V344" s="69">
        <f t="shared" si="58"/>
        <v>491.38907257659974</v>
      </c>
      <c r="W344" s="69">
        <f t="shared" si="58"/>
        <v>509.83913518140469</v>
      </c>
      <c r="X344" s="69">
        <f t="shared" si="58"/>
        <v>529.01773203739924</v>
      </c>
      <c r="Y344" s="150">
        <f t="shared" si="58"/>
        <v>582.46817439959204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9897.5791468173793</v>
      </c>
      <c r="E345" s="77">
        <f t="shared" ref="E345:Y345" si="59">E344/(1+$D$244)^E$238</f>
        <v>3591.6013354320007</v>
      </c>
      <c r="F345" s="77">
        <f t="shared" si="59"/>
        <v>2514.9941973279119</v>
      </c>
      <c r="G345" s="77">
        <f t="shared" si="59"/>
        <v>1282.9350382052712</v>
      </c>
      <c r="H345" s="77">
        <f t="shared" si="59"/>
        <v>1212.7048616401833</v>
      </c>
      <c r="I345" s="77">
        <f t="shared" si="59"/>
        <v>22.186175024182091</v>
      </c>
      <c r="J345" s="77">
        <f t="shared" si="59"/>
        <v>22.20873918785146</v>
      </c>
      <c r="K345" s="77">
        <f t="shared" si="59"/>
        <v>22.117901165928739</v>
      </c>
      <c r="L345" s="77">
        <f t="shared" si="59"/>
        <v>21.929534979287201</v>
      </c>
      <c r="M345" s="77">
        <f t="shared" si="59"/>
        <v>21.657840298398114</v>
      </c>
      <c r="N345" s="77">
        <f t="shared" si="59"/>
        <v>21.315499611313435</v>
      </c>
      <c r="O345" s="77">
        <f t="shared" si="59"/>
        <v>31.90275059881758</v>
      </c>
      <c r="P345" s="77">
        <f t="shared" si="59"/>
        <v>142.99166555386827</v>
      </c>
      <c r="Q345" s="77">
        <f t="shared" si="59"/>
        <v>135.18933318930596</v>
      </c>
      <c r="R345" s="77">
        <f t="shared" si="59"/>
        <v>127.82928121529078</v>
      </c>
      <c r="S345" s="77">
        <f t="shared" si="59"/>
        <v>120.88999291254031</v>
      </c>
      <c r="T345" s="77">
        <f t="shared" si="59"/>
        <v>114.33969264303849</v>
      </c>
      <c r="U345" s="77">
        <f t="shared" si="59"/>
        <v>108.15478989162186</v>
      </c>
      <c r="V345" s="77">
        <f t="shared" si="59"/>
        <v>102.31331482523001</v>
      </c>
      <c r="W345" s="77">
        <f t="shared" si="59"/>
        <v>96.794790979294731</v>
      </c>
      <c r="X345" s="77">
        <f t="shared" si="59"/>
        <v>91.580118970789115</v>
      </c>
      <c r="Y345" s="149">
        <f t="shared" si="59"/>
        <v>91.942293165255691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Cost 1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Cost 1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0</v>
      </c>
      <c r="G400" s="145">
        <f t="shared" si="66"/>
        <v>0</v>
      </c>
      <c r="H400" s="145">
        <f t="shared" si="66"/>
        <v>0</v>
      </c>
      <c r="I400" s="145">
        <f t="shared" si="66"/>
        <v>0</v>
      </c>
      <c r="J400" s="145">
        <f t="shared" si="66"/>
        <v>0</v>
      </c>
      <c r="K400" s="145">
        <f t="shared" si="66"/>
        <v>0</v>
      </c>
      <c r="L400" s="145">
        <f t="shared" si="66"/>
        <v>0</v>
      </c>
      <c r="M400" s="145">
        <f t="shared" si="66"/>
        <v>0</v>
      </c>
      <c r="N400" s="145">
        <f t="shared" si="66"/>
        <v>0</v>
      </c>
      <c r="O400" s="145">
        <f t="shared" si="66"/>
        <v>0</v>
      </c>
      <c r="P400" s="145">
        <f t="shared" si="66"/>
        <v>0</v>
      </c>
      <c r="Q400" s="145">
        <f t="shared" si="66"/>
        <v>0</v>
      </c>
      <c r="R400" s="145">
        <f t="shared" si="66"/>
        <v>0</v>
      </c>
      <c r="S400" s="145">
        <f t="shared" si="66"/>
        <v>0</v>
      </c>
      <c r="T400" s="145">
        <f t="shared" si="66"/>
        <v>0</v>
      </c>
      <c r="U400" s="145">
        <f t="shared" si="66"/>
        <v>0</v>
      </c>
      <c r="V400" s="145">
        <f t="shared" si="66"/>
        <v>0</v>
      </c>
      <c r="W400" s="145">
        <f t="shared" si="66"/>
        <v>0</v>
      </c>
      <c r="X400" s="145">
        <f t="shared" si="66"/>
        <v>0</v>
      </c>
      <c r="Y400" s="145">
        <f t="shared" si="66"/>
        <v>0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Perform Manual Neutral Integrity where UE Meters are Removed</v>
      </c>
      <c r="D401" s="80"/>
      <c r="E401" s="302">
        <f t="shared" ref="E401:Y401" si="67">E296</f>
        <v>0</v>
      </c>
      <c r="F401" s="302">
        <f t="shared" si="67"/>
        <v>139.10993493058416</v>
      </c>
      <c r="G401" s="302">
        <f t="shared" si="67"/>
        <v>174.78411258757296</v>
      </c>
      <c r="H401" s="302">
        <f t="shared" si="67"/>
        <v>211.65689160623901</v>
      </c>
      <c r="I401" s="302">
        <f t="shared" si="67"/>
        <v>249.52422882447104</v>
      </c>
      <c r="J401" s="302">
        <f t="shared" si="67"/>
        <v>288.39536957412315</v>
      </c>
      <c r="K401" s="302">
        <f t="shared" si="67"/>
        <v>328.31262885947308</v>
      </c>
      <c r="L401" s="302">
        <f t="shared" si="67"/>
        <v>369.29961065041141</v>
      </c>
      <c r="M401" s="302">
        <f t="shared" si="67"/>
        <v>411.38510146751446</v>
      </c>
      <c r="N401" s="302">
        <f t="shared" si="67"/>
        <v>454.5985094486648</v>
      </c>
      <c r="O401" s="302">
        <f t="shared" si="67"/>
        <v>637.26403006897056</v>
      </c>
      <c r="P401" s="302">
        <f t="shared" si="67"/>
        <v>2235.6499752235586</v>
      </c>
      <c r="Q401" s="302">
        <f t="shared" si="67"/>
        <v>2335.2979583352462</v>
      </c>
      <c r="R401" s="302">
        <f t="shared" si="67"/>
        <v>2438.4890570416101</v>
      </c>
      <c r="S401" s="302">
        <f t="shared" si="67"/>
        <v>2545.4474201202988</v>
      </c>
      <c r="T401" s="302">
        <f t="shared" si="67"/>
        <v>2656.1984414461522</v>
      </c>
      <c r="U401" s="302">
        <f t="shared" si="67"/>
        <v>2770.8684062066955</v>
      </c>
      <c r="V401" s="302">
        <f t="shared" si="67"/>
        <v>2889.5873428669597</v>
      </c>
      <c r="W401" s="302">
        <f t="shared" si="67"/>
        <v>3012.4891294993135</v>
      </c>
      <c r="X401" s="302">
        <f t="shared" si="67"/>
        <v>3139.7116028743731</v>
      </c>
      <c r="Y401" s="302">
        <f t="shared" si="67"/>
        <v>3438.9874420764886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>Option 2: Replace / Install Network Devices</v>
      </c>
      <c r="D402" s="80"/>
      <c r="E402" s="302">
        <f t="shared" ref="E402:Y402" si="68">E320</f>
        <v>517.16246347953017</v>
      </c>
      <c r="F402" s="302">
        <f t="shared" si="68"/>
        <v>1783.7577126456019</v>
      </c>
      <c r="G402" s="302">
        <f t="shared" si="68"/>
        <v>1847.6387493047444</v>
      </c>
      <c r="H402" s="302">
        <f t="shared" si="68"/>
        <v>1913.4416271245389</v>
      </c>
      <c r="I402" s="302">
        <f t="shared" si="68"/>
        <v>0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>Option 3: Replace / Install 80% Network Devices, Purchase the Remaining 20% of the AMI data and Control Functionality</v>
      </c>
      <c r="D403" s="80"/>
      <c r="E403" s="302">
        <f t="shared" ref="E403:Y403" si="69">E344</f>
        <v>3591.6013354320007</v>
      </c>
      <c r="F403" s="302">
        <f t="shared" si="69"/>
        <v>2758.1941362095213</v>
      </c>
      <c r="G403" s="302">
        <f t="shared" si="69"/>
        <v>1543.0512590135741</v>
      </c>
      <c r="H403" s="302">
        <f t="shared" si="69"/>
        <v>1599.6267166991345</v>
      </c>
      <c r="I403" s="302">
        <f t="shared" si="69"/>
        <v>32.094736071219188</v>
      </c>
      <c r="J403" s="302">
        <f t="shared" si="69"/>
        <v>35.234095024154747</v>
      </c>
      <c r="K403" s="302">
        <f t="shared" si="69"/>
        <v>38.483181929596448</v>
      </c>
      <c r="L403" s="302">
        <f t="shared" si="69"/>
        <v>41.845072702965993</v>
      </c>
      <c r="M403" s="302">
        <f t="shared" si="69"/>
        <v>45.322921307991258</v>
      </c>
      <c r="N403" s="302">
        <f t="shared" si="69"/>
        <v>48.919961627329002</v>
      </c>
      <c r="O403" s="302">
        <f t="shared" si="69"/>
        <v>80.29833930311267</v>
      </c>
      <c r="P403" s="302">
        <f t="shared" si="69"/>
        <v>394.70897624190047</v>
      </c>
      <c r="Q403" s="302">
        <f t="shared" si="69"/>
        <v>409.25740631527378</v>
      </c>
      <c r="R403" s="302">
        <f t="shared" si="69"/>
        <v>424.39700656588047</v>
      </c>
      <c r="S403" s="302">
        <f t="shared" si="69"/>
        <v>440.16971724961115</v>
      </c>
      <c r="T403" s="302">
        <f t="shared" si="69"/>
        <v>456.57767527158018</v>
      </c>
      <c r="U403" s="302">
        <f t="shared" si="69"/>
        <v>473.64314206020737</v>
      </c>
      <c r="V403" s="302">
        <f t="shared" si="69"/>
        <v>491.38907257659974</v>
      </c>
      <c r="W403" s="302">
        <f t="shared" si="69"/>
        <v>509.83913518140469</v>
      </c>
      <c r="X403" s="302">
        <f t="shared" si="69"/>
        <v>529.01773203739924</v>
      </c>
      <c r="Y403" s="302">
        <f t="shared" si="69"/>
        <v>582.46817439959204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0</v>
      </c>
      <c r="G409" s="145">
        <f t="shared" si="72"/>
        <v>0</v>
      </c>
      <c r="H409" s="145">
        <f t="shared" si="72"/>
        <v>0</v>
      </c>
      <c r="I409" s="145">
        <f t="shared" si="72"/>
        <v>0</v>
      </c>
      <c r="J409" s="145">
        <f t="shared" si="72"/>
        <v>0</v>
      </c>
      <c r="K409" s="145">
        <f t="shared" si="72"/>
        <v>0</v>
      </c>
      <c r="L409" s="145">
        <f t="shared" si="72"/>
        <v>0</v>
      </c>
      <c r="M409" s="145">
        <f t="shared" si="72"/>
        <v>0</v>
      </c>
      <c r="N409" s="145">
        <f t="shared" si="72"/>
        <v>0</v>
      </c>
      <c r="O409" s="145">
        <f t="shared" si="72"/>
        <v>0</v>
      </c>
      <c r="P409" s="145">
        <f t="shared" si="72"/>
        <v>0</v>
      </c>
      <c r="Q409" s="145">
        <f t="shared" si="72"/>
        <v>0</v>
      </c>
      <c r="R409" s="145">
        <f t="shared" si="72"/>
        <v>0</v>
      </c>
      <c r="S409" s="145">
        <f t="shared" si="72"/>
        <v>0</v>
      </c>
      <c r="T409" s="145">
        <f t="shared" si="72"/>
        <v>0</v>
      </c>
      <c r="U409" s="145">
        <f t="shared" si="72"/>
        <v>0</v>
      </c>
      <c r="V409" s="145">
        <f t="shared" si="72"/>
        <v>0</v>
      </c>
      <c r="W409" s="145">
        <f t="shared" si="72"/>
        <v>0</v>
      </c>
      <c r="X409" s="145">
        <f t="shared" si="72"/>
        <v>0</v>
      </c>
      <c r="Y409" s="145">
        <f t="shared" si="72"/>
        <v>0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Perform Manual Neutral Integrity where UE Meters are Removed</v>
      </c>
      <c r="D410" s="80"/>
      <c r="E410" s="145">
        <f t="shared" ref="E410:Y410" si="73">E297</f>
        <v>0</v>
      </c>
      <c r="F410" s="145">
        <f t="shared" si="73"/>
        <v>126.84410953823668</v>
      </c>
      <c r="G410" s="145">
        <f t="shared" si="73"/>
        <v>145.32029370402125</v>
      </c>
      <c r="H410" s="145">
        <f t="shared" si="73"/>
        <v>160.46077423625104</v>
      </c>
      <c r="I410" s="145">
        <f t="shared" si="73"/>
        <v>172.48897766877568</v>
      </c>
      <c r="J410" s="145">
        <f t="shared" si="73"/>
        <v>181.78124176212995</v>
      </c>
      <c r="K410" s="145">
        <f t="shared" si="73"/>
        <v>188.69505879022353</v>
      </c>
      <c r="L410" s="145">
        <f t="shared" si="73"/>
        <v>193.53697356633606</v>
      </c>
      <c r="M410" s="145">
        <f t="shared" si="73"/>
        <v>196.5829335708064</v>
      </c>
      <c r="N410" s="145">
        <f t="shared" si="73"/>
        <v>198.07853541003993</v>
      </c>
      <c r="O410" s="145">
        <f t="shared" si="73"/>
        <v>253.18674823577163</v>
      </c>
      <c r="P410" s="145">
        <f t="shared" si="73"/>
        <v>809.91143549966557</v>
      </c>
      <c r="Q410" s="145">
        <f t="shared" si="73"/>
        <v>771.41517517824104</v>
      </c>
      <c r="R410" s="145">
        <f t="shared" si="73"/>
        <v>734.47809148152749</v>
      </c>
      <c r="S410" s="145">
        <f t="shared" si="73"/>
        <v>699.0919832022106</v>
      </c>
      <c r="T410" s="145">
        <f t="shared" si="73"/>
        <v>665.18564056645937</v>
      </c>
      <c r="U410" s="145">
        <f t="shared" si="73"/>
        <v>632.71831401820236</v>
      </c>
      <c r="V410" s="145">
        <f t="shared" si="73"/>
        <v>601.64801381426935</v>
      </c>
      <c r="W410" s="145">
        <f t="shared" si="73"/>
        <v>571.93188105015213</v>
      </c>
      <c r="X410" s="145">
        <f t="shared" si="73"/>
        <v>543.52651095043927</v>
      </c>
      <c r="Y410" s="145">
        <f t="shared" si="73"/>
        <v>542.84234828273009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>Option 2: Replace / Install Network Devices</v>
      </c>
      <c r="D411" s="80"/>
      <c r="E411" s="145">
        <f t="shared" ref="E411:Y411" si="74">E321</f>
        <v>517.16246347953017</v>
      </c>
      <c r="F411" s="145">
        <f t="shared" si="74"/>
        <v>1626.4773526448453</v>
      </c>
      <c r="G411" s="145">
        <f t="shared" si="74"/>
        <v>1536.177411853542</v>
      </c>
      <c r="H411" s="145">
        <f t="shared" si="74"/>
        <v>1450.6134083999989</v>
      </c>
      <c r="I411" s="145">
        <f t="shared" si="74"/>
        <v>0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>Option 3: Replace / Install 80% Network Devices, Purchase the Remaining 20% of the AMI data and Control Functionality</v>
      </c>
      <c r="D412" s="80"/>
      <c r="E412" s="145">
        <f t="shared" ref="E412:Y412" si="75">E345</f>
        <v>3591.6013354320007</v>
      </c>
      <c r="F412" s="145">
        <f t="shared" si="75"/>
        <v>2514.9941973279119</v>
      </c>
      <c r="G412" s="145">
        <f t="shared" si="75"/>
        <v>1282.9350382052712</v>
      </c>
      <c r="H412" s="145">
        <f t="shared" si="75"/>
        <v>1212.7048616401833</v>
      </c>
      <c r="I412" s="145">
        <f t="shared" si="75"/>
        <v>22.186175024182091</v>
      </c>
      <c r="J412" s="145">
        <f t="shared" si="75"/>
        <v>22.20873918785146</v>
      </c>
      <c r="K412" s="145">
        <f t="shared" si="75"/>
        <v>22.117901165928739</v>
      </c>
      <c r="L412" s="145">
        <f t="shared" si="75"/>
        <v>21.929534979287201</v>
      </c>
      <c r="M412" s="145">
        <f t="shared" si="75"/>
        <v>21.657840298398114</v>
      </c>
      <c r="N412" s="145">
        <f t="shared" si="75"/>
        <v>21.315499611313435</v>
      </c>
      <c r="O412" s="145">
        <f t="shared" si="75"/>
        <v>31.90275059881758</v>
      </c>
      <c r="P412" s="145">
        <f t="shared" si="75"/>
        <v>142.99166555386827</v>
      </c>
      <c r="Q412" s="145">
        <f t="shared" si="75"/>
        <v>135.18933318930596</v>
      </c>
      <c r="R412" s="145">
        <f t="shared" si="75"/>
        <v>127.82928121529078</v>
      </c>
      <c r="S412" s="145">
        <f t="shared" si="75"/>
        <v>120.88999291254031</v>
      </c>
      <c r="T412" s="145">
        <f t="shared" si="75"/>
        <v>114.33969264303849</v>
      </c>
      <c r="U412" s="145">
        <f t="shared" si="75"/>
        <v>108.15478989162186</v>
      </c>
      <c r="V412" s="145">
        <f t="shared" si="75"/>
        <v>102.31331482523001</v>
      </c>
      <c r="W412" s="145">
        <f t="shared" si="75"/>
        <v>96.794790979294731</v>
      </c>
      <c r="X412" s="145">
        <f t="shared" si="75"/>
        <v>91.580118970789115</v>
      </c>
      <c r="Y412" s="145">
        <f t="shared" si="75"/>
        <v>91.942293165255691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153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Perform Manual Neutral Integrity where UE Meters are Removed</v>
      </c>
      <c r="F417" s="387" t="str">
        <f>B299</f>
        <v>Option 2: Replace / Install Network Devices</v>
      </c>
      <c r="G417" s="388" t="str">
        <f>B323</f>
        <v>Option 3: Replace / Install 80% Network Devices, Purchase the Remaining 20% of the AMI data and Control Functionality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5667.5338942030239</v>
      </c>
      <c r="F419" s="305">
        <f>D301</f>
        <v>6062.0005525544157</v>
      </c>
      <c r="G419" s="306">
        <f>D325</f>
        <v>10547.479442755255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0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Cost 1</v>
      </c>
      <c r="D424" s="304">
        <f t="shared" si="83"/>
        <v>0</v>
      </c>
      <c r="E424" s="304">
        <f t="shared" si="78"/>
        <v>19893.301752323965</v>
      </c>
      <c r="F424" s="305">
        <f t="shared" si="79"/>
        <v>0</v>
      </c>
      <c r="G424" s="306">
        <f t="shared" si="80"/>
        <v>3978.6603504647924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5166.2215471817353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0</v>
      </c>
      <c r="E430" s="122">
        <f t="shared" si="84"/>
        <v>30727.057193708726</v>
      </c>
      <c r="F430" s="122">
        <f t="shared" si="84"/>
        <v>6062.0005525544157</v>
      </c>
      <c r="G430" s="122">
        <f t="shared" si="84"/>
        <v>14526.139793220047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 t="str">
        <f>IF(D430=0," ",D273)</f>
        <v xml:space="preserve"> </v>
      </c>
      <c r="E432" s="123">
        <f>IF(E430=0," ",D297)</f>
        <v>8389.7250405264895</v>
      </c>
      <c r="F432" s="128">
        <f>IF(F430=0," ",D321)</f>
        <v>5130.430636377916</v>
      </c>
      <c r="G432" s="119">
        <f>IF(G430=0," ",D345)</f>
        <v>9897.5791468173793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5130.430636377916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2: Replace / Install Network Devices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2017</v>
      </c>
      <c r="F441" s="311">
        <f t="shared" si="85"/>
        <v>2018</v>
      </c>
      <c r="G441" s="311">
        <f t="shared" si="85"/>
        <v>2019</v>
      </c>
      <c r="H441" s="311">
        <f t="shared" si="85"/>
        <v>2020</v>
      </c>
      <c r="I441" s="311">
        <f t="shared" si="85"/>
        <v>2021</v>
      </c>
      <c r="J441" s="311">
        <f t="shared" si="85"/>
        <v>2022</v>
      </c>
      <c r="K441" s="311">
        <f t="shared" si="85"/>
        <v>2023</v>
      </c>
      <c r="L441" s="311">
        <f t="shared" si="85"/>
        <v>2024</v>
      </c>
      <c r="M441" s="311">
        <f t="shared" si="85"/>
        <v>2025</v>
      </c>
      <c r="N441" s="311">
        <f t="shared" si="85"/>
        <v>2026</v>
      </c>
      <c r="O441" s="311">
        <f t="shared" si="85"/>
        <v>2027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0</v>
      </c>
      <c r="G442" s="313">
        <f t="shared" si="86"/>
        <v>0</v>
      </c>
      <c r="H442" s="313">
        <f t="shared" si="86"/>
        <v>0</v>
      </c>
      <c r="I442" s="313">
        <f t="shared" si="86"/>
        <v>0</v>
      </c>
      <c r="J442" s="313">
        <f t="shared" si="86"/>
        <v>0</v>
      </c>
      <c r="K442" s="313">
        <f t="shared" si="86"/>
        <v>0</v>
      </c>
      <c r="L442" s="313">
        <f t="shared" si="86"/>
        <v>0</v>
      </c>
      <c r="M442" s="313">
        <f t="shared" si="86"/>
        <v>0</v>
      </c>
      <c r="N442" s="313">
        <f t="shared" si="86"/>
        <v>0</v>
      </c>
      <c r="O442" s="313">
        <f t="shared" si="86"/>
        <v>0</v>
      </c>
      <c r="P442" s="313">
        <f t="shared" si="86"/>
        <v>0</v>
      </c>
      <c r="Q442" s="313">
        <f t="shared" si="86"/>
        <v>0</v>
      </c>
      <c r="R442" s="313">
        <f t="shared" si="86"/>
        <v>0</v>
      </c>
      <c r="S442" s="313">
        <f t="shared" si="86"/>
        <v>0</v>
      </c>
      <c r="T442" s="313">
        <f t="shared" si="86"/>
        <v>0</v>
      </c>
      <c r="U442" s="313">
        <f t="shared" si="86"/>
        <v>0</v>
      </c>
      <c r="V442" s="313">
        <f t="shared" si="86"/>
        <v>0</v>
      </c>
      <c r="W442" s="313">
        <f t="shared" si="86"/>
        <v>0</v>
      </c>
      <c r="X442" s="313">
        <f t="shared" si="86"/>
        <v>0</v>
      </c>
      <c r="Y442" s="313">
        <f t="shared" si="86"/>
        <v>0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2: Replace / Install Network Devices annual carrying costs</v>
      </c>
      <c r="E443" s="313">
        <f t="shared" ref="E443:Y443" si="87">E454</f>
        <v>44.837985583675263</v>
      </c>
      <c r="F443" s="313">
        <f t="shared" si="87"/>
        <v>199.48977927004896</v>
      </c>
      <c r="G443" s="313">
        <f t="shared" si="87"/>
        <v>359.68005883477031</v>
      </c>
      <c r="H443" s="313">
        <f t="shared" si="87"/>
        <v>525.57544790646784</v>
      </c>
      <c r="I443" s="313">
        <f t="shared" si="87"/>
        <v>525.57544790646784</v>
      </c>
      <c r="J443" s="313">
        <f t="shared" si="87"/>
        <v>525.57544790646784</v>
      </c>
      <c r="K443" s="313">
        <f t="shared" si="87"/>
        <v>525.57544790646784</v>
      </c>
      <c r="L443" s="313">
        <f t="shared" si="87"/>
        <v>525.57544790646784</v>
      </c>
      <c r="M443" s="313">
        <f t="shared" si="87"/>
        <v>525.57544790646784</v>
      </c>
      <c r="N443" s="313">
        <f t="shared" si="87"/>
        <v>525.57544790646784</v>
      </c>
      <c r="O443" s="313">
        <f t="shared" si="87"/>
        <v>525.57544790646784</v>
      </c>
      <c r="P443" s="313">
        <f t="shared" si="87"/>
        <v>525.57544790646784</v>
      </c>
      <c r="Q443" s="313">
        <f t="shared" si="87"/>
        <v>525.57544790646784</v>
      </c>
      <c r="R443" s="313">
        <f t="shared" si="87"/>
        <v>525.57544790646784</v>
      </c>
      <c r="S443" s="313">
        <f t="shared" si="87"/>
        <v>525.57544790646784</v>
      </c>
      <c r="T443" s="313">
        <f t="shared" si="87"/>
        <v>525.57544790646784</v>
      </c>
      <c r="U443" s="313">
        <f t="shared" si="87"/>
        <v>525.57544790646784</v>
      </c>
      <c r="V443" s="313">
        <f t="shared" si="87"/>
        <v>525.57544790646784</v>
      </c>
      <c r="W443" s="313">
        <f t="shared" si="87"/>
        <v>525.57544790646784</v>
      </c>
      <c r="X443" s="313">
        <f t="shared" si="87"/>
        <v>525.57544790646784</v>
      </c>
      <c r="Y443" s="313">
        <f t="shared" si="87"/>
        <v>525.57544790646784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2: Replace / Install Network Devices PV of costs</v>
      </c>
      <c r="E444" s="313">
        <f>VLOOKUP($B$451,$A$409:$Y$414,5)</f>
        <v>517.16246347953017</v>
      </c>
      <c r="F444" s="313">
        <f>VLOOKUP($B$451,$A$409:$Y$414,6)</f>
        <v>1626.4773526448453</v>
      </c>
      <c r="G444" s="313">
        <f>VLOOKUP($B$451,$A$409:$Y$414,7)</f>
        <v>1536.177411853542</v>
      </c>
      <c r="H444" s="313">
        <f>VLOOKUP($B$451,$A$409:$Y$414,8)</f>
        <v>1450.6134083999989</v>
      </c>
      <c r="I444" s="313">
        <f>VLOOKUP($B$451,$A$409:$Y$414,9)</f>
        <v>0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0</v>
      </c>
      <c r="G447" s="313">
        <f t="shared" si="88"/>
        <v>0</v>
      </c>
      <c r="H447" s="313">
        <f t="shared" si="88"/>
        <v>0</v>
      </c>
      <c r="I447" s="313">
        <f t="shared" si="88"/>
        <v>0</v>
      </c>
      <c r="J447" s="313">
        <f t="shared" si="88"/>
        <v>0</v>
      </c>
      <c r="K447" s="313">
        <f t="shared" si="88"/>
        <v>0</v>
      </c>
      <c r="L447" s="313">
        <f t="shared" si="88"/>
        <v>0</v>
      </c>
      <c r="M447" s="313">
        <f t="shared" si="88"/>
        <v>0</v>
      </c>
      <c r="N447" s="313">
        <f t="shared" si="88"/>
        <v>0</v>
      </c>
      <c r="O447" s="313">
        <f t="shared" si="88"/>
        <v>0</v>
      </c>
      <c r="P447" s="313">
        <f t="shared" si="88"/>
        <v>0</v>
      </c>
      <c r="Q447" s="313">
        <f t="shared" si="88"/>
        <v>0</v>
      </c>
      <c r="R447" s="313">
        <f t="shared" si="88"/>
        <v>0</v>
      </c>
      <c r="S447" s="313">
        <f t="shared" si="88"/>
        <v>0</v>
      </c>
      <c r="T447" s="313">
        <f t="shared" si="88"/>
        <v>0</v>
      </c>
      <c r="U447" s="313">
        <f t="shared" si="88"/>
        <v>0</v>
      </c>
      <c r="V447" s="313">
        <f t="shared" si="88"/>
        <v>0</v>
      </c>
      <c r="W447" s="313">
        <f t="shared" si="88"/>
        <v>0</v>
      </c>
      <c r="X447" s="313">
        <f t="shared" si="88"/>
        <v>0</v>
      </c>
      <c r="Y447" s="313">
        <f t="shared" si="88"/>
        <v>0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0</v>
      </c>
      <c r="G448" s="313">
        <f t="shared" si="89"/>
        <v>0</v>
      </c>
      <c r="H448" s="313">
        <f t="shared" si="89"/>
        <v>0</v>
      </c>
      <c r="I448" s="313">
        <f t="shared" si="89"/>
        <v>0</v>
      </c>
      <c r="J448" s="313">
        <f t="shared" si="89"/>
        <v>0</v>
      </c>
      <c r="K448" s="313">
        <f t="shared" si="89"/>
        <v>0</v>
      </c>
      <c r="L448" s="313">
        <f t="shared" si="89"/>
        <v>0</v>
      </c>
      <c r="M448" s="313">
        <f t="shared" si="89"/>
        <v>0</v>
      </c>
      <c r="N448" s="313">
        <f t="shared" si="89"/>
        <v>0</v>
      </c>
      <c r="O448" s="313">
        <f t="shared" si="89"/>
        <v>0</v>
      </c>
      <c r="P448" s="313">
        <f t="shared" si="89"/>
        <v>0</v>
      </c>
      <c r="Q448" s="313">
        <f t="shared" si="89"/>
        <v>0</v>
      </c>
      <c r="R448" s="313">
        <f t="shared" si="89"/>
        <v>0</v>
      </c>
      <c r="S448" s="313">
        <f t="shared" si="89"/>
        <v>0</v>
      </c>
      <c r="T448" s="313">
        <f t="shared" si="89"/>
        <v>0</v>
      </c>
      <c r="U448" s="313">
        <f t="shared" si="89"/>
        <v>0</v>
      </c>
      <c r="V448" s="313">
        <f t="shared" si="89"/>
        <v>0</v>
      </c>
      <c r="W448" s="313">
        <f t="shared" si="89"/>
        <v>0</v>
      </c>
      <c r="X448" s="313">
        <f t="shared" si="89"/>
        <v>0</v>
      </c>
      <c r="Y448" s="313">
        <f t="shared" si="89"/>
        <v>0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0</v>
      </c>
      <c r="G449" s="326">
        <f>G448*'Administrator Input'!$F$22</f>
        <v>0</v>
      </c>
      <c r="H449" s="326">
        <f>H448*'Administrator Input'!$F$22</f>
        <v>0</v>
      </c>
      <c r="I449" s="326">
        <f>I448*'Administrator Input'!$F$22</f>
        <v>0</v>
      </c>
      <c r="J449" s="326">
        <f>J448*'Administrator Input'!$F$22</f>
        <v>0</v>
      </c>
      <c r="K449" s="326">
        <f>K448*'Administrator Input'!$F$22</f>
        <v>0</v>
      </c>
      <c r="L449" s="326">
        <f>L448*'Administrator Input'!$F$22</f>
        <v>0</v>
      </c>
      <c r="M449" s="326">
        <f>M448*'Administrator Input'!$F$22</f>
        <v>0</v>
      </c>
      <c r="N449" s="326">
        <f>N448*'Administrator Input'!$F$22</f>
        <v>0</v>
      </c>
      <c r="O449" s="326">
        <f>O448*'Administrator Input'!$F$22</f>
        <v>0</v>
      </c>
      <c r="P449" s="326">
        <f>P448*'Administrator Input'!$F$22</f>
        <v>0</v>
      </c>
      <c r="Q449" s="326">
        <f>Q448*'Administrator Input'!$F$22</f>
        <v>0</v>
      </c>
      <c r="R449" s="326">
        <f>R448*'Administrator Input'!$F$22</f>
        <v>0</v>
      </c>
      <c r="S449" s="326">
        <f>S448*'Administrator Input'!$F$22</f>
        <v>0</v>
      </c>
      <c r="T449" s="326">
        <f>T448*'Administrator Input'!$F$22</f>
        <v>0</v>
      </c>
      <c r="U449" s="326">
        <f>U448*'Administrator Input'!$F$22</f>
        <v>0</v>
      </c>
      <c r="V449" s="326">
        <f>V448*'Administrator Input'!$F$22</f>
        <v>0</v>
      </c>
      <c r="W449" s="326">
        <f>W448*'Administrator Input'!$F$22</f>
        <v>0</v>
      </c>
      <c r="X449" s="326">
        <f>X448*'Administrator Input'!$F$22</f>
        <v>0</v>
      </c>
      <c r="Y449" s="326">
        <f>Y448*'Administrator Input'!$F$22</f>
        <v>0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3</v>
      </c>
      <c r="C451" s="311"/>
      <c r="D451" s="325" t="str">
        <f>"Recommended Case: "&amp;+D435</f>
        <v>Recommended Case: Option 2: Replace / Install Network Devices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517.16246347953017</v>
      </c>
      <c r="F452" s="313">
        <f>VLOOKUP($B$451,$A$400:$Y$405,6)</f>
        <v>1783.7577126456019</v>
      </c>
      <c r="G452" s="313">
        <f>VLOOKUP($B$451,$A$400:$Y$405,7)</f>
        <v>1847.6387493047444</v>
      </c>
      <c r="H452" s="313">
        <f>VLOOKUP($B$451,$A$400:$Y$405,8)</f>
        <v>1913.4416271245389</v>
      </c>
      <c r="I452" s="313">
        <f>VLOOKUP($B$451,$A$400:$Y$405,9)</f>
        <v>0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517.16246347953017</v>
      </c>
      <c r="F453" s="313">
        <f t="shared" ref="F453:Y453" si="90">E453+F452</f>
        <v>2300.920176125132</v>
      </c>
      <c r="G453" s="313">
        <f t="shared" si="90"/>
        <v>4148.5589254298766</v>
      </c>
      <c r="H453" s="313">
        <f t="shared" si="90"/>
        <v>6062.0005525544157</v>
      </c>
      <c r="I453" s="313">
        <f t="shared" si="90"/>
        <v>6062.0005525544157</v>
      </c>
      <c r="J453" s="313">
        <f t="shared" si="90"/>
        <v>6062.0005525544157</v>
      </c>
      <c r="K453" s="313">
        <f t="shared" si="90"/>
        <v>6062.0005525544157</v>
      </c>
      <c r="L453" s="313">
        <f t="shared" si="90"/>
        <v>6062.0005525544157</v>
      </c>
      <c r="M453" s="313">
        <f t="shared" si="90"/>
        <v>6062.0005525544157</v>
      </c>
      <c r="N453" s="313">
        <f t="shared" si="90"/>
        <v>6062.0005525544157</v>
      </c>
      <c r="O453" s="313">
        <f t="shared" si="90"/>
        <v>6062.0005525544157</v>
      </c>
      <c r="P453" s="313">
        <f t="shared" si="90"/>
        <v>6062.0005525544157</v>
      </c>
      <c r="Q453" s="313">
        <f t="shared" si="90"/>
        <v>6062.0005525544157</v>
      </c>
      <c r="R453" s="313">
        <f t="shared" si="90"/>
        <v>6062.0005525544157</v>
      </c>
      <c r="S453" s="313">
        <f t="shared" si="90"/>
        <v>6062.0005525544157</v>
      </c>
      <c r="T453" s="313">
        <f t="shared" si="90"/>
        <v>6062.0005525544157</v>
      </c>
      <c r="U453" s="313">
        <f t="shared" si="90"/>
        <v>6062.0005525544157</v>
      </c>
      <c r="V453" s="313">
        <f t="shared" si="90"/>
        <v>6062.0005525544157</v>
      </c>
      <c r="W453" s="313">
        <f t="shared" si="90"/>
        <v>6062.0005525544157</v>
      </c>
      <c r="X453" s="313">
        <f t="shared" si="90"/>
        <v>6062.0005525544157</v>
      </c>
      <c r="Y453" s="313">
        <f t="shared" si="90"/>
        <v>6062.0005525544157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44.837985583675263</v>
      </c>
      <c r="F454" s="326">
        <f>F453*'Administrator Input'!$F$22</f>
        <v>199.48977927004896</v>
      </c>
      <c r="G454" s="326">
        <f>G453*'Administrator Input'!$F$22</f>
        <v>359.68005883477031</v>
      </c>
      <c r="H454" s="326">
        <f>H453*'Administrator Input'!$F$22</f>
        <v>525.57544790646784</v>
      </c>
      <c r="I454" s="326">
        <f>I453*'Administrator Input'!$F$22</f>
        <v>525.57544790646784</v>
      </c>
      <c r="J454" s="326">
        <f>J453*'Administrator Input'!$F$22</f>
        <v>525.57544790646784</v>
      </c>
      <c r="K454" s="326">
        <f>K453*'Administrator Input'!$F$22</f>
        <v>525.57544790646784</v>
      </c>
      <c r="L454" s="326">
        <f>L453*'Administrator Input'!$F$22</f>
        <v>525.57544790646784</v>
      </c>
      <c r="M454" s="326">
        <f>M453*'Administrator Input'!$F$22</f>
        <v>525.57544790646784</v>
      </c>
      <c r="N454" s="326">
        <f>N453*'Administrator Input'!$F$22</f>
        <v>525.57544790646784</v>
      </c>
      <c r="O454" s="326">
        <f>O453*'Administrator Input'!$F$22</f>
        <v>525.57544790646784</v>
      </c>
      <c r="P454" s="326">
        <f>P453*'Administrator Input'!$F$22</f>
        <v>525.57544790646784</v>
      </c>
      <c r="Q454" s="326">
        <f>Q453*'Administrator Input'!$F$22</f>
        <v>525.57544790646784</v>
      </c>
      <c r="R454" s="326">
        <f>R453*'Administrator Input'!$F$22</f>
        <v>525.57544790646784</v>
      </c>
      <c r="S454" s="326">
        <f>S453*'Administrator Input'!$F$22</f>
        <v>525.57544790646784</v>
      </c>
      <c r="T454" s="326">
        <f>T453*'Administrator Input'!$F$22</f>
        <v>525.57544790646784</v>
      </c>
      <c r="U454" s="326">
        <f>U453*'Administrator Input'!$F$22</f>
        <v>525.57544790646784</v>
      </c>
      <c r="V454" s="326">
        <f>V453*'Administrator Input'!$F$22</f>
        <v>525.57544790646784</v>
      </c>
      <c r="W454" s="326">
        <f>W453*'Administrator Input'!$F$22</f>
        <v>525.57544790646784</v>
      </c>
      <c r="X454" s="326">
        <f>X453*'Administrator Input'!$F$22</f>
        <v>525.57544790646784</v>
      </c>
      <c r="Y454" s="326">
        <f>Y453*'Administrator Input'!$F$22</f>
        <v>525.57544790646784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/>
  <headerFooter alignWithMargins="0">
    <oddFooter>&amp;L&amp;D&amp;CPage &amp;P of &amp;N
&amp;R&amp;Z&amp;F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zoomScalePageLayoutView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42578125" style="160" customWidth="1"/>
    <col min="4" max="4" width="11.42578125" style="160" customWidth="1"/>
    <col min="5" max="13" width="12.42578125" style="160" customWidth="1"/>
    <col min="14" max="14" width="11.42578125" style="160" customWidth="1"/>
    <col min="15" max="24" width="12.42578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Perform Manual Neutral Integrity where UE Meters are Removed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>Option 2: Replace / Install Network Devices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>Option 3: Replace / Install 80% Network Devices, Purchase the Remaining 20% of the AMI data and Control Functionality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2018</v>
      </c>
      <c r="F24" s="164">
        <f>Calculations!G5</f>
        <v>2019</v>
      </c>
      <c r="G24" s="164">
        <f>Calculations!H5</f>
        <v>2020</v>
      </c>
      <c r="H24" s="164">
        <f>Calculations!I5</f>
        <v>2021</v>
      </c>
      <c r="I24" s="164">
        <f>Calculations!J5</f>
        <v>2022</v>
      </c>
      <c r="J24" s="164">
        <f>Calculations!K5</f>
        <v>2023</v>
      </c>
      <c r="K24" s="164">
        <f>Calculations!L5</f>
        <v>2024</v>
      </c>
      <c r="L24" s="164">
        <f>Calculations!M5</f>
        <v>2025</v>
      </c>
      <c r="M24" s="164">
        <f>Calculations!N5</f>
        <v>2026</v>
      </c>
      <c r="N24" s="164">
        <f>Calculations!O5</f>
        <v>2027</v>
      </c>
      <c r="O24" s="164">
        <f>Calculations!P5</f>
        <v>2028</v>
      </c>
      <c r="P24" s="164">
        <f>Calculations!Q5</f>
        <v>2029</v>
      </c>
      <c r="Q24" s="164">
        <f>Calculations!R5</f>
        <v>2030</v>
      </c>
      <c r="R24" s="164">
        <f>Calculations!S5</f>
        <v>2031</v>
      </c>
      <c r="S24" s="164">
        <f>Calculations!T5</f>
        <v>2032</v>
      </c>
      <c r="T24" s="164">
        <f>Calculations!U5</f>
        <v>2033</v>
      </c>
      <c r="U24" s="164">
        <f>Calculations!V5</f>
        <v>2034</v>
      </c>
      <c r="V24" s="164">
        <f>Calculations!W5</f>
        <v>2035</v>
      </c>
      <c r="W24" s="164">
        <f>Calculations!X5</f>
        <v>2036</v>
      </c>
      <c r="X24" s="164">
        <f>Calculations!Y5</f>
        <v>2037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(2017)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(2018)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(2019)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(2020)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(2021)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Perform Manual Neutral Integrity where UE Meters are Removed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(2017)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(2018)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(2019)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(2020)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(2021)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>Option 2: Replace / Install Network Devices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(2017)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(2018)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(2019)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(2020)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(2021)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>Option 3: Replace / Install 80% Network Devices, Purchase the Remaining 20% of the AMI data and Control Functionality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(2017)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(2018)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(2019)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(2020)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(2021)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(2017)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(2018)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(2019)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(2020)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(2021)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(2017)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(2018)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(2019)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(2020)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(2021)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79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(2017)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(2018)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(2019)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(2020)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(2021)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Perform Manual Neutral Integrity where UE Meters are Removed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(2017)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0</v>
      </c>
      <c r="F258" s="257">
        <f>$D$19*E261</f>
        <v>0</v>
      </c>
      <c r="G258" s="257">
        <f t="shared" ref="G258:X258" si="93">$D$19*F261</f>
        <v>0</v>
      </c>
      <c r="H258" s="257">
        <f t="shared" si="93"/>
        <v>0</v>
      </c>
      <c r="I258" s="257">
        <f t="shared" si="93"/>
        <v>0</v>
      </c>
      <c r="J258" s="257">
        <f t="shared" si="93"/>
        <v>0</v>
      </c>
      <c r="K258" s="257">
        <f t="shared" si="93"/>
        <v>0</v>
      </c>
      <c r="L258" s="257">
        <f t="shared" si="93"/>
        <v>0</v>
      </c>
      <c r="M258" s="257">
        <f t="shared" si="93"/>
        <v>0</v>
      </c>
      <c r="N258" s="257">
        <f t="shared" si="93"/>
        <v>0</v>
      </c>
      <c r="O258" s="257">
        <f t="shared" si="93"/>
        <v>0</v>
      </c>
      <c r="P258" s="257">
        <f t="shared" si="93"/>
        <v>0</v>
      </c>
      <c r="Q258" s="257">
        <f t="shared" si="93"/>
        <v>0</v>
      </c>
      <c r="R258" s="257">
        <f t="shared" si="93"/>
        <v>0</v>
      </c>
      <c r="S258" s="257">
        <f t="shared" si="93"/>
        <v>0</v>
      </c>
      <c r="T258" s="257">
        <f t="shared" si="93"/>
        <v>0</v>
      </c>
      <c r="U258" s="257">
        <f t="shared" si="93"/>
        <v>0</v>
      </c>
      <c r="V258" s="257">
        <f t="shared" si="93"/>
        <v>0</v>
      </c>
      <c r="W258" s="257">
        <f t="shared" si="93"/>
        <v>0</v>
      </c>
      <c r="X258" s="257">
        <f t="shared" si="93"/>
        <v>0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0</v>
      </c>
      <c r="F259" s="264">
        <f>$D$256-F258</f>
        <v>0</v>
      </c>
      <c r="G259" s="264">
        <f t="shared" ref="G259:X259" si="94">$D$256-G258</f>
        <v>0</v>
      </c>
      <c r="H259" s="264">
        <f t="shared" si="94"/>
        <v>0</v>
      </c>
      <c r="I259" s="264">
        <f t="shared" si="94"/>
        <v>0</v>
      </c>
      <c r="J259" s="264">
        <f t="shared" si="94"/>
        <v>0</v>
      </c>
      <c r="K259" s="264">
        <f t="shared" si="94"/>
        <v>0</v>
      </c>
      <c r="L259" s="264">
        <f t="shared" si="94"/>
        <v>0</v>
      </c>
      <c r="M259" s="264">
        <f t="shared" si="94"/>
        <v>0</v>
      </c>
      <c r="N259" s="264">
        <f t="shared" si="94"/>
        <v>0</v>
      </c>
      <c r="O259" s="264">
        <f t="shared" si="94"/>
        <v>0</v>
      </c>
      <c r="P259" s="264">
        <f t="shared" si="94"/>
        <v>0</v>
      </c>
      <c r="Q259" s="264">
        <f t="shared" si="94"/>
        <v>0</v>
      </c>
      <c r="R259" s="264">
        <f t="shared" si="94"/>
        <v>0</v>
      </c>
      <c r="S259" s="264">
        <f t="shared" si="94"/>
        <v>0</v>
      </c>
      <c r="T259" s="264">
        <f t="shared" si="94"/>
        <v>0</v>
      </c>
      <c r="U259" s="264">
        <f t="shared" si="94"/>
        <v>0</v>
      </c>
      <c r="V259" s="264">
        <f t="shared" si="94"/>
        <v>0</v>
      </c>
      <c r="W259" s="264">
        <f t="shared" si="94"/>
        <v>0</v>
      </c>
      <c r="X259" s="264">
        <f t="shared" si="94"/>
        <v>0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0</v>
      </c>
      <c r="F261" s="257">
        <f>E261-F259</f>
        <v>0</v>
      </c>
      <c r="G261" s="257">
        <f t="shared" ref="G261:X261" si="96">F261-G259</f>
        <v>0</v>
      </c>
      <c r="H261" s="257">
        <f t="shared" si="96"/>
        <v>0</v>
      </c>
      <c r="I261" s="257">
        <f t="shared" si="96"/>
        <v>0</v>
      </c>
      <c r="J261" s="257">
        <f t="shared" si="96"/>
        <v>0</v>
      </c>
      <c r="K261" s="257">
        <f t="shared" si="96"/>
        <v>0</v>
      </c>
      <c r="L261" s="257">
        <f t="shared" si="96"/>
        <v>0</v>
      </c>
      <c r="M261" s="257">
        <f t="shared" si="96"/>
        <v>0</v>
      </c>
      <c r="N261" s="257">
        <f t="shared" si="96"/>
        <v>0</v>
      </c>
      <c r="O261" s="257">
        <f t="shared" si="96"/>
        <v>0</v>
      </c>
      <c r="P261" s="257">
        <f t="shared" si="96"/>
        <v>0</v>
      </c>
      <c r="Q261" s="257">
        <f t="shared" si="96"/>
        <v>0</v>
      </c>
      <c r="R261" s="257">
        <f t="shared" si="96"/>
        <v>0</v>
      </c>
      <c r="S261" s="257">
        <f t="shared" si="96"/>
        <v>0</v>
      </c>
      <c r="T261" s="257">
        <f t="shared" si="96"/>
        <v>0</v>
      </c>
      <c r="U261" s="257">
        <f t="shared" si="96"/>
        <v>0</v>
      </c>
      <c r="V261" s="257">
        <f t="shared" si="96"/>
        <v>0</v>
      </c>
      <c r="W261" s="257">
        <f t="shared" si="96"/>
        <v>0</v>
      </c>
      <c r="X261" s="257">
        <f t="shared" si="96"/>
        <v>0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(2018)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8.67</v>
      </c>
      <c r="G265" s="257">
        <f>$D$19*F268</f>
        <v>9.4216890000000006</v>
      </c>
      <c r="H265" s="257">
        <f t="shared" ref="H265:X265" si="97">$D$19*G268</f>
        <v>10.2385494363</v>
      </c>
      <c r="I265" s="257">
        <f t="shared" si="97"/>
        <v>11.12623167242721</v>
      </c>
      <c r="J265" s="257">
        <f t="shared" si="97"/>
        <v>12.090875958426649</v>
      </c>
      <c r="K265" s="257">
        <f t="shared" si="97"/>
        <v>13.13915490402224</v>
      </c>
      <c r="L265" s="257">
        <f t="shared" si="97"/>
        <v>14.278319634200967</v>
      </c>
      <c r="M265" s="257">
        <f t="shared" si="97"/>
        <v>15.516249946486189</v>
      </c>
      <c r="N265" s="257">
        <f t="shared" si="97"/>
        <v>16.861508816846541</v>
      </c>
      <c r="O265" s="257">
        <f t="shared" si="97"/>
        <v>18.323401631267139</v>
      </c>
      <c r="P265" s="257">
        <f t="shared" si="97"/>
        <v>19.912040552697999</v>
      </c>
      <c r="Q265" s="257">
        <f t="shared" si="97"/>
        <v>21.638414468616915</v>
      </c>
      <c r="R265" s="257">
        <f t="shared" si="97"/>
        <v>23.514465003046002</v>
      </c>
      <c r="S265" s="257">
        <f t="shared" si="97"/>
        <v>25.553169118810089</v>
      </c>
      <c r="T265" s="257">
        <f t="shared" si="97"/>
        <v>27.768628881410923</v>
      </c>
      <c r="U265" s="257">
        <f t="shared" si="97"/>
        <v>30.176169005429248</v>
      </c>
      <c r="V265" s="257">
        <f t="shared" si="97"/>
        <v>32.792442858199962</v>
      </c>
      <c r="W265" s="257">
        <f t="shared" si="97"/>
        <v>35.635547654005904</v>
      </c>
      <c r="X265" s="257">
        <f t="shared" si="97"/>
        <v>38.725149635608219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-8.67</v>
      </c>
      <c r="G266" s="264">
        <f>$D$263-G265</f>
        <v>-9.4216890000000006</v>
      </c>
      <c r="H266" s="264">
        <f t="shared" ref="H266:X266" si="98">$D$263-H265</f>
        <v>-10.2385494363</v>
      </c>
      <c r="I266" s="264">
        <f t="shared" si="98"/>
        <v>-11.12623167242721</v>
      </c>
      <c r="J266" s="264">
        <f t="shared" si="98"/>
        <v>-12.090875958426649</v>
      </c>
      <c r="K266" s="264">
        <f t="shared" si="98"/>
        <v>-13.13915490402224</v>
      </c>
      <c r="L266" s="264">
        <f t="shared" si="98"/>
        <v>-14.278319634200967</v>
      </c>
      <c r="M266" s="264">
        <f t="shared" si="98"/>
        <v>-15.516249946486189</v>
      </c>
      <c r="N266" s="264">
        <f t="shared" si="98"/>
        <v>-16.861508816846541</v>
      </c>
      <c r="O266" s="264">
        <f t="shared" si="98"/>
        <v>-18.323401631267139</v>
      </c>
      <c r="P266" s="264">
        <f t="shared" si="98"/>
        <v>-19.912040552697999</v>
      </c>
      <c r="Q266" s="264">
        <f t="shared" si="98"/>
        <v>-21.638414468616915</v>
      </c>
      <c r="R266" s="264">
        <f t="shared" si="98"/>
        <v>-23.514465003046002</v>
      </c>
      <c r="S266" s="264">
        <f t="shared" si="98"/>
        <v>-25.553169118810089</v>
      </c>
      <c r="T266" s="264">
        <f t="shared" si="98"/>
        <v>-27.768628881410923</v>
      </c>
      <c r="U266" s="264">
        <f t="shared" si="98"/>
        <v>-30.176169005429248</v>
      </c>
      <c r="V266" s="264">
        <f t="shared" si="98"/>
        <v>-32.792442858199962</v>
      </c>
      <c r="W266" s="264">
        <f t="shared" si="98"/>
        <v>-35.635547654005904</v>
      </c>
      <c r="X266" s="264">
        <f t="shared" si="98"/>
        <v>-38.725149635608219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108.67</v>
      </c>
      <c r="G268" s="257">
        <f>F268-G266</f>
        <v>118.091689</v>
      </c>
      <c r="H268" s="257">
        <f t="shared" ref="H268:X268" si="100">G268-H266</f>
        <v>128.33023843629999</v>
      </c>
      <c r="I268" s="257">
        <f t="shared" si="100"/>
        <v>139.45647010872722</v>
      </c>
      <c r="J268" s="257">
        <f t="shared" si="100"/>
        <v>151.54734606715385</v>
      </c>
      <c r="K268" s="257">
        <f t="shared" si="100"/>
        <v>164.68650097117609</v>
      </c>
      <c r="L268" s="257">
        <f t="shared" si="100"/>
        <v>178.96482060537704</v>
      </c>
      <c r="M268" s="257">
        <f t="shared" si="100"/>
        <v>194.48107055186324</v>
      </c>
      <c r="N268" s="257">
        <f t="shared" si="100"/>
        <v>211.34257936870978</v>
      </c>
      <c r="O268" s="257">
        <f t="shared" si="100"/>
        <v>229.66598099997691</v>
      </c>
      <c r="P268" s="257">
        <f t="shared" si="100"/>
        <v>249.5780215526749</v>
      </c>
      <c r="Q268" s="257">
        <f t="shared" si="100"/>
        <v>271.21643602129183</v>
      </c>
      <c r="R268" s="257">
        <f t="shared" si="100"/>
        <v>294.73090102433781</v>
      </c>
      <c r="S268" s="257">
        <f t="shared" si="100"/>
        <v>320.28407014314791</v>
      </c>
      <c r="T268" s="257">
        <f t="shared" si="100"/>
        <v>348.05269902455882</v>
      </c>
      <c r="U268" s="257">
        <f t="shared" si="100"/>
        <v>378.22886802998806</v>
      </c>
      <c r="V268" s="257">
        <f t="shared" si="100"/>
        <v>411.02131088818805</v>
      </c>
      <c r="W268" s="257">
        <f t="shared" si="100"/>
        <v>446.65685854219396</v>
      </c>
      <c r="X268" s="257">
        <f t="shared" si="100"/>
        <v>485.38200817780216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(2019)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9.536999999999999</v>
      </c>
      <c r="H272" s="257">
        <f>$D$19*G275</f>
        <v>10.363857900000001</v>
      </c>
      <c r="I272" s="257">
        <f t="shared" ref="I272:X272" si="101">$D$19*H275</f>
        <v>11.26240437993</v>
      </c>
      <c r="J272" s="257">
        <f t="shared" si="101"/>
        <v>12.23885483966993</v>
      </c>
      <c r="K272" s="257">
        <f t="shared" si="101"/>
        <v>13.299963554269313</v>
      </c>
      <c r="L272" s="257">
        <f t="shared" si="101"/>
        <v>14.453070394424463</v>
      </c>
      <c r="M272" s="257">
        <f t="shared" si="101"/>
        <v>15.706151597621062</v>
      </c>
      <c r="N272" s="257">
        <f t="shared" si="101"/>
        <v>17.067874941134811</v>
      </c>
      <c r="O272" s="257">
        <f t="shared" si="101"/>
        <v>18.547659698531199</v>
      </c>
      <c r="P272" s="257">
        <f t="shared" si="101"/>
        <v>20.155741794393855</v>
      </c>
      <c r="Q272" s="257">
        <f t="shared" si="101"/>
        <v>21.9032446079678</v>
      </c>
      <c r="R272" s="257">
        <f t="shared" si="101"/>
        <v>23.802255915478607</v>
      </c>
      <c r="S272" s="257">
        <f t="shared" si="101"/>
        <v>25.865911503350603</v>
      </c>
      <c r="T272" s="257">
        <f t="shared" si="101"/>
        <v>28.108486030691104</v>
      </c>
      <c r="U272" s="257">
        <f t="shared" si="101"/>
        <v>30.545491769552019</v>
      </c>
      <c r="V272" s="257">
        <f t="shared" si="101"/>
        <v>33.193785905972184</v>
      </c>
      <c r="W272" s="257">
        <f t="shared" si="101"/>
        <v>36.071687144019968</v>
      </c>
      <c r="X272" s="257">
        <f t="shared" si="101"/>
        <v>39.199102419406501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-9.536999999999999</v>
      </c>
      <c r="H273" s="264">
        <f>$D$270-H272</f>
        <v>-10.363857900000001</v>
      </c>
      <c r="I273" s="264">
        <f t="shared" ref="I273:X273" si="102">$D$270-I272</f>
        <v>-11.26240437993</v>
      </c>
      <c r="J273" s="264">
        <f t="shared" si="102"/>
        <v>-12.23885483966993</v>
      </c>
      <c r="K273" s="264">
        <f t="shared" si="102"/>
        <v>-13.299963554269313</v>
      </c>
      <c r="L273" s="264">
        <f t="shared" si="102"/>
        <v>-14.453070394424463</v>
      </c>
      <c r="M273" s="264">
        <f t="shared" si="102"/>
        <v>-15.706151597621062</v>
      </c>
      <c r="N273" s="264">
        <f t="shared" si="102"/>
        <v>-17.067874941134811</v>
      </c>
      <c r="O273" s="264">
        <f t="shared" si="102"/>
        <v>-18.547659698531199</v>
      </c>
      <c r="P273" s="264">
        <f t="shared" si="102"/>
        <v>-20.155741794393855</v>
      </c>
      <c r="Q273" s="264">
        <f t="shared" si="102"/>
        <v>-21.9032446079678</v>
      </c>
      <c r="R273" s="264">
        <f t="shared" si="102"/>
        <v>-23.802255915478607</v>
      </c>
      <c r="S273" s="264">
        <f t="shared" si="102"/>
        <v>-25.865911503350603</v>
      </c>
      <c r="T273" s="264">
        <f t="shared" si="102"/>
        <v>-28.108486030691104</v>
      </c>
      <c r="U273" s="264">
        <f t="shared" si="102"/>
        <v>-30.545491769552019</v>
      </c>
      <c r="V273" s="264">
        <f t="shared" si="102"/>
        <v>-33.193785905972184</v>
      </c>
      <c r="W273" s="264">
        <f t="shared" si="102"/>
        <v>-36.071687144019968</v>
      </c>
      <c r="X273" s="264">
        <f t="shared" si="102"/>
        <v>-39.199102419406501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119.53700000000001</v>
      </c>
      <c r="H275" s="257">
        <f>G275-H273</f>
        <v>129.90085790000001</v>
      </c>
      <c r="I275" s="257">
        <f t="shared" ref="I275:X275" si="104">H275-I273</f>
        <v>141.16326227993</v>
      </c>
      <c r="J275" s="257">
        <f t="shared" si="104"/>
        <v>153.40211711959992</v>
      </c>
      <c r="K275" s="257">
        <f t="shared" si="104"/>
        <v>166.70208067386923</v>
      </c>
      <c r="L275" s="257">
        <f t="shared" si="104"/>
        <v>181.15515106829369</v>
      </c>
      <c r="M275" s="257">
        <f t="shared" si="104"/>
        <v>196.86130266591476</v>
      </c>
      <c r="N275" s="257">
        <f t="shared" si="104"/>
        <v>213.92917760704958</v>
      </c>
      <c r="O275" s="257">
        <f t="shared" si="104"/>
        <v>232.47683730558077</v>
      </c>
      <c r="P275" s="257">
        <f t="shared" si="104"/>
        <v>252.63257909997463</v>
      </c>
      <c r="Q275" s="257">
        <f t="shared" si="104"/>
        <v>274.53582370794243</v>
      </c>
      <c r="R275" s="257">
        <f t="shared" si="104"/>
        <v>298.33807962342104</v>
      </c>
      <c r="S275" s="257">
        <f t="shared" si="104"/>
        <v>324.20399112677165</v>
      </c>
      <c r="T275" s="257">
        <f t="shared" si="104"/>
        <v>352.31247715746275</v>
      </c>
      <c r="U275" s="257">
        <f t="shared" si="104"/>
        <v>382.85796892701478</v>
      </c>
      <c r="V275" s="257">
        <f t="shared" si="104"/>
        <v>416.05175483298694</v>
      </c>
      <c r="W275" s="257">
        <f t="shared" si="104"/>
        <v>452.12344197700691</v>
      </c>
      <c r="X275" s="257">
        <f t="shared" si="104"/>
        <v>491.32254439641338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(2020)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10.404</v>
      </c>
      <c r="I279" s="257">
        <f>$D$19*H282</f>
        <v>11.3060268</v>
      </c>
      <c r="J279" s="257">
        <f t="shared" ref="J279:X279" si="105">$D$19*I282</f>
        <v>12.286259323560001</v>
      </c>
      <c r="K279" s="257">
        <f t="shared" si="105"/>
        <v>13.351478006912652</v>
      </c>
      <c r="L279" s="257">
        <f t="shared" si="105"/>
        <v>14.509051150111979</v>
      </c>
      <c r="M279" s="257">
        <f t="shared" si="105"/>
        <v>15.766985884826688</v>
      </c>
      <c r="N279" s="257">
        <f t="shared" si="105"/>
        <v>17.133983561041163</v>
      </c>
      <c r="O279" s="257">
        <f t="shared" si="105"/>
        <v>18.619499935783431</v>
      </c>
      <c r="P279" s="257">
        <f t="shared" si="105"/>
        <v>20.233810580215856</v>
      </c>
      <c r="Q279" s="257">
        <f t="shared" si="105"/>
        <v>21.988081957520567</v>
      </c>
      <c r="R279" s="257">
        <f t="shared" si="105"/>
        <v>23.894448663237604</v>
      </c>
      <c r="S279" s="257">
        <f t="shared" si="105"/>
        <v>25.966097362340303</v>
      </c>
      <c r="T279" s="257">
        <f t="shared" si="105"/>
        <v>28.217358003655207</v>
      </c>
      <c r="U279" s="257">
        <f t="shared" si="105"/>
        <v>30.663802942572111</v>
      </c>
      <c r="V279" s="257">
        <f t="shared" si="105"/>
        <v>33.322354657693111</v>
      </c>
      <c r="W279" s="257">
        <f t="shared" si="105"/>
        <v>36.211402806515103</v>
      </c>
      <c r="X279" s="257">
        <f t="shared" si="105"/>
        <v>39.35093142983996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-10.404</v>
      </c>
      <c r="I280" s="264">
        <f>$D$277-I279</f>
        <v>-11.3060268</v>
      </c>
      <c r="J280" s="264">
        <f t="shared" ref="J280:X280" si="106">$D$277-J279</f>
        <v>-12.286259323560001</v>
      </c>
      <c r="K280" s="264">
        <f t="shared" si="106"/>
        <v>-13.351478006912652</v>
      </c>
      <c r="L280" s="264">
        <f t="shared" si="106"/>
        <v>-14.509051150111979</v>
      </c>
      <c r="M280" s="264">
        <f t="shared" si="106"/>
        <v>-15.766985884826688</v>
      </c>
      <c r="N280" s="264">
        <f t="shared" si="106"/>
        <v>-17.133983561041163</v>
      </c>
      <c r="O280" s="264">
        <f t="shared" si="106"/>
        <v>-18.619499935783431</v>
      </c>
      <c r="P280" s="264">
        <f t="shared" si="106"/>
        <v>-20.233810580215856</v>
      </c>
      <c r="Q280" s="264">
        <f t="shared" si="106"/>
        <v>-21.988081957520567</v>
      </c>
      <c r="R280" s="264">
        <f t="shared" si="106"/>
        <v>-23.894448663237604</v>
      </c>
      <c r="S280" s="264">
        <f t="shared" si="106"/>
        <v>-25.966097362340303</v>
      </c>
      <c r="T280" s="264">
        <f t="shared" si="106"/>
        <v>-28.217358003655207</v>
      </c>
      <c r="U280" s="264">
        <f t="shared" si="106"/>
        <v>-30.663802942572111</v>
      </c>
      <c r="V280" s="264">
        <f t="shared" si="106"/>
        <v>-33.322354657693111</v>
      </c>
      <c r="W280" s="264">
        <f t="shared" si="106"/>
        <v>-36.211402806515103</v>
      </c>
      <c r="X280" s="264">
        <f t="shared" si="106"/>
        <v>-39.35093142983996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130.404</v>
      </c>
      <c r="I282" s="257">
        <f>H282-I280</f>
        <v>141.71002680000001</v>
      </c>
      <c r="J282" s="257">
        <f t="shared" ref="J282:X282" si="108">I282-J280</f>
        <v>153.99628612356</v>
      </c>
      <c r="K282" s="257">
        <f t="shared" si="108"/>
        <v>167.34776413047265</v>
      </c>
      <c r="L282" s="257">
        <f t="shared" si="108"/>
        <v>181.85681528058464</v>
      </c>
      <c r="M282" s="257">
        <f t="shared" si="108"/>
        <v>197.62380116541132</v>
      </c>
      <c r="N282" s="257">
        <f t="shared" si="108"/>
        <v>214.75778472645248</v>
      </c>
      <c r="O282" s="257">
        <f t="shared" si="108"/>
        <v>233.37728466223592</v>
      </c>
      <c r="P282" s="257">
        <f t="shared" si="108"/>
        <v>253.61109524245177</v>
      </c>
      <c r="Q282" s="257">
        <f t="shared" si="108"/>
        <v>275.59917719997236</v>
      </c>
      <c r="R282" s="257">
        <f t="shared" si="108"/>
        <v>299.49362586320996</v>
      </c>
      <c r="S282" s="257">
        <f t="shared" si="108"/>
        <v>325.45972322555025</v>
      </c>
      <c r="T282" s="257">
        <f t="shared" si="108"/>
        <v>353.67708122920544</v>
      </c>
      <c r="U282" s="257">
        <f t="shared" si="108"/>
        <v>384.34088417177753</v>
      </c>
      <c r="V282" s="257">
        <f t="shared" si="108"/>
        <v>417.66323882947063</v>
      </c>
      <c r="W282" s="257">
        <f t="shared" si="108"/>
        <v>453.87464163598571</v>
      </c>
      <c r="X282" s="257">
        <f t="shared" si="108"/>
        <v>493.22557306582564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(2021)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11.271000000000001</v>
      </c>
      <c r="J286" s="257">
        <f>$D$19*I289</f>
        <v>12.248195700000002</v>
      </c>
      <c r="K286" s="257">
        <f t="shared" ref="K286:X286" si="109">$D$19*J289</f>
        <v>13.31011426719</v>
      </c>
      <c r="L286" s="257">
        <f t="shared" si="109"/>
        <v>14.464101174155372</v>
      </c>
      <c r="M286" s="257">
        <f t="shared" si="109"/>
        <v>15.718138745954642</v>
      </c>
      <c r="N286" s="257">
        <f t="shared" si="109"/>
        <v>17.080901375228908</v>
      </c>
      <c r="O286" s="257">
        <f t="shared" si="109"/>
        <v>18.561815524461256</v>
      </c>
      <c r="P286" s="257">
        <f t="shared" si="109"/>
        <v>20.171124930432047</v>
      </c>
      <c r="Q286" s="257">
        <f t="shared" si="109"/>
        <v>21.919961461900506</v>
      </c>
      <c r="R286" s="257">
        <f t="shared" si="109"/>
        <v>23.820422120647279</v>
      </c>
      <c r="S286" s="257">
        <f t="shared" si="109"/>
        <v>25.885652718507398</v>
      </c>
      <c r="T286" s="257">
        <f t="shared" si="109"/>
        <v>28.129938809201988</v>
      </c>
      <c r="U286" s="257">
        <f t="shared" si="109"/>
        <v>30.5688045039598</v>
      </c>
      <c r="V286" s="257">
        <f t="shared" si="109"/>
        <v>33.219119854453119</v>
      </c>
      <c r="W286" s="257">
        <f t="shared" si="109"/>
        <v>36.0992175458342</v>
      </c>
      <c r="X286" s="257">
        <f t="shared" si="109"/>
        <v>39.229019707058029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-11.271000000000001</v>
      </c>
      <c r="J287" s="264">
        <f>$D$284-J286</f>
        <v>-12.248195700000002</v>
      </c>
      <c r="K287" s="264">
        <f t="shared" ref="K287:X287" si="110">$D$284-K286</f>
        <v>-13.31011426719</v>
      </c>
      <c r="L287" s="264">
        <f t="shared" si="110"/>
        <v>-14.464101174155372</v>
      </c>
      <c r="M287" s="264">
        <f t="shared" si="110"/>
        <v>-15.718138745954642</v>
      </c>
      <c r="N287" s="264">
        <f t="shared" si="110"/>
        <v>-17.080901375228908</v>
      </c>
      <c r="O287" s="264">
        <f t="shared" si="110"/>
        <v>-18.561815524461256</v>
      </c>
      <c r="P287" s="264">
        <f t="shared" si="110"/>
        <v>-20.171124930432047</v>
      </c>
      <c r="Q287" s="264">
        <f t="shared" si="110"/>
        <v>-21.919961461900506</v>
      </c>
      <c r="R287" s="264">
        <f t="shared" si="110"/>
        <v>-23.820422120647279</v>
      </c>
      <c r="S287" s="264">
        <f t="shared" si="110"/>
        <v>-25.885652718507398</v>
      </c>
      <c r="T287" s="264">
        <f t="shared" si="110"/>
        <v>-28.129938809201988</v>
      </c>
      <c r="U287" s="264">
        <f t="shared" si="110"/>
        <v>-30.5688045039598</v>
      </c>
      <c r="V287" s="264">
        <f t="shared" si="110"/>
        <v>-33.219119854453119</v>
      </c>
      <c r="W287" s="264">
        <f t="shared" si="110"/>
        <v>-36.0992175458342</v>
      </c>
      <c r="X287" s="264">
        <f t="shared" si="110"/>
        <v>-39.229019707058029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141.27100000000002</v>
      </c>
      <c r="J289" s="257">
        <f>I289-J287</f>
        <v>153.51919570000001</v>
      </c>
      <c r="K289" s="257">
        <f t="shared" ref="K289:X289" si="112">J289-K287</f>
        <v>166.82930996719</v>
      </c>
      <c r="L289" s="257">
        <f t="shared" si="112"/>
        <v>181.29341114134536</v>
      </c>
      <c r="M289" s="257">
        <f t="shared" si="112"/>
        <v>197.01154988729999</v>
      </c>
      <c r="N289" s="257">
        <f t="shared" si="112"/>
        <v>214.0924512625289</v>
      </c>
      <c r="O289" s="257">
        <f t="shared" si="112"/>
        <v>232.65426678699015</v>
      </c>
      <c r="P289" s="257">
        <f t="shared" si="112"/>
        <v>252.82539171742221</v>
      </c>
      <c r="Q289" s="257">
        <f t="shared" si="112"/>
        <v>274.74535317932271</v>
      </c>
      <c r="R289" s="257">
        <f t="shared" si="112"/>
        <v>298.56577529996997</v>
      </c>
      <c r="S289" s="257">
        <f t="shared" si="112"/>
        <v>324.45142801847737</v>
      </c>
      <c r="T289" s="257">
        <f t="shared" si="112"/>
        <v>352.58136682767935</v>
      </c>
      <c r="U289" s="257">
        <f t="shared" si="112"/>
        <v>383.15017133163917</v>
      </c>
      <c r="V289" s="257">
        <f t="shared" si="112"/>
        <v>416.36929118609231</v>
      </c>
      <c r="W289" s="257">
        <f t="shared" si="112"/>
        <v>452.46850873192653</v>
      </c>
      <c r="X289" s="257">
        <f t="shared" si="112"/>
        <v>491.69752843898459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>Option 2: Replace / Install Network Devices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(2017)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39.225108119345997</v>
      </c>
      <c r="F295" s="257">
        <f>$D$19*E298</f>
        <v>42.625924993293296</v>
      </c>
      <c r="G295" s="257">
        <f t="shared" ref="G295:X295" si="113">$D$19*F298</f>
        <v>46.321592690211823</v>
      </c>
      <c r="H295" s="257">
        <f t="shared" si="113"/>
        <v>50.337674776453184</v>
      </c>
      <c r="I295" s="257">
        <f t="shared" si="113"/>
        <v>54.701951179571672</v>
      </c>
      <c r="J295" s="257">
        <f t="shared" si="113"/>
        <v>59.444610346840534</v>
      </c>
      <c r="K295" s="257">
        <f t="shared" si="113"/>
        <v>64.598458063911607</v>
      </c>
      <c r="L295" s="257">
        <f t="shared" si="113"/>
        <v>70.199144378052736</v>
      </c>
      <c r="M295" s="257">
        <f t="shared" si="113"/>
        <v>76.285410195629908</v>
      </c>
      <c r="N295" s="257">
        <f t="shared" si="113"/>
        <v>82.899355259591019</v>
      </c>
      <c r="O295" s="257">
        <f t="shared" si="113"/>
        <v>90.086729360597559</v>
      </c>
      <c r="P295" s="257">
        <f t="shared" si="113"/>
        <v>97.897248796161364</v>
      </c>
      <c r="Q295" s="257">
        <f t="shared" si="113"/>
        <v>106.38494026678856</v>
      </c>
      <c r="R295" s="257">
        <f t="shared" si="113"/>
        <v>115.60851458791913</v>
      </c>
      <c r="S295" s="257">
        <f t="shared" si="113"/>
        <v>125.63177280269173</v>
      </c>
      <c r="T295" s="257">
        <f t="shared" si="113"/>
        <v>136.52404750468511</v>
      </c>
      <c r="U295" s="257">
        <f t="shared" si="113"/>
        <v>148.3606824233413</v>
      </c>
      <c r="V295" s="257">
        <f t="shared" si="113"/>
        <v>161.223553589445</v>
      </c>
      <c r="W295" s="257">
        <f t="shared" si="113"/>
        <v>175.20163568564988</v>
      </c>
      <c r="X295" s="257">
        <f t="shared" si="113"/>
        <v>190.3916174995957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-39.225108119345997</v>
      </c>
      <c r="F296" s="264">
        <f>$D$293-F295</f>
        <v>-42.625924993293296</v>
      </c>
      <c r="G296" s="264">
        <f t="shared" ref="G296:X296" si="114">$D$293-G295</f>
        <v>-46.321592690211823</v>
      </c>
      <c r="H296" s="264">
        <f t="shared" si="114"/>
        <v>-50.337674776453184</v>
      </c>
      <c r="I296" s="264">
        <f t="shared" si="114"/>
        <v>-54.701951179571672</v>
      </c>
      <c r="J296" s="264">
        <f t="shared" si="114"/>
        <v>-59.444610346840534</v>
      </c>
      <c r="K296" s="264">
        <f t="shared" si="114"/>
        <v>-64.598458063911607</v>
      </c>
      <c r="L296" s="264">
        <f t="shared" si="114"/>
        <v>-70.199144378052736</v>
      </c>
      <c r="M296" s="264">
        <f t="shared" si="114"/>
        <v>-76.285410195629908</v>
      </c>
      <c r="N296" s="264">
        <f t="shared" si="114"/>
        <v>-82.899355259591019</v>
      </c>
      <c r="O296" s="264">
        <f t="shared" si="114"/>
        <v>-90.086729360597559</v>
      </c>
      <c r="P296" s="264">
        <f t="shared" si="114"/>
        <v>-97.897248796161364</v>
      </c>
      <c r="Q296" s="264">
        <f t="shared" si="114"/>
        <v>-106.38494026678856</v>
      </c>
      <c r="R296" s="264">
        <f t="shared" si="114"/>
        <v>-115.60851458791913</v>
      </c>
      <c r="S296" s="264">
        <f t="shared" si="114"/>
        <v>-125.63177280269173</v>
      </c>
      <c r="T296" s="264">
        <f t="shared" si="114"/>
        <v>-136.52404750468511</v>
      </c>
      <c r="U296" s="264">
        <f t="shared" si="114"/>
        <v>-148.3606824233413</v>
      </c>
      <c r="V296" s="264">
        <f t="shared" si="114"/>
        <v>-161.223553589445</v>
      </c>
      <c r="W296" s="264">
        <f t="shared" si="114"/>
        <v>-175.20163568564988</v>
      </c>
      <c r="X296" s="264">
        <f t="shared" si="114"/>
        <v>-190.3916174995957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491.64850049934597</v>
      </c>
      <c r="F298" s="257">
        <f>E298-F296</f>
        <v>534.27442549263924</v>
      </c>
      <c r="G298" s="257">
        <f t="shared" ref="G298:X298" si="116">F298-G296</f>
        <v>580.59601818285103</v>
      </c>
      <c r="H298" s="257">
        <f t="shared" si="116"/>
        <v>630.93369295930415</v>
      </c>
      <c r="I298" s="257">
        <f t="shared" si="116"/>
        <v>685.63564413887582</v>
      </c>
      <c r="J298" s="257">
        <f t="shared" si="116"/>
        <v>745.0802544857163</v>
      </c>
      <c r="K298" s="257">
        <f t="shared" si="116"/>
        <v>809.6787125496279</v>
      </c>
      <c r="L298" s="257">
        <f t="shared" si="116"/>
        <v>879.87785692768068</v>
      </c>
      <c r="M298" s="257">
        <f t="shared" si="116"/>
        <v>956.16326712331056</v>
      </c>
      <c r="N298" s="257">
        <f t="shared" si="116"/>
        <v>1039.0626223829015</v>
      </c>
      <c r="O298" s="257">
        <f t="shared" si="116"/>
        <v>1129.149351743499</v>
      </c>
      <c r="P298" s="257">
        <f t="shared" si="116"/>
        <v>1227.0466005396604</v>
      </c>
      <c r="Q298" s="257">
        <f t="shared" si="116"/>
        <v>1333.431540806449</v>
      </c>
      <c r="R298" s="257">
        <f t="shared" si="116"/>
        <v>1449.0400553943682</v>
      </c>
      <c r="S298" s="257">
        <f t="shared" si="116"/>
        <v>1574.67182819706</v>
      </c>
      <c r="T298" s="257">
        <f t="shared" si="116"/>
        <v>1711.1958757017451</v>
      </c>
      <c r="U298" s="257">
        <f t="shared" si="116"/>
        <v>1859.5565581250864</v>
      </c>
      <c r="V298" s="257">
        <f t="shared" si="116"/>
        <v>2020.7801117145314</v>
      </c>
      <c r="W298" s="257">
        <f t="shared" si="116"/>
        <v>2195.9817474001811</v>
      </c>
      <c r="X298" s="257">
        <f t="shared" si="116"/>
        <v>2386.3733648997768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(2018)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132.71755996070297</v>
      </c>
      <c r="G302" s="257">
        <f>$D$19*F305</f>
        <v>144.22417240929593</v>
      </c>
      <c r="H302" s="257">
        <f t="shared" ref="H302:X302" si="117">$D$19*G305</f>
        <v>156.72840815718189</v>
      </c>
      <c r="I302" s="257">
        <f t="shared" si="117"/>
        <v>170.31676114440955</v>
      </c>
      <c r="J302" s="257">
        <f t="shared" si="117"/>
        <v>185.08322433562986</v>
      </c>
      <c r="K302" s="257">
        <f t="shared" si="117"/>
        <v>201.12993988552898</v>
      </c>
      <c r="L302" s="257">
        <f t="shared" si="117"/>
        <v>218.56790567360434</v>
      </c>
      <c r="M302" s="257">
        <f t="shared" si="117"/>
        <v>237.51774309550584</v>
      </c>
      <c r="N302" s="257">
        <f t="shared" si="117"/>
        <v>258.11053142188621</v>
      </c>
      <c r="O302" s="257">
        <f t="shared" si="117"/>
        <v>280.48871449616371</v>
      </c>
      <c r="P302" s="257">
        <f t="shared" si="117"/>
        <v>304.8070860429811</v>
      </c>
      <c r="Q302" s="257">
        <f t="shared" si="117"/>
        <v>331.23386040290757</v>
      </c>
      <c r="R302" s="257">
        <f t="shared" si="117"/>
        <v>359.95183609983962</v>
      </c>
      <c r="S302" s="257">
        <f t="shared" si="117"/>
        <v>391.15966028969575</v>
      </c>
      <c r="T302" s="257">
        <f t="shared" si="117"/>
        <v>425.07320283681241</v>
      </c>
      <c r="U302" s="257">
        <f t="shared" si="117"/>
        <v>461.92704952276404</v>
      </c>
      <c r="V302" s="257">
        <f t="shared" si="117"/>
        <v>501.97612471638763</v>
      </c>
      <c r="W302" s="257">
        <f t="shared" si="117"/>
        <v>545.49745472929851</v>
      </c>
      <c r="X302" s="257">
        <f t="shared" si="117"/>
        <v>592.79208405432871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-132.71755996070297</v>
      </c>
      <c r="G303" s="264">
        <f>$D$300-G302</f>
        <v>-144.22417240929593</v>
      </c>
      <c r="H303" s="264">
        <f t="shared" ref="H303:X303" si="118">$D$300-H302</f>
        <v>-156.72840815718189</v>
      </c>
      <c r="I303" s="264">
        <f t="shared" si="118"/>
        <v>-170.31676114440955</v>
      </c>
      <c r="J303" s="264">
        <f t="shared" si="118"/>
        <v>-185.08322433562986</v>
      </c>
      <c r="K303" s="264">
        <f t="shared" si="118"/>
        <v>-201.12993988552898</v>
      </c>
      <c r="L303" s="264">
        <f t="shared" si="118"/>
        <v>-218.56790567360434</v>
      </c>
      <c r="M303" s="264">
        <f t="shared" si="118"/>
        <v>-237.51774309550584</v>
      </c>
      <c r="N303" s="264">
        <f t="shared" si="118"/>
        <v>-258.11053142188621</v>
      </c>
      <c r="O303" s="264">
        <f t="shared" si="118"/>
        <v>-280.48871449616371</v>
      </c>
      <c r="P303" s="264">
        <f t="shared" si="118"/>
        <v>-304.8070860429811</v>
      </c>
      <c r="Q303" s="264">
        <f t="shared" si="118"/>
        <v>-331.23386040290757</v>
      </c>
      <c r="R303" s="264">
        <f t="shared" si="118"/>
        <v>-359.95183609983962</v>
      </c>
      <c r="S303" s="264">
        <f t="shared" si="118"/>
        <v>-391.15966028969575</v>
      </c>
      <c r="T303" s="264">
        <f t="shared" si="118"/>
        <v>-425.07320283681241</v>
      </c>
      <c r="U303" s="264">
        <f t="shared" si="118"/>
        <v>-461.92704952276404</v>
      </c>
      <c r="V303" s="264">
        <f t="shared" si="118"/>
        <v>-501.97612471638763</v>
      </c>
      <c r="W303" s="264">
        <f t="shared" si="118"/>
        <v>-545.49745472929851</v>
      </c>
      <c r="X303" s="264">
        <f t="shared" si="118"/>
        <v>-592.79208405432871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1663.4852642364006</v>
      </c>
      <c r="G305" s="257">
        <f>F305-G303</f>
        <v>1807.7094366456965</v>
      </c>
      <c r="H305" s="257">
        <f t="shared" ref="H305:X305" si="120">G305-H303</f>
        <v>1964.4378448028783</v>
      </c>
      <c r="I305" s="257">
        <f t="shared" si="120"/>
        <v>2134.7546059472879</v>
      </c>
      <c r="J305" s="257">
        <f t="shared" si="120"/>
        <v>2319.8378302829178</v>
      </c>
      <c r="K305" s="257">
        <f t="shared" si="120"/>
        <v>2520.9677701684468</v>
      </c>
      <c r="L305" s="257">
        <f t="shared" si="120"/>
        <v>2739.5356758420512</v>
      </c>
      <c r="M305" s="257">
        <f t="shared" si="120"/>
        <v>2977.0534189375571</v>
      </c>
      <c r="N305" s="257">
        <f t="shared" si="120"/>
        <v>3235.1639503594433</v>
      </c>
      <c r="O305" s="257">
        <f t="shared" si="120"/>
        <v>3515.6526648556069</v>
      </c>
      <c r="P305" s="257">
        <f t="shared" si="120"/>
        <v>3820.459750898588</v>
      </c>
      <c r="Q305" s="257">
        <f t="shared" si="120"/>
        <v>4151.6936113014954</v>
      </c>
      <c r="R305" s="257">
        <f t="shared" si="120"/>
        <v>4511.6454474013353</v>
      </c>
      <c r="S305" s="257">
        <f t="shared" si="120"/>
        <v>4902.8051076910315</v>
      </c>
      <c r="T305" s="257">
        <f t="shared" si="120"/>
        <v>5327.8783105278435</v>
      </c>
      <c r="U305" s="257">
        <f t="shared" si="120"/>
        <v>5789.8053600506073</v>
      </c>
      <c r="V305" s="257">
        <f t="shared" si="120"/>
        <v>6291.7814847669952</v>
      </c>
      <c r="W305" s="257">
        <f t="shared" si="120"/>
        <v>6837.2789394962938</v>
      </c>
      <c r="X305" s="257">
        <f t="shared" si="120"/>
        <v>7430.0710235506222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(2019)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134.85434909505005</v>
      </c>
      <c r="H309" s="257">
        <f>$D$19*G312</f>
        <v>146.54622116159089</v>
      </c>
      <c r="I309" s="257">
        <f t="shared" ref="I309:X309" si="121">$D$19*H312</f>
        <v>159.2517785363008</v>
      </c>
      <c r="J309" s="257">
        <f t="shared" si="121"/>
        <v>173.05890773539809</v>
      </c>
      <c r="K309" s="257">
        <f t="shared" si="121"/>
        <v>188.0631150360571</v>
      </c>
      <c r="L309" s="257">
        <f t="shared" si="121"/>
        <v>204.36818710968328</v>
      </c>
      <c r="M309" s="257">
        <f t="shared" si="121"/>
        <v>222.08690893209283</v>
      </c>
      <c r="N309" s="257">
        <f t="shared" si="121"/>
        <v>241.34184393650526</v>
      </c>
      <c r="O309" s="257">
        <f t="shared" si="121"/>
        <v>262.26618180580022</v>
      </c>
      <c r="P309" s="257">
        <f t="shared" si="121"/>
        <v>285.00465976836313</v>
      </c>
      <c r="Q309" s="257">
        <f t="shared" si="121"/>
        <v>309.71456377028022</v>
      </c>
      <c r="R309" s="257">
        <f t="shared" si="121"/>
        <v>336.56681644916353</v>
      </c>
      <c r="S309" s="257">
        <f t="shared" si="121"/>
        <v>365.747159435306</v>
      </c>
      <c r="T309" s="257">
        <f t="shared" si="121"/>
        <v>397.45743815834709</v>
      </c>
      <c r="U309" s="257">
        <f t="shared" si="121"/>
        <v>431.91699804667576</v>
      </c>
      <c r="V309" s="257">
        <f t="shared" si="121"/>
        <v>469.36420177732259</v>
      </c>
      <c r="W309" s="257">
        <f t="shared" si="121"/>
        <v>510.05807807141645</v>
      </c>
      <c r="X309" s="257">
        <f t="shared" si="121"/>
        <v>554.2801134402082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-134.85434909505005</v>
      </c>
      <c r="H310" s="264">
        <f>$D$307-H309</f>
        <v>-146.54622116159089</v>
      </c>
      <c r="I310" s="264">
        <f t="shared" ref="I310:X310" si="122">$D$307-I309</f>
        <v>-159.2517785363008</v>
      </c>
      <c r="J310" s="264">
        <f t="shared" si="122"/>
        <v>-173.05890773539809</v>
      </c>
      <c r="K310" s="264">
        <f t="shared" si="122"/>
        <v>-188.0631150360571</v>
      </c>
      <c r="L310" s="264">
        <f t="shared" si="122"/>
        <v>-204.36818710968328</v>
      </c>
      <c r="M310" s="264">
        <f t="shared" si="122"/>
        <v>-222.08690893209283</v>
      </c>
      <c r="N310" s="264">
        <f t="shared" si="122"/>
        <v>-241.34184393650526</v>
      </c>
      <c r="O310" s="264">
        <f t="shared" si="122"/>
        <v>-262.26618180580022</v>
      </c>
      <c r="P310" s="264">
        <f t="shared" si="122"/>
        <v>-285.00465976836313</v>
      </c>
      <c r="Q310" s="264">
        <f t="shared" si="122"/>
        <v>-309.71456377028022</v>
      </c>
      <c r="R310" s="264">
        <f t="shared" si="122"/>
        <v>-336.56681644916353</v>
      </c>
      <c r="S310" s="264">
        <f t="shared" si="122"/>
        <v>-365.747159435306</v>
      </c>
      <c r="T310" s="264">
        <f t="shared" si="122"/>
        <v>-397.45743815834709</v>
      </c>
      <c r="U310" s="264">
        <f t="shared" si="122"/>
        <v>-431.91699804667576</v>
      </c>
      <c r="V310" s="264">
        <f t="shared" si="122"/>
        <v>-469.36420177732259</v>
      </c>
      <c r="W310" s="264">
        <f t="shared" si="122"/>
        <v>-510.05807807141645</v>
      </c>
      <c r="X310" s="264">
        <f t="shared" si="122"/>
        <v>-554.2801134402082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1690.2678334670229</v>
      </c>
      <c r="H312" s="257">
        <f>G312-H310</f>
        <v>1836.8140546286138</v>
      </c>
      <c r="I312" s="257">
        <f t="shared" ref="I312:X312" si="124">H312-I310</f>
        <v>1996.0658331649147</v>
      </c>
      <c r="J312" s="257">
        <f t="shared" si="124"/>
        <v>2169.1247409003126</v>
      </c>
      <c r="K312" s="257">
        <f t="shared" si="124"/>
        <v>2357.1878559363699</v>
      </c>
      <c r="L312" s="257">
        <f t="shared" si="124"/>
        <v>2561.5560430460532</v>
      </c>
      <c r="M312" s="257">
        <f t="shared" si="124"/>
        <v>2783.6429519781459</v>
      </c>
      <c r="N312" s="257">
        <f t="shared" si="124"/>
        <v>3024.9847959146509</v>
      </c>
      <c r="O312" s="257">
        <f t="shared" si="124"/>
        <v>3287.2509777204514</v>
      </c>
      <c r="P312" s="257">
        <f t="shared" si="124"/>
        <v>3572.2556374888145</v>
      </c>
      <c r="Q312" s="257">
        <f t="shared" si="124"/>
        <v>3881.9702012590947</v>
      </c>
      <c r="R312" s="257">
        <f t="shared" si="124"/>
        <v>4218.5370177082586</v>
      </c>
      <c r="S312" s="257">
        <f t="shared" si="124"/>
        <v>4584.2841771435651</v>
      </c>
      <c r="T312" s="257">
        <f t="shared" si="124"/>
        <v>4981.7416153019121</v>
      </c>
      <c r="U312" s="257">
        <f t="shared" si="124"/>
        <v>5413.658613348588</v>
      </c>
      <c r="V312" s="257">
        <f t="shared" si="124"/>
        <v>5883.0228151259107</v>
      </c>
      <c r="W312" s="257">
        <f t="shared" si="124"/>
        <v>6393.080893197327</v>
      </c>
      <c r="X312" s="257">
        <f t="shared" si="124"/>
        <v>6947.361006637535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(2020)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136.99934283163813</v>
      </c>
      <c r="I316" s="257">
        <f>$D$19*H319</f>
        <v>148.87718585514116</v>
      </c>
      <c r="J316" s="257">
        <f t="shared" ref="J316:X316" si="125">$D$19*I319</f>
        <v>161.78483786878189</v>
      </c>
      <c r="K316" s="257">
        <f t="shared" si="125"/>
        <v>175.8115833120053</v>
      </c>
      <c r="L316" s="257">
        <f t="shared" si="125"/>
        <v>191.05444758515617</v>
      </c>
      <c r="M316" s="257">
        <f t="shared" si="125"/>
        <v>207.61886819078921</v>
      </c>
      <c r="N316" s="257">
        <f t="shared" si="125"/>
        <v>225.61942406293065</v>
      </c>
      <c r="O316" s="257">
        <f t="shared" si="125"/>
        <v>245.18062812918672</v>
      </c>
      <c r="P316" s="257">
        <f t="shared" si="125"/>
        <v>266.4377885879872</v>
      </c>
      <c r="Q316" s="257">
        <f t="shared" si="125"/>
        <v>289.53794485856571</v>
      </c>
      <c r="R316" s="257">
        <f t="shared" si="125"/>
        <v>314.64088467780334</v>
      </c>
      <c r="S316" s="257">
        <f t="shared" si="125"/>
        <v>341.9202493793689</v>
      </c>
      <c r="T316" s="257">
        <f t="shared" si="125"/>
        <v>371.56473500056018</v>
      </c>
      <c r="U316" s="257">
        <f t="shared" si="125"/>
        <v>403.77939752510872</v>
      </c>
      <c r="V316" s="257">
        <f t="shared" si="125"/>
        <v>438.78707129053566</v>
      </c>
      <c r="W316" s="257">
        <f t="shared" si="125"/>
        <v>476.82991037142517</v>
      </c>
      <c r="X316" s="257">
        <f t="shared" si="125"/>
        <v>518.17106360062769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-136.99934283163813</v>
      </c>
      <c r="I317" s="264">
        <f>$D$314-I316</f>
        <v>-148.87718585514116</v>
      </c>
      <c r="J317" s="264">
        <f t="shared" ref="J317:X317" si="126">$D$314-J316</f>
        <v>-161.78483786878189</v>
      </c>
      <c r="K317" s="264">
        <f t="shared" si="126"/>
        <v>-175.8115833120053</v>
      </c>
      <c r="L317" s="264">
        <f t="shared" si="126"/>
        <v>-191.05444758515617</v>
      </c>
      <c r="M317" s="264">
        <f t="shared" si="126"/>
        <v>-207.61886819078921</v>
      </c>
      <c r="N317" s="264">
        <f t="shared" si="126"/>
        <v>-225.61942406293065</v>
      </c>
      <c r="O317" s="264">
        <f t="shared" si="126"/>
        <v>-245.18062812918672</v>
      </c>
      <c r="P317" s="264">
        <f t="shared" si="126"/>
        <v>-266.4377885879872</v>
      </c>
      <c r="Q317" s="264">
        <f t="shared" si="126"/>
        <v>-289.53794485856571</v>
      </c>
      <c r="R317" s="264">
        <f t="shared" si="126"/>
        <v>-314.64088467780334</v>
      </c>
      <c r="S317" s="264">
        <f t="shared" si="126"/>
        <v>-341.9202493793689</v>
      </c>
      <c r="T317" s="264">
        <f t="shared" si="126"/>
        <v>-371.56473500056018</v>
      </c>
      <c r="U317" s="264">
        <f t="shared" si="126"/>
        <v>-403.77939752510872</v>
      </c>
      <c r="V317" s="264">
        <f t="shared" si="126"/>
        <v>-438.78707129053566</v>
      </c>
      <c r="W317" s="264">
        <f t="shared" si="126"/>
        <v>-476.82991037142517</v>
      </c>
      <c r="X317" s="264">
        <f t="shared" si="126"/>
        <v>-518.17106360062769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1717.1532393903249</v>
      </c>
      <c r="I319" s="257">
        <f>H319-I317</f>
        <v>1866.0304252454659</v>
      </c>
      <c r="J319" s="257">
        <f t="shared" ref="J319:X319" si="128">I319-J317</f>
        <v>2027.815263114248</v>
      </c>
      <c r="K319" s="257">
        <f t="shared" si="128"/>
        <v>2203.6268464262535</v>
      </c>
      <c r="L319" s="257">
        <f t="shared" si="128"/>
        <v>2394.6812940114096</v>
      </c>
      <c r="M319" s="257">
        <f t="shared" si="128"/>
        <v>2602.3001622021989</v>
      </c>
      <c r="N319" s="257">
        <f t="shared" si="128"/>
        <v>2827.9195862651295</v>
      </c>
      <c r="O319" s="257">
        <f t="shared" si="128"/>
        <v>3073.100214394316</v>
      </c>
      <c r="P319" s="257">
        <f t="shared" si="128"/>
        <v>3339.5380029823032</v>
      </c>
      <c r="Q319" s="257">
        <f t="shared" si="128"/>
        <v>3629.075947840869</v>
      </c>
      <c r="R319" s="257">
        <f t="shared" si="128"/>
        <v>3943.7168325186722</v>
      </c>
      <c r="S319" s="257">
        <f t="shared" si="128"/>
        <v>4285.6370818980413</v>
      </c>
      <c r="T319" s="257">
        <f t="shared" si="128"/>
        <v>4657.2018168986015</v>
      </c>
      <c r="U319" s="257">
        <f t="shared" si="128"/>
        <v>5060.9812144237103</v>
      </c>
      <c r="V319" s="257">
        <f t="shared" si="128"/>
        <v>5499.7682857142463</v>
      </c>
      <c r="W319" s="257">
        <f t="shared" si="128"/>
        <v>5976.5981960856716</v>
      </c>
      <c r="X319" s="257">
        <f t="shared" si="128"/>
        <v>6494.7692596862989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(2021)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0</v>
      </c>
      <c r="J323" s="257">
        <f>$D$19*I326</f>
        <v>0</v>
      </c>
      <c r="K323" s="257">
        <f t="shared" ref="K323:X323" si="129">$D$19*J326</f>
        <v>0</v>
      </c>
      <c r="L323" s="257">
        <f t="shared" si="129"/>
        <v>0</v>
      </c>
      <c r="M323" s="257">
        <f t="shared" si="129"/>
        <v>0</v>
      </c>
      <c r="N323" s="257">
        <f t="shared" si="129"/>
        <v>0</v>
      </c>
      <c r="O323" s="257">
        <f t="shared" si="129"/>
        <v>0</v>
      </c>
      <c r="P323" s="257">
        <f t="shared" si="129"/>
        <v>0</v>
      </c>
      <c r="Q323" s="257">
        <f t="shared" si="129"/>
        <v>0</v>
      </c>
      <c r="R323" s="257">
        <f t="shared" si="129"/>
        <v>0</v>
      </c>
      <c r="S323" s="257">
        <f t="shared" si="129"/>
        <v>0</v>
      </c>
      <c r="T323" s="257">
        <f t="shared" si="129"/>
        <v>0</v>
      </c>
      <c r="U323" s="257">
        <f t="shared" si="129"/>
        <v>0</v>
      </c>
      <c r="V323" s="257">
        <f t="shared" si="129"/>
        <v>0</v>
      </c>
      <c r="W323" s="257">
        <f t="shared" si="129"/>
        <v>0</v>
      </c>
      <c r="X323" s="257">
        <f t="shared" si="129"/>
        <v>0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0</v>
      </c>
      <c r="J324" s="264">
        <f>$D$321-J323</f>
        <v>0</v>
      </c>
      <c r="K324" s="264">
        <f t="shared" ref="K324:X324" si="130">$D$321-K323</f>
        <v>0</v>
      </c>
      <c r="L324" s="264">
        <f t="shared" si="130"/>
        <v>0</v>
      </c>
      <c r="M324" s="264">
        <f t="shared" si="130"/>
        <v>0</v>
      </c>
      <c r="N324" s="264">
        <f t="shared" si="130"/>
        <v>0</v>
      </c>
      <c r="O324" s="264">
        <f t="shared" si="130"/>
        <v>0</v>
      </c>
      <c r="P324" s="264">
        <f t="shared" si="130"/>
        <v>0</v>
      </c>
      <c r="Q324" s="264">
        <f t="shared" si="130"/>
        <v>0</v>
      </c>
      <c r="R324" s="264">
        <f t="shared" si="130"/>
        <v>0</v>
      </c>
      <c r="S324" s="264">
        <f t="shared" si="130"/>
        <v>0</v>
      </c>
      <c r="T324" s="264">
        <f t="shared" si="130"/>
        <v>0</v>
      </c>
      <c r="U324" s="264">
        <f t="shared" si="130"/>
        <v>0</v>
      </c>
      <c r="V324" s="264">
        <f t="shared" si="130"/>
        <v>0</v>
      </c>
      <c r="W324" s="264">
        <f t="shared" si="130"/>
        <v>0</v>
      </c>
      <c r="X324" s="264">
        <f t="shared" si="130"/>
        <v>0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0</v>
      </c>
      <c r="J326" s="257">
        <f>I326-J324</f>
        <v>0</v>
      </c>
      <c r="K326" s="257">
        <f t="shared" ref="K326:X326" si="132">J326-K324</f>
        <v>0</v>
      </c>
      <c r="L326" s="257">
        <f t="shared" si="132"/>
        <v>0</v>
      </c>
      <c r="M326" s="257">
        <f t="shared" si="132"/>
        <v>0</v>
      </c>
      <c r="N326" s="257">
        <f t="shared" si="132"/>
        <v>0</v>
      </c>
      <c r="O326" s="257">
        <f t="shared" si="132"/>
        <v>0</v>
      </c>
      <c r="P326" s="257">
        <f t="shared" si="132"/>
        <v>0</v>
      </c>
      <c r="Q326" s="257">
        <f t="shared" si="132"/>
        <v>0</v>
      </c>
      <c r="R326" s="257">
        <f t="shared" si="132"/>
        <v>0</v>
      </c>
      <c r="S326" s="257">
        <f t="shared" si="132"/>
        <v>0</v>
      </c>
      <c r="T326" s="257">
        <f t="shared" si="132"/>
        <v>0</v>
      </c>
      <c r="U326" s="257">
        <f t="shared" si="132"/>
        <v>0</v>
      </c>
      <c r="V326" s="257">
        <f t="shared" si="132"/>
        <v>0</v>
      </c>
      <c r="W326" s="257">
        <f t="shared" si="132"/>
        <v>0</v>
      </c>
      <c r="X326" s="257">
        <f t="shared" si="132"/>
        <v>0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>Option 3: Replace / Install 80% Network Devices, Purchase the Remaining 20% of the AMI data and Control Functionality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(2017)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272.41140000000001</v>
      </c>
      <c r="F332" s="257">
        <f>$D$19*E335</f>
        <v>296.02946837999997</v>
      </c>
      <c r="G332" s="257">
        <f t="shared" ref="G332:X332" si="133">$D$19*F335</f>
        <v>321.695223288546</v>
      </c>
      <c r="H332" s="257">
        <f t="shared" si="133"/>
        <v>349.58619914766291</v>
      </c>
      <c r="I332" s="257">
        <f t="shared" si="133"/>
        <v>379.89532261376525</v>
      </c>
      <c r="J332" s="257">
        <f t="shared" si="133"/>
        <v>412.83224708437876</v>
      </c>
      <c r="K332" s="257">
        <f t="shared" si="133"/>
        <v>448.62480290659437</v>
      </c>
      <c r="L332" s="257">
        <f t="shared" si="133"/>
        <v>487.52057331859612</v>
      </c>
      <c r="M332" s="257">
        <f t="shared" si="133"/>
        <v>529.78860702531836</v>
      </c>
      <c r="N332" s="257">
        <f t="shared" si="133"/>
        <v>575.72127925441339</v>
      </c>
      <c r="O332" s="257">
        <f t="shared" si="133"/>
        <v>625.63631416577107</v>
      </c>
      <c r="P332" s="257">
        <f t="shared" si="133"/>
        <v>679.87898260394343</v>
      </c>
      <c r="Q332" s="257">
        <f t="shared" si="133"/>
        <v>738.82449039570531</v>
      </c>
      <c r="R332" s="257">
        <f t="shared" si="133"/>
        <v>802.88057371301306</v>
      </c>
      <c r="S332" s="257">
        <f t="shared" si="133"/>
        <v>872.49031945393131</v>
      </c>
      <c r="T332" s="257">
        <f t="shared" si="133"/>
        <v>948.13523015058706</v>
      </c>
      <c r="U332" s="257">
        <f t="shared" si="133"/>
        <v>1030.3385546046429</v>
      </c>
      <c r="V332" s="257">
        <f t="shared" si="133"/>
        <v>1119.6689072888655</v>
      </c>
      <c r="W332" s="257">
        <f t="shared" si="133"/>
        <v>1216.7442015508102</v>
      </c>
      <c r="X332" s="257">
        <f t="shared" si="133"/>
        <v>1322.2359238252654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-272.41140000000001</v>
      </c>
      <c r="F333" s="264">
        <f>$D$330-F332</f>
        <v>-296.02946837999997</v>
      </c>
      <c r="G333" s="264">
        <f t="shared" ref="G333:X333" si="134">$D$330-G332</f>
        <v>-321.695223288546</v>
      </c>
      <c r="H333" s="264">
        <f t="shared" si="134"/>
        <v>-349.58619914766291</v>
      </c>
      <c r="I333" s="264">
        <f t="shared" si="134"/>
        <v>-379.89532261376525</v>
      </c>
      <c r="J333" s="264">
        <f t="shared" si="134"/>
        <v>-412.83224708437876</v>
      </c>
      <c r="K333" s="264">
        <f t="shared" si="134"/>
        <v>-448.62480290659437</v>
      </c>
      <c r="L333" s="264">
        <f t="shared" si="134"/>
        <v>-487.52057331859612</v>
      </c>
      <c r="M333" s="264">
        <f t="shared" si="134"/>
        <v>-529.78860702531836</v>
      </c>
      <c r="N333" s="264">
        <f t="shared" si="134"/>
        <v>-575.72127925441339</v>
      </c>
      <c r="O333" s="264">
        <f t="shared" si="134"/>
        <v>-625.63631416577107</v>
      </c>
      <c r="P333" s="264">
        <f t="shared" si="134"/>
        <v>-679.87898260394343</v>
      </c>
      <c r="Q333" s="264">
        <f t="shared" si="134"/>
        <v>-738.82449039570531</v>
      </c>
      <c r="R333" s="264">
        <f t="shared" si="134"/>
        <v>-802.88057371301306</v>
      </c>
      <c r="S333" s="264">
        <f t="shared" si="134"/>
        <v>-872.49031945393131</v>
      </c>
      <c r="T333" s="264">
        <f t="shared" si="134"/>
        <v>-948.13523015058706</v>
      </c>
      <c r="U333" s="264">
        <f t="shared" si="134"/>
        <v>-1030.3385546046429</v>
      </c>
      <c r="V333" s="264">
        <f t="shared" si="134"/>
        <v>-1119.6689072888655</v>
      </c>
      <c r="W333" s="264">
        <f t="shared" si="134"/>
        <v>-1216.7442015508102</v>
      </c>
      <c r="X333" s="264">
        <f t="shared" si="134"/>
        <v>-1322.2359238252654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3414.4114</v>
      </c>
      <c r="F335" s="257">
        <f>E335-F333</f>
        <v>3710.4408683799998</v>
      </c>
      <c r="G335" s="257">
        <f t="shared" ref="G335:X335" si="136">F335-G333</f>
        <v>4032.1360916685458</v>
      </c>
      <c r="H335" s="257">
        <f t="shared" si="136"/>
        <v>4381.7222908162084</v>
      </c>
      <c r="I335" s="257">
        <f t="shared" si="136"/>
        <v>4761.617613429974</v>
      </c>
      <c r="J335" s="257">
        <f t="shared" si="136"/>
        <v>5174.4498605143526</v>
      </c>
      <c r="K335" s="257">
        <f t="shared" si="136"/>
        <v>5623.0746634209472</v>
      </c>
      <c r="L335" s="257">
        <f t="shared" si="136"/>
        <v>6110.595236739543</v>
      </c>
      <c r="M335" s="257">
        <f t="shared" si="136"/>
        <v>6640.383843764861</v>
      </c>
      <c r="N335" s="257">
        <f t="shared" si="136"/>
        <v>7216.1051230192743</v>
      </c>
      <c r="O335" s="257">
        <f t="shared" si="136"/>
        <v>7841.7414371850455</v>
      </c>
      <c r="P335" s="257">
        <f t="shared" si="136"/>
        <v>8521.6204197889892</v>
      </c>
      <c r="Q335" s="257">
        <f t="shared" si="136"/>
        <v>9260.4449101846949</v>
      </c>
      <c r="R335" s="257">
        <f t="shared" si="136"/>
        <v>10063.325483897708</v>
      </c>
      <c r="S335" s="257">
        <f t="shared" si="136"/>
        <v>10935.815803351639</v>
      </c>
      <c r="T335" s="257">
        <f t="shared" si="136"/>
        <v>11883.951033502226</v>
      </c>
      <c r="U335" s="257">
        <f t="shared" si="136"/>
        <v>12914.289588106869</v>
      </c>
      <c r="V335" s="257">
        <f t="shared" si="136"/>
        <v>14033.958495395735</v>
      </c>
      <c r="W335" s="257">
        <f t="shared" si="136"/>
        <v>15250.702696946544</v>
      </c>
      <c r="X335" s="257">
        <f t="shared" si="136"/>
        <v>16572.938620771809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(2018)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205.21889999999999</v>
      </c>
      <c r="G339" s="257">
        <f>$D$19*F342</f>
        <v>223.01137863</v>
      </c>
      <c r="H339" s="257">
        <f t="shared" ref="H339:X339" si="137">$D$19*G342</f>
        <v>242.34646515722096</v>
      </c>
      <c r="I339" s="257">
        <f t="shared" si="137"/>
        <v>263.35790368635202</v>
      </c>
      <c r="J339" s="257">
        <f t="shared" si="137"/>
        <v>286.19103393595873</v>
      </c>
      <c r="K339" s="257">
        <f t="shared" si="137"/>
        <v>311.00379657820639</v>
      </c>
      <c r="L339" s="257">
        <f t="shared" si="137"/>
        <v>337.96782574153684</v>
      </c>
      <c r="M339" s="257">
        <f t="shared" si="137"/>
        <v>367.26963623332807</v>
      </c>
      <c r="N339" s="257">
        <f t="shared" si="137"/>
        <v>399.11191369475762</v>
      </c>
      <c r="O339" s="257">
        <f t="shared" si="137"/>
        <v>433.71491661209308</v>
      </c>
      <c r="P339" s="257">
        <f t="shared" si="137"/>
        <v>471.31799988236156</v>
      </c>
      <c r="Q339" s="257">
        <f t="shared" si="137"/>
        <v>512.18127047216228</v>
      </c>
      <c r="R339" s="257">
        <f t="shared" si="137"/>
        <v>556.58738662209885</v>
      </c>
      <c r="S339" s="257">
        <f t="shared" si="137"/>
        <v>604.8435130422348</v>
      </c>
      <c r="T339" s="257">
        <f t="shared" si="137"/>
        <v>657.28344562299662</v>
      </c>
      <c r="U339" s="257">
        <f t="shared" si="137"/>
        <v>714.26992035851049</v>
      </c>
      <c r="V339" s="257">
        <f t="shared" si="137"/>
        <v>776.19712245359335</v>
      </c>
      <c r="W339" s="257">
        <f t="shared" si="137"/>
        <v>843.49341297031992</v>
      </c>
      <c r="X339" s="257">
        <f t="shared" si="137"/>
        <v>916.62429187484668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-205.21889999999999</v>
      </c>
      <c r="G340" s="264">
        <f>$D$337-G339</f>
        <v>-223.01137863</v>
      </c>
      <c r="H340" s="264">
        <f t="shared" ref="H340:X340" si="138">$D$337-H339</f>
        <v>-242.34646515722096</v>
      </c>
      <c r="I340" s="264">
        <f t="shared" si="138"/>
        <v>-263.35790368635202</v>
      </c>
      <c r="J340" s="264">
        <f t="shared" si="138"/>
        <v>-286.19103393595873</v>
      </c>
      <c r="K340" s="264">
        <f t="shared" si="138"/>
        <v>-311.00379657820639</v>
      </c>
      <c r="L340" s="264">
        <f t="shared" si="138"/>
        <v>-337.96782574153684</v>
      </c>
      <c r="M340" s="264">
        <f t="shared" si="138"/>
        <v>-367.26963623332807</v>
      </c>
      <c r="N340" s="264">
        <f t="shared" si="138"/>
        <v>-399.11191369475762</v>
      </c>
      <c r="O340" s="264">
        <f t="shared" si="138"/>
        <v>-433.71491661209308</v>
      </c>
      <c r="P340" s="264">
        <f t="shared" si="138"/>
        <v>-471.31799988236156</v>
      </c>
      <c r="Q340" s="264">
        <f t="shared" si="138"/>
        <v>-512.18127047216228</v>
      </c>
      <c r="R340" s="264">
        <f t="shared" si="138"/>
        <v>-556.58738662209885</v>
      </c>
      <c r="S340" s="264">
        <f t="shared" si="138"/>
        <v>-604.8435130422348</v>
      </c>
      <c r="T340" s="264">
        <f t="shared" si="138"/>
        <v>-657.28344562299662</v>
      </c>
      <c r="U340" s="264">
        <f t="shared" si="138"/>
        <v>-714.26992035851049</v>
      </c>
      <c r="V340" s="264">
        <f t="shared" si="138"/>
        <v>-776.19712245359335</v>
      </c>
      <c r="W340" s="264">
        <f t="shared" si="138"/>
        <v>-843.49341297031992</v>
      </c>
      <c r="X340" s="264">
        <f t="shared" si="138"/>
        <v>-916.62429187484668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2572.2188999999998</v>
      </c>
      <c r="G342" s="257">
        <f>F342-G340</f>
        <v>2795.2302786299997</v>
      </c>
      <c r="H342" s="257">
        <f t="shared" ref="H342:X342" si="140">G342-H340</f>
        <v>3037.5767437872205</v>
      </c>
      <c r="I342" s="257">
        <f t="shared" si="140"/>
        <v>3300.9346474735726</v>
      </c>
      <c r="J342" s="257">
        <f t="shared" si="140"/>
        <v>3587.1256814095314</v>
      </c>
      <c r="K342" s="257">
        <f t="shared" si="140"/>
        <v>3898.1294779877376</v>
      </c>
      <c r="L342" s="257">
        <f t="shared" si="140"/>
        <v>4236.0973037292742</v>
      </c>
      <c r="M342" s="257">
        <f t="shared" si="140"/>
        <v>4603.3669399626024</v>
      </c>
      <c r="N342" s="257">
        <f t="shared" si="140"/>
        <v>5002.4788536573597</v>
      </c>
      <c r="O342" s="257">
        <f t="shared" si="140"/>
        <v>5436.1937702694531</v>
      </c>
      <c r="P342" s="257">
        <f t="shared" si="140"/>
        <v>5907.5117701518147</v>
      </c>
      <c r="Q342" s="257">
        <f t="shared" si="140"/>
        <v>6419.6930406239771</v>
      </c>
      <c r="R342" s="257">
        <f t="shared" si="140"/>
        <v>6976.2804272460762</v>
      </c>
      <c r="S342" s="257">
        <f t="shared" si="140"/>
        <v>7581.1239402883111</v>
      </c>
      <c r="T342" s="257">
        <f t="shared" si="140"/>
        <v>8238.4073859113087</v>
      </c>
      <c r="U342" s="257">
        <f t="shared" si="140"/>
        <v>8952.6773062698194</v>
      </c>
      <c r="V342" s="257">
        <f t="shared" si="140"/>
        <v>9728.8744287234131</v>
      </c>
      <c r="W342" s="257">
        <f t="shared" si="140"/>
        <v>10572.367841693733</v>
      </c>
      <c r="X342" s="257">
        <f t="shared" si="140"/>
        <v>11488.992133568579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(2019)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112.6233</v>
      </c>
      <c r="H346" s="257">
        <f>$D$19*G349</f>
        <v>122.38774011</v>
      </c>
      <c r="I346" s="257">
        <f t="shared" ref="I346:X346" si="141">$D$19*H349</f>
        <v>132.99875717753702</v>
      </c>
      <c r="J346" s="257">
        <f t="shared" si="141"/>
        <v>144.52974942482948</v>
      </c>
      <c r="K346" s="257">
        <f t="shared" si="141"/>
        <v>157.0604786999622</v>
      </c>
      <c r="L346" s="257">
        <f t="shared" si="141"/>
        <v>170.67762220324892</v>
      </c>
      <c r="M346" s="257">
        <f t="shared" si="141"/>
        <v>185.4753720482706</v>
      </c>
      <c r="N346" s="257">
        <f t="shared" si="141"/>
        <v>201.55608680485562</v>
      </c>
      <c r="O346" s="257">
        <f t="shared" si="141"/>
        <v>219.0309995308366</v>
      </c>
      <c r="P346" s="257">
        <f t="shared" si="141"/>
        <v>238.02098719016016</v>
      </c>
      <c r="Q346" s="257">
        <f t="shared" si="141"/>
        <v>258.65740677954705</v>
      </c>
      <c r="R346" s="257">
        <f t="shared" si="141"/>
        <v>281.08300394733374</v>
      </c>
      <c r="S346" s="257">
        <f t="shared" si="141"/>
        <v>305.45290038956762</v>
      </c>
      <c r="T346" s="257">
        <f t="shared" si="141"/>
        <v>331.93566685334315</v>
      </c>
      <c r="U346" s="257">
        <f t="shared" si="141"/>
        <v>360.71448916952795</v>
      </c>
      <c r="V346" s="257">
        <f t="shared" si="141"/>
        <v>391.98843538052603</v>
      </c>
      <c r="W346" s="257">
        <f t="shared" si="141"/>
        <v>425.97383272801767</v>
      </c>
      <c r="X346" s="257">
        <f t="shared" si="141"/>
        <v>462.90576402553677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-112.6233</v>
      </c>
      <c r="H347" s="264">
        <f>$D$344-H346</f>
        <v>-122.38774011</v>
      </c>
      <c r="I347" s="264">
        <f t="shared" ref="I347:X347" si="142">$D$344-I346</f>
        <v>-132.99875717753702</v>
      </c>
      <c r="J347" s="264">
        <f t="shared" si="142"/>
        <v>-144.52974942482948</v>
      </c>
      <c r="K347" s="264">
        <f t="shared" si="142"/>
        <v>-157.0604786999622</v>
      </c>
      <c r="L347" s="264">
        <f t="shared" si="142"/>
        <v>-170.67762220324892</v>
      </c>
      <c r="M347" s="264">
        <f t="shared" si="142"/>
        <v>-185.4753720482706</v>
      </c>
      <c r="N347" s="264">
        <f t="shared" si="142"/>
        <v>-201.55608680485562</v>
      </c>
      <c r="O347" s="264">
        <f t="shared" si="142"/>
        <v>-219.0309995308366</v>
      </c>
      <c r="P347" s="264">
        <f t="shared" si="142"/>
        <v>-238.02098719016016</v>
      </c>
      <c r="Q347" s="264">
        <f t="shared" si="142"/>
        <v>-258.65740677954705</v>
      </c>
      <c r="R347" s="264">
        <f t="shared" si="142"/>
        <v>-281.08300394733374</v>
      </c>
      <c r="S347" s="264">
        <f t="shared" si="142"/>
        <v>-305.45290038956762</v>
      </c>
      <c r="T347" s="264">
        <f t="shared" si="142"/>
        <v>-331.93566685334315</v>
      </c>
      <c r="U347" s="264">
        <f t="shared" si="142"/>
        <v>-360.71448916952795</v>
      </c>
      <c r="V347" s="264">
        <f t="shared" si="142"/>
        <v>-391.98843538052603</v>
      </c>
      <c r="W347" s="264">
        <f t="shared" si="142"/>
        <v>-425.97383272801767</v>
      </c>
      <c r="X347" s="264">
        <f t="shared" si="142"/>
        <v>-462.90576402553677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1411.6233</v>
      </c>
      <c r="H349" s="257">
        <f>G349-H347</f>
        <v>1534.0110401100001</v>
      </c>
      <c r="I349" s="257">
        <f t="shared" ref="I349:X349" si="144">H349-I347</f>
        <v>1667.0097972875371</v>
      </c>
      <c r="J349" s="257">
        <f t="shared" si="144"/>
        <v>1811.5395467123667</v>
      </c>
      <c r="K349" s="257">
        <f t="shared" si="144"/>
        <v>1968.6000254123289</v>
      </c>
      <c r="L349" s="257">
        <f t="shared" si="144"/>
        <v>2139.2776476155777</v>
      </c>
      <c r="M349" s="257">
        <f t="shared" si="144"/>
        <v>2324.7530196638481</v>
      </c>
      <c r="N349" s="257">
        <f t="shared" si="144"/>
        <v>2526.3091064687037</v>
      </c>
      <c r="O349" s="257">
        <f t="shared" si="144"/>
        <v>2745.3401059995404</v>
      </c>
      <c r="P349" s="257">
        <f t="shared" si="144"/>
        <v>2983.3610931897006</v>
      </c>
      <c r="Q349" s="257">
        <f t="shared" si="144"/>
        <v>3242.0184999692474</v>
      </c>
      <c r="R349" s="257">
        <f t="shared" si="144"/>
        <v>3523.1015039165814</v>
      </c>
      <c r="S349" s="257">
        <f t="shared" si="144"/>
        <v>3828.5544043061491</v>
      </c>
      <c r="T349" s="257">
        <f t="shared" si="144"/>
        <v>4160.4900711594919</v>
      </c>
      <c r="U349" s="257">
        <f t="shared" si="144"/>
        <v>4521.2045603290198</v>
      </c>
      <c r="V349" s="257">
        <f t="shared" si="144"/>
        <v>4913.1929957095463</v>
      </c>
      <c r="W349" s="257">
        <f t="shared" si="144"/>
        <v>5339.1668284375637</v>
      </c>
      <c r="X349" s="257">
        <f t="shared" si="144"/>
        <v>5802.0725924631006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(2020)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114.5307</v>
      </c>
      <c r="I353" s="257">
        <f>$D$19*H356</f>
        <v>124.46051169</v>
      </c>
      <c r="J353" s="257">
        <f t="shared" ref="J353:X353" si="145">$D$19*I356</f>
        <v>135.251238053523</v>
      </c>
      <c r="K353" s="257">
        <f t="shared" si="145"/>
        <v>146.97752039276344</v>
      </c>
      <c r="L353" s="257">
        <f t="shared" si="145"/>
        <v>159.72047141081603</v>
      </c>
      <c r="M353" s="257">
        <f t="shared" si="145"/>
        <v>173.56823628213377</v>
      </c>
      <c r="N353" s="257">
        <f t="shared" si="145"/>
        <v>188.61660236779477</v>
      </c>
      <c r="O353" s="257">
        <f t="shared" si="145"/>
        <v>204.96966179308257</v>
      </c>
      <c r="P353" s="257">
        <f t="shared" si="145"/>
        <v>222.74053147054283</v>
      </c>
      <c r="Q353" s="257">
        <f t="shared" si="145"/>
        <v>242.05213554903892</v>
      </c>
      <c r="R353" s="257">
        <f t="shared" si="145"/>
        <v>263.03805570114059</v>
      </c>
      <c r="S353" s="257">
        <f t="shared" si="145"/>
        <v>285.84345513042945</v>
      </c>
      <c r="T353" s="257">
        <f t="shared" si="145"/>
        <v>310.62608269023769</v>
      </c>
      <c r="U353" s="257">
        <f t="shared" si="145"/>
        <v>337.5573640594813</v>
      </c>
      <c r="V353" s="257">
        <f t="shared" si="145"/>
        <v>366.82358752343833</v>
      </c>
      <c r="W353" s="257">
        <f t="shared" si="145"/>
        <v>398.62719256172045</v>
      </c>
      <c r="X353" s="257">
        <f t="shared" si="145"/>
        <v>433.18817015682157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-114.5307</v>
      </c>
      <c r="I354" s="264">
        <f>$D$351-I353</f>
        <v>-124.46051169</v>
      </c>
      <c r="J354" s="264">
        <f t="shared" ref="J354:X354" si="146">$D$351-J353</f>
        <v>-135.251238053523</v>
      </c>
      <c r="K354" s="264">
        <f t="shared" si="146"/>
        <v>-146.97752039276344</v>
      </c>
      <c r="L354" s="264">
        <f t="shared" si="146"/>
        <v>-159.72047141081603</v>
      </c>
      <c r="M354" s="264">
        <f t="shared" si="146"/>
        <v>-173.56823628213377</v>
      </c>
      <c r="N354" s="264">
        <f t="shared" si="146"/>
        <v>-188.61660236779477</v>
      </c>
      <c r="O354" s="264">
        <f t="shared" si="146"/>
        <v>-204.96966179308257</v>
      </c>
      <c r="P354" s="264">
        <f t="shared" si="146"/>
        <v>-222.74053147054283</v>
      </c>
      <c r="Q354" s="264">
        <f t="shared" si="146"/>
        <v>-242.05213554903892</v>
      </c>
      <c r="R354" s="264">
        <f t="shared" si="146"/>
        <v>-263.03805570114059</v>
      </c>
      <c r="S354" s="264">
        <f t="shared" si="146"/>
        <v>-285.84345513042945</v>
      </c>
      <c r="T354" s="264">
        <f t="shared" si="146"/>
        <v>-310.62608269023769</v>
      </c>
      <c r="U354" s="264">
        <f t="shared" si="146"/>
        <v>-337.5573640594813</v>
      </c>
      <c r="V354" s="264">
        <f t="shared" si="146"/>
        <v>-366.82358752343833</v>
      </c>
      <c r="W354" s="264">
        <f t="shared" si="146"/>
        <v>-398.62719256172045</v>
      </c>
      <c r="X354" s="264">
        <f t="shared" si="146"/>
        <v>-433.18817015682157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1435.5307</v>
      </c>
      <c r="I356" s="257">
        <f>H356-I354</f>
        <v>1559.99121169</v>
      </c>
      <c r="J356" s="257">
        <f t="shared" ref="J356:X356" si="148">I356-J354</f>
        <v>1695.2424497435229</v>
      </c>
      <c r="K356" s="257">
        <f t="shared" si="148"/>
        <v>1842.2199701362863</v>
      </c>
      <c r="L356" s="257">
        <f t="shared" si="148"/>
        <v>2001.9404415471024</v>
      </c>
      <c r="M356" s="257">
        <f t="shared" si="148"/>
        <v>2175.5086778292361</v>
      </c>
      <c r="N356" s="257">
        <f t="shared" si="148"/>
        <v>2364.1252801970309</v>
      </c>
      <c r="O356" s="257">
        <f t="shared" si="148"/>
        <v>2569.0949419901135</v>
      </c>
      <c r="P356" s="257">
        <f t="shared" si="148"/>
        <v>2791.8354734606564</v>
      </c>
      <c r="Q356" s="257">
        <f t="shared" si="148"/>
        <v>3033.8876090096956</v>
      </c>
      <c r="R356" s="257">
        <f t="shared" si="148"/>
        <v>3296.9256647108359</v>
      </c>
      <c r="S356" s="257">
        <f t="shared" si="148"/>
        <v>3582.7691198412654</v>
      </c>
      <c r="T356" s="257">
        <f t="shared" si="148"/>
        <v>3893.3952025315029</v>
      </c>
      <c r="U356" s="257">
        <f t="shared" si="148"/>
        <v>4230.9525665909841</v>
      </c>
      <c r="V356" s="257">
        <f t="shared" si="148"/>
        <v>4597.7761541144228</v>
      </c>
      <c r="W356" s="257">
        <f t="shared" si="148"/>
        <v>4996.403346676143</v>
      </c>
      <c r="X356" s="257">
        <f t="shared" si="148"/>
        <v>5429.5915168329648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(2021)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2.2542</v>
      </c>
      <c r="J360" s="257">
        <f>$D$19*I363</f>
        <v>2.4496391399999999</v>
      </c>
      <c r="K360" s="257">
        <f t="shared" ref="K360:X360" si="149">$D$19*J363</f>
        <v>2.6620228534379997</v>
      </c>
      <c r="L360" s="257">
        <f t="shared" si="149"/>
        <v>2.892820234831075</v>
      </c>
      <c r="M360" s="257">
        <f t="shared" si="149"/>
        <v>3.1436277491909292</v>
      </c>
      <c r="N360" s="257">
        <f t="shared" si="149"/>
        <v>3.4161802750457824</v>
      </c>
      <c r="O360" s="257">
        <f t="shared" si="149"/>
        <v>3.7123631048922521</v>
      </c>
      <c r="P360" s="257">
        <f t="shared" si="149"/>
        <v>4.0342249860864108</v>
      </c>
      <c r="Q360" s="257">
        <f t="shared" si="149"/>
        <v>4.3839922923801025</v>
      </c>
      <c r="R360" s="257">
        <f t="shared" si="149"/>
        <v>4.7640844241294573</v>
      </c>
      <c r="S360" s="257">
        <f t="shared" si="149"/>
        <v>5.1771305437014812</v>
      </c>
      <c r="T360" s="257">
        <f t="shared" si="149"/>
        <v>5.6259877618403999</v>
      </c>
      <c r="U360" s="257">
        <f t="shared" si="149"/>
        <v>6.1137609007919629</v>
      </c>
      <c r="V360" s="257">
        <f t="shared" si="149"/>
        <v>6.6438239708906259</v>
      </c>
      <c r="W360" s="257">
        <f t="shared" si="149"/>
        <v>7.2198435091668429</v>
      </c>
      <c r="X360" s="257">
        <f t="shared" si="149"/>
        <v>7.8458039414116092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-2.2542</v>
      </c>
      <c r="J361" s="264">
        <f>$D$358-J360</f>
        <v>-2.4496391399999999</v>
      </c>
      <c r="K361" s="264">
        <f t="shared" ref="K361:X361" si="150">$D$358-K360</f>
        <v>-2.6620228534379997</v>
      </c>
      <c r="L361" s="264">
        <f t="shared" si="150"/>
        <v>-2.892820234831075</v>
      </c>
      <c r="M361" s="264">
        <f t="shared" si="150"/>
        <v>-3.1436277491909292</v>
      </c>
      <c r="N361" s="264">
        <f t="shared" si="150"/>
        <v>-3.4161802750457824</v>
      </c>
      <c r="O361" s="264">
        <f t="shared" si="150"/>
        <v>-3.7123631048922521</v>
      </c>
      <c r="P361" s="264">
        <f t="shared" si="150"/>
        <v>-4.0342249860864108</v>
      </c>
      <c r="Q361" s="264">
        <f t="shared" si="150"/>
        <v>-4.3839922923801025</v>
      </c>
      <c r="R361" s="264">
        <f t="shared" si="150"/>
        <v>-4.7640844241294573</v>
      </c>
      <c r="S361" s="264">
        <f t="shared" si="150"/>
        <v>-5.1771305437014812</v>
      </c>
      <c r="T361" s="264">
        <f t="shared" si="150"/>
        <v>-5.6259877618403999</v>
      </c>
      <c r="U361" s="264">
        <f t="shared" si="150"/>
        <v>-6.1137609007919629</v>
      </c>
      <c r="V361" s="264">
        <f t="shared" si="150"/>
        <v>-6.6438239708906259</v>
      </c>
      <c r="W361" s="264">
        <f t="shared" si="150"/>
        <v>-7.2198435091668429</v>
      </c>
      <c r="X361" s="264">
        <f t="shared" si="150"/>
        <v>-7.8458039414116092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28.254200000000001</v>
      </c>
      <c r="J363" s="257">
        <f>I363-J361</f>
        <v>30.703839139999999</v>
      </c>
      <c r="K363" s="257">
        <f t="shared" ref="K363:X363" si="152">J363-K361</f>
        <v>33.365861993438003</v>
      </c>
      <c r="L363" s="257">
        <f t="shared" si="152"/>
        <v>36.25868222826908</v>
      </c>
      <c r="M363" s="257">
        <f t="shared" si="152"/>
        <v>39.402309977460007</v>
      </c>
      <c r="N363" s="257">
        <f t="shared" si="152"/>
        <v>42.818490252505789</v>
      </c>
      <c r="O363" s="257">
        <f t="shared" si="152"/>
        <v>46.530853357398044</v>
      </c>
      <c r="P363" s="257">
        <f t="shared" si="152"/>
        <v>50.565078343484458</v>
      </c>
      <c r="Q363" s="257">
        <f t="shared" si="152"/>
        <v>54.949070635864558</v>
      </c>
      <c r="R363" s="257">
        <f t="shared" si="152"/>
        <v>59.713155059994016</v>
      </c>
      <c r="S363" s="257">
        <f t="shared" si="152"/>
        <v>64.890285603695503</v>
      </c>
      <c r="T363" s="257">
        <f t="shared" si="152"/>
        <v>70.516273365535909</v>
      </c>
      <c r="U363" s="257">
        <f t="shared" si="152"/>
        <v>76.630034266327868</v>
      </c>
      <c r="V363" s="257">
        <f t="shared" si="152"/>
        <v>83.273858237218491</v>
      </c>
      <c r="W363" s="257">
        <f t="shared" si="152"/>
        <v>90.493701746385341</v>
      </c>
      <c r="X363" s="257">
        <f t="shared" si="152"/>
        <v>98.339505687796944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(2017)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(2018)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(2019)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(2020)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(2021)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(2017)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(2018)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(2019)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(2020)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(2021)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ColWidth="8.85546875"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42578125" style="4" bestFit="1" customWidth="1"/>
    <col min="26" max="26" width="2.28515625" style="138" customWidth="1"/>
    <col min="27" max="27" width="15" style="138" bestFit="1" customWidth="1"/>
    <col min="28" max="16384" width="8.8554687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DNSP Intelligent Network Device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2017</v>
      </c>
      <c r="F5" s="133">
        <f>E5+1</f>
        <v>2018</v>
      </c>
      <c r="G5" s="133">
        <f t="shared" ref="G5:Y5" si="0">F5+1</f>
        <v>2019</v>
      </c>
      <c r="H5" s="133">
        <f t="shared" si="0"/>
        <v>2020</v>
      </c>
      <c r="I5" s="133">
        <f t="shared" si="0"/>
        <v>2021</v>
      </c>
      <c r="J5" s="133">
        <f t="shared" si="0"/>
        <v>2022</v>
      </c>
      <c r="K5" s="133">
        <f t="shared" si="0"/>
        <v>2023</v>
      </c>
      <c r="L5" s="133">
        <f t="shared" si="0"/>
        <v>2024</v>
      </c>
      <c r="M5" s="133">
        <f t="shared" si="0"/>
        <v>2025</v>
      </c>
      <c r="N5" s="133">
        <f t="shared" si="0"/>
        <v>2026</v>
      </c>
      <c r="O5" s="133">
        <f t="shared" si="0"/>
        <v>2027</v>
      </c>
      <c r="P5" s="133">
        <f t="shared" si="0"/>
        <v>2028</v>
      </c>
      <c r="Q5" s="133">
        <f t="shared" si="0"/>
        <v>2029</v>
      </c>
      <c r="R5" s="133">
        <f t="shared" si="0"/>
        <v>2030</v>
      </c>
      <c r="S5" s="133">
        <f t="shared" si="0"/>
        <v>2031</v>
      </c>
      <c r="T5" s="133">
        <f t="shared" si="0"/>
        <v>2032</v>
      </c>
      <c r="U5" s="133">
        <f t="shared" si="0"/>
        <v>2033</v>
      </c>
      <c r="V5" s="133">
        <f t="shared" si="0"/>
        <v>2034</v>
      </c>
      <c r="W5" s="133">
        <f t="shared" si="0"/>
        <v>2035</v>
      </c>
      <c r="X5" s="133">
        <f t="shared" si="0"/>
        <v>2036</v>
      </c>
      <c r="Y5" s="133">
        <f t="shared" si="0"/>
        <v>2037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8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5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0</v>
      </c>
      <c r="E16" s="259">
        <v>0</v>
      </c>
      <c r="F16" s="259">
        <v>0</v>
      </c>
      <c r="G16" s="695">
        <v>0</v>
      </c>
      <c r="H16" s="64">
        <f>IF('User Input'!$I$8=1,'User Input'!F30*'Administrator Input'!$F$41*H9,0)</f>
        <v>0</v>
      </c>
      <c r="I16" s="64">
        <f>IF('User Input'!$I$8=1,'User Input'!G30*'Administrator Input'!$F$41*I9,0)</f>
        <v>0</v>
      </c>
      <c r="J16" s="64">
        <f>IF('User Input'!$I$8=1,'User Input'!H30*'Administrator Input'!$F$41*J9,0)</f>
        <v>0</v>
      </c>
      <c r="K16" s="64">
        <f>IF('User Input'!$I$8=1,'User Input'!I30*'Administrator Input'!$F$41*K9,0)</f>
        <v>0</v>
      </c>
      <c r="L16" s="64">
        <f>IF('User Input'!$I$8=1,'User Input'!J30*'Administrator Input'!$F$41*L9,0)</f>
        <v>0</v>
      </c>
      <c r="M16" s="64">
        <f>IF('User Input'!$I$8=1,'User Input'!K30*'Administrator Input'!$F$41*M9,0)</f>
        <v>0</v>
      </c>
      <c r="N16" s="64">
        <f>IF('User Input'!$I$8=1,'User Input'!L30*'Administrator Input'!$F$41*N9,0)</f>
        <v>0</v>
      </c>
      <c r="O16" s="64">
        <f>IF('User Input'!$I$8=1,'User Input'!M30*'Administrator Input'!$F$41*O9,0)</f>
        <v>0</v>
      </c>
      <c r="P16" s="64">
        <f>IF('User Input'!$I$8=1,'User Input'!N30*'Administrator Input'!$F$41*P9,0)</f>
        <v>0</v>
      </c>
      <c r="Q16" s="64">
        <f>IF('User Input'!$I$8=1,'User Input'!O30*'Administrator Input'!$F$41*Q9,0)</f>
        <v>0</v>
      </c>
      <c r="R16" s="64">
        <f>IF('User Input'!$I$8=1,'User Input'!P30*'Administrator Input'!$F$41*R9,0)</f>
        <v>0</v>
      </c>
      <c r="S16" s="64">
        <f>IF('User Input'!$I$8=1,'User Input'!Q30*'Administrator Input'!$F$41*S9,0)</f>
        <v>0</v>
      </c>
      <c r="T16" s="64">
        <f>IF('User Input'!$I$8=1,'User Input'!R30*'Administrator Input'!$F$41*T9,0)</f>
        <v>0</v>
      </c>
      <c r="U16" s="64">
        <f>IF('User Input'!$I$8=1,'User Input'!S30*'Administrator Input'!$F$41*U9,0)</f>
        <v>0</v>
      </c>
      <c r="V16" s="64">
        <f>IF('User Input'!$I$8=1,'User Input'!T30*'Administrator Input'!$F$41*V9,0)</f>
        <v>0</v>
      </c>
      <c r="W16" s="64">
        <f>IF('User Input'!$I$8=1,'User Input'!U30*'Administrator Input'!$F$41*W9,0)</f>
        <v>0</v>
      </c>
      <c r="X16" s="64">
        <f>IF('User Input'!$I$8=1,'User Input'!V30*'Administrator Input'!$F$41*X9,0)</f>
        <v>0</v>
      </c>
      <c r="Y16" s="64">
        <f>IF('User Input'!$I$8=1,'User Input'!W30*'Administrator Input'!$F$41*Y9,0)</f>
        <v>0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0</v>
      </c>
      <c r="E17" s="259">
        <v>0</v>
      </c>
      <c r="F17" s="259">
        <v>0</v>
      </c>
      <c r="G17" s="695">
        <v>0</v>
      </c>
      <c r="H17" s="64">
        <f>IF('User Input'!$I$8=1,'User Input'!F31*'Administrator Input'!$F$42*H9,0)</f>
        <v>0</v>
      </c>
      <c r="I17" s="64">
        <f>IF('User Input'!$I$8=1,'User Input'!G31*'Administrator Input'!$F$42*I9,0)</f>
        <v>0</v>
      </c>
      <c r="J17" s="64">
        <f>IF('User Input'!$I$8=1,'User Input'!H31*'Administrator Input'!$F$42*J9,0)</f>
        <v>0</v>
      </c>
      <c r="K17" s="64">
        <f>IF('User Input'!$I$8=1,'User Input'!I31*'Administrator Input'!$F$42*K9,0)</f>
        <v>0</v>
      </c>
      <c r="L17" s="64">
        <f>IF('User Input'!$I$8=1,'User Input'!J31*'Administrator Input'!$F$42*L9,0)</f>
        <v>0</v>
      </c>
      <c r="M17" s="64">
        <f>IF('User Input'!$I$8=1,'User Input'!K31*'Administrator Input'!$F$42*M9,0)</f>
        <v>0</v>
      </c>
      <c r="N17" s="64">
        <f>IF('User Input'!$I$8=1,'User Input'!L31*'Administrator Input'!$F$42*N9,0)</f>
        <v>0</v>
      </c>
      <c r="O17" s="64">
        <f>IF('User Input'!$I$8=1,'User Input'!M31*'Administrator Input'!$F$42*O9,0)</f>
        <v>0</v>
      </c>
      <c r="P17" s="64">
        <f>IF('User Input'!$I$8=1,'User Input'!N31*'Administrator Input'!$F$42*P9,0)</f>
        <v>0</v>
      </c>
      <c r="Q17" s="64">
        <f>IF('User Input'!$I$8=1,'User Input'!O31*'Administrator Input'!$F$42*Q9,0)</f>
        <v>0</v>
      </c>
      <c r="R17" s="64">
        <f>IF('User Input'!$I$8=1,'User Input'!P31*'Administrator Input'!$F$42*R9,0)</f>
        <v>0</v>
      </c>
      <c r="S17" s="64">
        <f>IF('User Input'!$I$8=1,'User Input'!Q31*'Administrator Input'!$F$42*S9,0)</f>
        <v>0</v>
      </c>
      <c r="T17" s="64">
        <f>IF('User Input'!$I$8=1,'User Input'!R31*'Administrator Input'!$F$42*T9,0)</f>
        <v>0</v>
      </c>
      <c r="U17" s="64">
        <f>IF('User Input'!$I$8=1,'User Input'!S31*'Administrator Input'!$F$42*U9,0)</f>
        <v>0</v>
      </c>
      <c r="V17" s="64">
        <f>IF('User Input'!$I$8=1,'User Input'!T31*'Administrator Input'!$F$42*V9,0)</f>
        <v>0</v>
      </c>
      <c r="W17" s="64">
        <f>IF('User Input'!$I$8=1,'User Input'!U31*'Administrator Input'!$F$42*W9,0)</f>
        <v>0</v>
      </c>
      <c r="X17" s="64">
        <f>IF('User Input'!$I$8=1,'User Input'!V31*'Administrator Input'!$F$42*X9,0)</f>
        <v>0</v>
      </c>
      <c r="Y17" s="64">
        <f>IF('User Input'!$I$8=1,'User Input'!W31*'Administrator Input'!$F$42*Y9,0)</f>
        <v>0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0</v>
      </c>
      <c r="E18" s="259">
        <v>0</v>
      </c>
      <c r="F18" s="259">
        <v>0</v>
      </c>
      <c r="G18" s="695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5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5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5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Cost 1</v>
      </c>
      <c r="D22" s="67">
        <f t="shared" si="3"/>
        <v>0</v>
      </c>
      <c r="E22" s="695">
        <v>0</v>
      </c>
      <c r="F22" s="64">
        <f>'User Input'!F42*F$9</f>
        <v>0</v>
      </c>
      <c r="G22" s="64">
        <f>'User Input'!G42*G$9</f>
        <v>0</v>
      </c>
      <c r="H22" s="64">
        <f>'User Input'!H42*H$9</f>
        <v>0</v>
      </c>
      <c r="I22" s="64">
        <f>'User Input'!I42*I$9</f>
        <v>0</v>
      </c>
      <c r="J22" s="64">
        <f>'User Input'!J42*J$9</f>
        <v>0</v>
      </c>
      <c r="K22" s="64">
        <f>'User Input'!K42*K$9</f>
        <v>0</v>
      </c>
      <c r="L22" s="64">
        <f>'User Input'!L42*L$9</f>
        <v>0</v>
      </c>
      <c r="M22" s="64">
        <f>'User Input'!M42*M$9</f>
        <v>0</v>
      </c>
      <c r="N22" s="64">
        <f>'User Input'!N42*N$9</f>
        <v>0</v>
      </c>
      <c r="O22" s="64">
        <f>'User Input'!O42*O$9</f>
        <v>0</v>
      </c>
      <c r="P22" s="64">
        <f>'User Input'!P42*P$9</f>
        <v>0</v>
      </c>
      <c r="Q22" s="64">
        <f>'User Input'!Q42*Q$9</f>
        <v>0</v>
      </c>
      <c r="R22" s="64">
        <f>'User Input'!R42*R$9</f>
        <v>0</v>
      </c>
      <c r="S22" s="64">
        <f>'User Input'!S42*S$9</f>
        <v>0</v>
      </c>
      <c r="T22" s="64">
        <f>'User Input'!T42*T$9</f>
        <v>0</v>
      </c>
      <c r="U22" s="64">
        <f>'User Input'!U42*U$9</f>
        <v>0</v>
      </c>
      <c r="V22" s="64">
        <f>'User Input'!V42*V$9</f>
        <v>0</v>
      </c>
      <c r="W22" s="64">
        <f>'User Input'!W42*W$9</f>
        <v>0</v>
      </c>
      <c r="X22" s="64">
        <f>'User Input'!X42*X$9</f>
        <v>0</v>
      </c>
      <c r="Y22" s="64">
        <f>'User Input'!Y42*Y$9</f>
        <v>0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5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5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5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5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5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5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5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5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5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0</v>
      </c>
      <c r="E32" s="65">
        <f>SUM(E13:E31)</f>
        <v>0</v>
      </c>
      <c r="F32" s="66">
        <f t="shared" ref="F32:Y32" si="4">SUM(F13:F31)</f>
        <v>0</v>
      </c>
      <c r="G32" s="66">
        <f t="shared" si="4"/>
        <v>0</v>
      </c>
      <c r="H32" s="66">
        <f t="shared" si="4"/>
        <v>0</v>
      </c>
      <c r="I32" s="66">
        <f t="shared" si="4"/>
        <v>0</v>
      </c>
      <c r="J32" s="66">
        <f t="shared" si="4"/>
        <v>0</v>
      </c>
      <c r="K32" s="66">
        <f t="shared" si="4"/>
        <v>0</v>
      </c>
      <c r="L32" s="66">
        <f t="shared" si="4"/>
        <v>0</v>
      </c>
      <c r="M32" s="66">
        <f t="shared" si="4"/>
        <v>0</v>
      </c>
      <c r="N32" s="66">
        <f t="shared" si="4"/>
        <v>0</v>
      </c>
      <c r="O32" s="66">
        <f t="shared" si="4"/>
        <v>0</v>
      </c>
      <c r="P32" s="66">
        <f t="shared" si="4"/>
        <v>0</v>
      </c>
      <c r="Q32" s="66">
        <f t="shared" si="4"/>
        <v>0</v>
      </c>
      <c r="R32" s="66">
        <f t="shared" si="4"/>
        <v>0</v>
      </c>
      <c r="S32" s="66">
        <f t="shared" si="4"/>
        <v>0</v>
      </c>
      <c r="T32" s="66">
        <f t="shared" si="4"/>
        <v>0</v>
      </c>
      <c r="U32" s="66">
        <f t="shared" si="4"/>
        <v>0</v>
      </c>
      <c r="V32" s="66">
        <f t="shared" si="4"/>
        <v>0</v>
      </c>
      <c r="W32" s="66">
        <f t="shared" si="4"/>
        <v>0</v>
      </c>
      <c r="X32" s="66">
        <f t="shared" si="4"/>
        <v>0</v>
      </c>
      <c r="Y32" s="148">
        <f t="shared" si="4"/>
        <v>0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0</v>
      </c>
      <c r="E33" s="77">
        <f>E32/(1+$D$4)^E$7</f>
        <v>0</v>
      </c>
      <c r="F33" s="77">
        <f t="shared" ref="F33:Y33" si="5">F32/(1+$D$4)^F$7</f>
        <v>0</v>
      </c>
      <c r="G33" s="77">
        <f t="shared" si="5"/>
        <v>0</v>
      </c>
      <c r="H33" s="77">
        <f t="shared" si="5"/>
        <v>0</v>
      </c>
      <c r="I33" s="77">
        <f t="shared" si="5"/>
        <v>0</v>
      </c>
      <c r="J33" s="77">
        <f t="shared" si="5"/>
        <v>0</v>
      </c>
      <c r="K33" s="77">
        <f t="shared" si="5"/>
        <v>0</v>
      </c>
      <c r="L33" s="77">
        <f t="shared" si="5"/>
        <v>0</v>
      </c>
      <c r="M33" s="77">
        <f t="shared" si="5"/>
        <v>0</v>
      </c>
      <c r="N33" s="77">
        <f t="shared" si="5"/>
        <v>0</v>
      </c>
      <c r="O33" s="77">
        <f t="shared" si="5"/>
        <v>0</v>
      </c>
      <c r="P33" s="77">
        <f t="shared" si="5"/>
        <v>0</v>
      </c>
      <c r="Q33" s="77">
        <f t="shared" si="5"/>
        <v>0</v>
      </c>
      <c r="R33" s="77">
        <f t="shared" si="5"/>
        <v>0</v>
      </c>
      <c r="S33" s="77">
        <f t="shared" si="5"/>
        <v>0</v>
      </c>
      <c r="T33" s="77">
        <f t="shared" si="5"/>
        <v>0</v>
      </c>
      <c r="U33" s="77">
        <f t="shared" si="5"/>
        <v>0</v>
      </c>
      <c r="V33" s="77">
        <f t="shared" si="5"/>
        <v>0</v>
      </c>
      <c r="W33" s="77">
        <f t="shared" si="5"/>
        <v>0</v>
      </c>
      <c r="X33" s="77">
        <f t="shared" si="5"/>
        <v>0</v>
      </c>
      <c r="Y33" s="149">
        <f t="shared" si="5"/>
        <v>0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2: Replace / Install Network Devices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5303.1514239135367</v>
      </c>
      <c r="E37" s="64">
        <f>SUMIF('User Input'!$C$15:$C$20,$B$35,'User Input'!F15:F20)*E$9</f>
        <v>452.42339238</v>
      </c>
      <c r="F37" s="64">
        <f>SUMIF('User Input'!$C$15:$C$20,$B$35,'User Input'!G15:G20)*F$9</f>
        <v>1560.4645977386463</v>
      </c>
      <c r="G37" s="64">
        <f>SUMIF('User Input'!$C$15:$C$20,$B$35,'User Input'!H15:H20)*G$9</f>
        <v>1616.3489229845839</v>
      </c>
      <c r="H37" s="64">
        <f>SUMIF('User Input'!$C$15:$C$20,$B$35,'User Input'!I15:I20)*H$9</f>
        <v>1673.9145108103069</v>
      </c>
      <c r="I37" s="64">
        <f>SUMIF('User Input'!$C$15:$C$20,$B$35,'User Input'!J15:J20)*I$9</f>
        <v>0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5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5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5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5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5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309</v>
      </c>
      <c r="D44" s="67">
        <f t="shared" si="6"/>
        <v>0</v>
      </c>
      <c r="E44" s="695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5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Neutral integrity Testing (NIT) reverted to Manual Testing 10 years after 1 December 2017 - Assume  start manual NIT in 2027.</v>
      </c>
      <c r="D46" s="67">
        <f t="shared" si="6"/>
        <v>0</v>
      </c>
      <c r="E46" s="695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Ping Real Time confirmation Customer Power is on/off - Avoided LV Truck Roll Outs = $20M over 10 years, Therefore $2M p.a. Therefore utilise % to work out cost e.g. 2017 implies 499 * 2000/ (650,000 + 499).</v>
      </c>
      <c r="D47" s="67">
        <f t="shared" si="6"/>
        <v>0</v>
      </c>
      <c r="E47" s="695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5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5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5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5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5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5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5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5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5303.1514239135367</v>
      </c>
      <c r="E56" s="68">
        <f>SUM(E37:E55)</f>
        <v>452.42339238</v>
      </c>
      <c r="F56" s="69">
        <f t="shared" ref="F56:Y56" si="7">SUM(F37:F55)</f>
        <v>1560.4645977386463</v>
      </c>
      <c r="G56" s="69">
        <f t="shared" si="7"/>
        <v>1616.3489229845839</v>
      </c>
      <c r="H56" s="69">
        <f t="shared" si="7"/>
        <v>1673.9145108103069</v>
      </c>
      <c r="I56" s="69">
        <f t="shared" si="7"/>
        <v>0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4561.4938261201778</v>
      </c>
      <c r="E57" s="77">
        <f t="shared" ref="E57:Y57" si="8">E56/(1+$D$4)^E$7</f>
        <v>452.42339238</v>
      </c>
      <c r="F57" s="77">
        <f t="shared" si="8"/>
        <v>1435.9663179705956</v>
      </c>
      <c r="G57" s="77">
        <f t="shared" si="8"/>
        <v>1368.7236897632854</v>
      </c>
      <c r="H57" s="77">
        <f t="shared" si="8"/>
        <v>1304.3804260062971</v>
      </c>
      <c r="I57" s="77">
        <f t="shared" si="8"/>
        <v>0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2: Replace / Install Network Devices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5406.0325615374595</v>
      </c>
      <c r="E61" s="141">
        <f>E13</f>
        <v>0</v>
      </c>
      <c r="F61" s="141">
        <f>E37/E9*F9</f>
        <v>461.20040619217201</v>
      </c>
      <c r="G61" s="141">
        <f>F37/F9*G9</f>
        <v>1590.7376109347761</v>
      </c>
      <c r="H61" s="141">
        <f t="shared" ref="H61:Y61" si="9">G37/G9*H9</f>
        <v>1647.7060920904848</v>
      </c>
      <c r="I61" s="141">
        <f t="shared" si="9"/>
        <v>1706.3884523200268</v>
      </c>
      <c r="J61" s="141">
        <f t="shared" si="9"/>
        <v>0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5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5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5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5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5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5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5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Cost 1</v>
      </c>
      <c r="D70" s="67">
        <f t="shared" si="10"/>
        <v>0</v>
      </c>
      <c r="E70" s="695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5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5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5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5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5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5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5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5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5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5406.0325615374595</v>
      </c>
      <c r="E80" s="68">
        <f>SUM(E61:E79)</f>
        <v>0</v>
      </c>
      <c r="F80" s="69">
        <f t="shared" ref="F80:Y80" si="18">SUM(F61:F79)</f>
        <v>461.20040619217201</v>
      </c>
      <c r="G80" s="69">
        <f t="shared" si="18"/>
        <v>1590.7376109347761</v>
      </c>
      <c r="H80" s="69">
        <f t="shared" si="18"/>
        <v>1647.7060920904848</v>
      </c>
      <c r="I80" s="69">
        <f t="shared" si="18"/>
        <v>1706.3884523200268</v>
      </c>
      <c r="J80" s="69">
        <f t="shared" si="18"/>
        <v>0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4278.9977052976074</v>
      </c>
      <c r="E81" s="77">
        <f t="shared" ref="E81:Y81" si="19">E80/(1+$D$4)^E$7</f>
        <v>0</v>
      </c>
      <c r="F81" s="77">
        <f t="shared" si="19"/>
        <v>424.40453316662558</v>
      </c>
      <c r="G81" s="77">
        <f t="shared" si="19"/>
        <v>1347.0360398814992</v>
      </c>
      <c r="H81" s="77">
        <f t="shared" si="19"/>
        <v>1283.9577890353301</v>
      </c>
      <c r="I81" s="77">
        <f t="shared" si="19"/>
        <v>1223.5993432141522</v>
      </c>
      <c r="J81" s="77">
        <f t="shared" si="19"/>
        <v>0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2: Replace / Install Network Devices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5510.9095932312866</v>
      </c>
      <c r="E85" s="141">
        <f>E13</f>
        <v>0</v>
      </c>
      <c r="F85" s="141">
        <f>F13</f>
        <v>0</v>
      </c>
      <c r="G85" s="141">
        <f>E37/E9*G9</f>
        <v>470.14769407230017</v>
      </c>
      <c r="H85" s="141">
        <f t="shared" ref="H85:Y85" si="20">F37/F9*H9</f>
        <v>1621.5979205869107</v>
      </c>
      <c r="I85" s="141">
        <f t="shared" si="20"/>
        <v>1679.6715902770402</v>
      </c>
      <c r="J85" s="141">
        <f t="shared" si="20"/>
        <v>1739.4923882950352</v>
      </c>
      <c r="K85" s="141">
        <f t="shared" si="20"/>
        <v>0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5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5">
        <v>0</v>
      </c>
      <c r="H88" s="695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5">
        <v>0</v>
      </c>
      <c r="H89" s="695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5">
        <v>0</v>
      </c>
      <c r="H90" s="695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5">
        <v>0</v>
      </c>
      <c r="H91" s="695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5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5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Need to Neutral Inegrity Test 1/5 of the services where data is 
acquired from non-UE  Meter Data Provider</v>
      </c>
      <c r="D94" s="67">
        <f t="shared" si="21"/>
        <v>0</v>
      </c>
      <c r="E94" s="695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5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5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5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5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5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5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5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5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5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5510.9095932312866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470.14769407230017</v>
      </c>
      <c r="H104" s="69">
        <f t="shared" si="54"/>
        <v>1621.5979205869107</v>
      </c>
      <c r="I104" s="69">
        <f t="shared" si="54"/>
        <v>1679.6715902770402</v>
      </c>
      <c r="J104" s="69">
        <f t="shared" si="54"/>
        <v>1739.4923882950352</v>
      </c>
      <c r="K104" s="69">
        <f t="shared" si="54"/>
        <v>0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4013.9967431493333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398.12089915345371</v>
      </c>
      <c r="H105" s="77">
        <f t="shared" si="55"/>
        <v>1263.6132686621886</v>
      </c>
      <c r="I105" s="77">
        <f t="shared" si="55"/>
        <v>1204.4414927234889</v>
      </c>
      <c r="J105" s="77">
        <f t="shared" si="55"/>
        <v>1147.8210826102022</v>
      </c>
      <c r="K105" s="77">
        <f t="shared" si="55"/>
        <v>0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2: Replace / Install Network Devices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5617.8212393399735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479.26855933730286</v>
      </c>
      <c r="I109" s="141">
        <f t="shared" ref="I109:N109" si="57">F37/F9*I9</f>
        <v>1653.0569202462966</v>
      </c>
      <c r="J109" s="141">
        <f t="shared" si="57"/>
        <v>1712.2572191284146</v>
      </c>
      <c r="K109" s="141">
        <f t="shared" si="57"/>
        <v>1773.2385406279591</v>
      </c>
      <c r="L109" s="141">
        <f t="shared" si="57"/>
        <v>0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0</v>
      </c>
      <c r="E112" s="259">
        <v>0</v>
      </c>
      <c r="F112" s="259">
        <v>0</v>
      </c>
      <c r="G112" s="695">
        <v>0</v>
      </c>
      <c r="H112" s="695">
        <v>0</v>
      </c>
      <c r="I112" s="141">
        <f t="shared" ref="I112:I115" si="60">I16</f>
        <v>0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0</v>
      </c>
      <c r="E113" s="259">
        <v>0</v>
      </c>
      <c r="F113" s="259">
        <v>0</v>
      </c>
      <c r="G113" s="695">
        <v>0</v>
      </c>
      <c r="H113" s="695">
        <v>0</v>
      </c>
      <c r="I113" s="141">
        <f t="shared" si="60"/>
        <v>0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5">
        <v>0</v>
      </c>
      <c r="H114" s="695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5">
        <v>0</v>
      </c>
      <c r="H115" s="695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Cost 1</v>
      </c>
      <c r="D118" s="67">
        <f t="shared" si="58"/>
        <v>0</v>
      </c>
      <c r="E118" s="141">
        <f t="shared" si="63"/>
        <v>0</v>
      </c>
      <c r="F118" s="141">
        <f t="shared" si="63"/>
        <v>0</v>
      </c>
      <c r="G118" s="141">
        <f t="shared" si="63"/>
        <v>0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5617.8212393399735</v>
      </c>
      <c r="E128" s="68">
        <f>SUM(E109:E127)</f>
        <v>0</v>
      </c>
      <c r="F128" s="69">
        <f t="shared" ref="F128:Y128" si="77">SUM(F109:F127)</f>
        <v>0</v>
      </c>
      <c r="G128" s="69">
        <f t="shared" si="77"/>
        <v>0</v>
      </c>
      <c r="H128" s="69">
        <f t="shared" si="77"/>
        <v>479.26855933730286</v>
      </c>
      <c r="I128" s="69">
        <f t="shared" si="77"/>
        <v>1653.0569202462966</v>
      </c>
      <c r="J128" s="69">
        <f t="shared" si="77"/>
        <v>1712.2572191284146</v>
      </c>
      <c r="K128" s="69">
        <f t="shared" si="77"/>
        <v>1773.2385406279591</v>
      </c>
      <c r="L128" s="69">
        <f t="shared" si="77"/>
        <v>0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3765.4074537281958</v>
      </c>
      <c r="E129" s="77">
        <f t="shared" ref="E129:Y129" si="78">E128/(1+$D$4)^E$7</f>
        <v>0</v>
      </c>
      <c r="F129" s="77">
        <f t="shared" si="78"/>
        <v>0</v>
      </c>
      <c r="G129" s="77">
        <f t="shared" si="78"/>
        <v>0</v>
      </c>
      <c r="H129" s="77">
        <f t="shared" si="78"/>
        <v>373.46502677558732</v>
      </c>
      <c r="I129" s="77">
        <f t="shared" si="78"/>
        <v>1185.3569210216572</v>
      </c>
      <c r="J129" s="77">
        <f t="shared" si="78"/>
        <v>1129.8496895944829</v>
      </c>
      <c r="K129" s="77">
        <f t="shared" si="78"/>
        <v>1076.7358163364686</v>
      </c>
      <c r="L129" s="77">
        <f t="shared" si="78"/>
        <v>0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2: Replace / Install Network Devices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5726.8069713831692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488.5663693884465</v>
      </c>
      <c r="J133" s="141">
        <f t="shared" ref="J133:O133" si="80">F37/F9*J9</f>
        <v>1685.1262244990749</v>
      </c>
      <c r="K133" s="141">
        <f t="shared" si="80"/>
        <v>1745.4750091795061</v>
      </c>
      <c r="L133" s="141">
        <f t="shared" si="80"/>
        <v>1807.6393683161416</v>
      </c>
      <c r="M133" s="141">
        <f t="shared" si="80"/>
        <v>0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0</v>
      </c>
      <c r="E136" s="259">
        <v>0</v>
      </c>
      <c r="F136" s="259">
        <v>0</v>
      </c>
      <c r="G136" s="695">
        <v>0</v>
      </c>
      <c r="H136" s="695">
        <v>0</v>
      </c>
      <c r="I136" s="141">
        <f t="shared" si="79"/>
        <v>0</v>
      </c>
      <c r="J136" s="141">
        <f t="shared" si="79"/>
        <v>0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0</v>
      </c>
      <c r="E137" s="259">
        <v>0</v>
      </c>
      <c r="F137" s="259">
        <v>0</v>
      </c>
      <c r="G137" s="695">
        <v>0</v>
      </c>
      <c r="H137" s="695">
        <v>0</v>
      </c>
      <c r="I137" s="141">
        <f t="shared" si="79"/>
        <v>0</v>
      </c>
      <c r="J137" s="141">
        <f t="shared" si="79"/>
        <v>0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5">
        <v>0</v>
      </c>
      <c r="H138" s="695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5">
        <v>0</v>
      </c>
      <c r="H139" s="695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Cost 1</v>
      </c>
      <c r="D142" s="67">
        <f t="shared" si="81"/>
        <v>0</v>
      </c>
      <c r="E142" s="141">
        <f t="shared" si="85"/>
        <v>0</v>
      </c>
      <c r="F142" s="141">
        <f t="shared" si="79"/>
        <v>0</v>
      </c>
      <c r="G142" s="141">
        <f t="shared" si="79"/>
        <v>0</v>
      </c>
      <c r="H142" s="141">
        <f t="shared" si="79"/>
        <v>0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5726.8069713831692</v>
      </c>
      <c r="E152" s="68">
        <f>SUM(E133:E151)</f>
        <v>0</v>
      </c>
      <c r="F152" s="69">
        <f t="shared" ref="F152:Y152" si="97">SUM(F133:F151)</f>
        <v>0</v>
      </c>
      <c r="G152" s="69">
        <f t="shared" si="97"/>
        <v>0</v>
      </c>
      <c r="H152" s="69">
        <f t="shared" si="97"/>
        <v>0</v>
      </c>
      <c r="I152" s="69">
        <f t="shared" si="97"/>
        <v>488.5663693884465</v>
      </c>
      <c r="J152" s="69">
        <f t="shared" si="97"/>
        <v>1685.1262244990749</v>
      </c>
      <c r="K152" s="69">
        <f t="shared" si="97"/>
        <v>1745.4750091795061</v>
      </c>
      <c r="L152" s="69">
        <f t="shared" si="97"/>
        <v>1807.6393683161416</v>
      </c>
      <c r="M152" s="69">
        <f t="shared" si="97"/>
        <v>0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3532.2134520387622</v>
      </c>
      <c r="E153" s="77">
        <f t="shared" ref="E153:Y153" si="98">E152/(1+$D$4)^E$7</f>
        <v>0</v>
      </c>
      <c r="F153" s="77">
        <f t="shared" si="98"/>
        <v>0</v>
      </c>
      <c r="G153" s="77">
        <f t="shared" si="98"/>
        <v>0</v>
      </c>
      <c r="H153" s="77">
        <f t="shared" si="98"/>
        <v>0</v>
      </c>
      <c r="I153" s="77">
        <f t="shared" si="98"/>
        <v>350.33610775286064</v>
      </c>
      <c r="J153" s="77">
        <f t="shared" si="98"/>
        <v>1111.9470371670907</v>
      </c>
      <c r="K153" s="77">
        <f t="shared" si="98"/>
        <v>1059.8774027538566</v>
      </c>
      <c r="L153" s="77">
        <f t="shared" si="98"/>
        <v>1010.0529043649544</v>
      </c>
      <c r="M153" s="77">
        <f t="shared" si="98"/>
        <v>0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0</v>
      </c>
      <c r="G160" s="81">
        <f t="shared" si="99"/>
        <v>0</v>
      </c>
      <c r="H160" s="81">
        <f t="shared" si="99"/>
        <v>0</v>
      </c>
      <c r="I160" s="81">
        <f t="shared" si="99"/>
        <v>0</v>
      </c>
      <c r="J160" s="81">
        <f t="shared" si="99"/>
        <v>0</v>
      </c>
      <c r="K160" s="81">
        <f t="shared" si="99"/>
        <v>0</v>
      </c>
      <c r="L160" s="81">
        <f t="shared" si="99"/>
        <v>0</v>
      </c>
      <c r="M160" s="81">
        <f t="shared" si="99"/>
        <v>0</v>
      </c>
      <c r="N160" s="81">
        <f t="shared" si="99"/>
        <v>0</v>
      </c>
      <c r="O160" s="81">
        <f t="shared" si="99"/>
        <v>0</v>
      </c>
      <c r="P160" s="81">
        <f t="shared" si="99"/>
        <v>0</v>
      </c>
      <c r="Q160" s="81">
        <f t="shared" si="99"/>
        <v>0</v>
      </c>
      <c r="R160" s="81">
        <f t="shared" si="99"/>
        <v>0</v>
      </c>
      <c r="S160" s="81">
        <f t="shared" si="99"/>
        <v>0</v>
      </c>
      <c r="T160" s="81">
        <f t="shared" si="99"/>
        <v>0</v>
      </c>
      <c r="U160" s="81">
        <f t="shared" si="99"/>
        <v>0</v>
      </c>
      <c r="V160" s="81">
        <f t="shared" si="99"/>
        <v>0</v>
      </c>
      <c r="W160" s="81">
        <f t="shared" si="99"/>
        <v>0</v>
      </c>
      <c r="X160" s="81">
        <f t="shared" si="99"/>
        <v>0</v>
      </c>
      <c r="Y160" s="81">
        <f t="shared" si="99"/>
        <v>0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2: Replace / Install Network Devices</v>
      </c>
      <c r="D161" s="2"/>
      <c r="E161" s="84">
        <f>E56</f>
        <v>452.42339238</v>
      </c>
      <c r="F161" s="84">
        <f t="shared" ref="F161:Y161" si="100">F56</f>
        <v>1560.4645977386463</v>
      </c>
      <c r="G161" s="84">
        <f t="shared" si="100"/>
        <v>1616.3489229845839</v>
      </c>
      <c r="H161" s="84">
        <f t="shared" si="100"/>
        <v>1673.9145108103069</v>
      </c>
      <c r="I161" s="84">
        <f t="shared" si="100"/>
        <v>0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2: Replace / Install Network Devices + 1yr</v>
      </c>
      <c r="D162" s="2"/>
      <c r="E162" s="84">
        <f>E80</f>
        <v>0</v>
      </c>
      <c r="F162" s="84">
        <f t="shared" ref="F162:Y162" si="101">F80</f>
        <v>461.20040619217201</v>
      </c>
      <c r="G162" s="84">
        <f t="shared" si="101"/>
        <v>1590.7376109347761</v>
      </c>
      <c r="H162" s="84">
        <f t="shared" si="101"/>
        <v>1647.7060920904848</v>
      </c>
      <c r="I162" s="84">
        <f t="shared" si="101"/>
        <v>1706.3884523200268</v>
      </c>
      <c r="J162" s="84">
        <f t="shared" si="101"/>
        <v>0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2: Replace / Install Network Devices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470.14769407230017</v>
      </c>
      <c r="H163" s="84">
        <f t="shared" si="102"/>
        <v>1621.5979205869107</v>
      </c>
      <c r="I163" s="84">
        <f t="shared" si="102"/>
        <v>1679.6715902770402</v>
      </c>
      <c r="J163" s="84">
        <f t="shared" si="102"/>
        <v>1739.4923882950352</v>
      </c>
      <c r="K163" s="84">
        <f t="shared" si="102"/>
        <v>0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2: Replace / Install Network Devices + 3yrs</v>
      </c>
      <c r="D164" s="2"/>
      <c r="E164" s="84">
        <f>E128</f>
        <v>0</v>
      </c>
      <c r="F164" s="84">
        <f t="shared" ref="F164:Y164" si="103">F128</f>
        <v>0</v>
      </c>
      <c r="G164" s="84">
        <f t="shared" si="103"/>
        <v>0</v>
      </c>
      <c r="H164" s="84">
        <f t="shared" si="103"/>
        <v>479.26855933730286</v>
      </c>
      <c r="I164" s="84">
        <f t="shared" si="103"/>
        <v>1653.0569202462966</v>
      </c>
      <c r="J164" s="84">
        <f t="shared" si="103"/>
        <v>1712.2572191284146</v>
      </c>
      <c r="K164" s="84">
        <f t="shared" si="103"/>
        <v>1773.2385406279591</v>
      </c>
      <c r="L164" s="84">
        <f t="shared" si="103"/>
        <v>0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2: Replace / Install Network Devices + 4yrs</v>
      </c>
      <c r="D165" s="2"/>
      <c r="E165" s="84">
        <f>E152</f>
        <v>0</v>
      </c>
      <c r="F165" s="84">
        <f t="shared" ref="F165:Y165" si="104">F152</f>
        <v>0</v>
      </c>
      <c r="G165" s="84">
        <f t="shared" si="104"/>
        <v>0</v>
      </c>
      <c r="H165" s="84">
        <f t="shared" si="104"/>
        <v>0</v>
      </c>
      <c r="I165" s="84">
        <f t="shared" si="104"/>
        <v>488.5663693884465</v>
      </c>
      <c r="J165" s="84">
        <f t="shared" si="104"/>
        <v>1685.1262244990749</v>
      </c>
      <c r="K165" s="84">
        <f t="shared" si="104"/>
        <v>1745.4750091795061</v>
      </c>
      <c r="L165" s="84">
        <f t="shared" si="104"/>
        <v>1807.6393683161416</v>
      </c>
      <c r="M165" s="84">
        <f t="shared" si="104"/>
        <v>0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0</v>
      </c>
      <c r="G169" s="81">
        <f>G33</f>
        <v>0</v>
      </c>
      <c r="H169" s="81">
        <f>H33</f>
        <v>0</v>
      </c>
      <c r="I169" s="81">
        <f>I33</f>
        <v>0</v>
      </c>
      <c r="J169" s="81">
        <f t="shared" ref="J169:Y169" si="105">J33</f>
        <v>0</v>
      </c>
      <c r="K169" s="81">
        <f t="shared" si="105"/>
        <v>0</v>
      </c>
      <c r="L169" s="81">
        <f t="shared" si="105"/>
        <v>0</v>
      </c>
      <c r="M169" s="81">
        <f t="shared" si="105"/>
        <v>0</v>
      </c>
      <c r="N169" s="81">
        <f t="shared" si="105"/>
        <v>0</v>
      </c>
      <c r="O169" s="81">
        <f t="shared" si="105"/>
        <v>0</v>
      </c>
      <c r="P169" s="81">
        <f t="shared" si="105"/>
        <v>0</v>
      </c>
      <c r="Q169" s="81">
        <f t="shared" si="105"/>
        <v>0</v>
      </c>
      <c r="R169" s="81">
        <f t="shared" si="105"/>
        <v>0</v>
      </c>
      <c r="S169" s="81">
        <f t="shared" si="105"/>
        <v>0</v>
      </c>
      <c r="T169" s="81">
        <f t="shared" si="105"/>
        <v>0</v>
      </c>
      <c r="U169" s="81">
        <f t="shared" si="105"/>
        <v>0</v>
      </c>
      <c r="V169" s="81">
        <f t="shared" si="105"/>
        <v>0</v>
      </c>
      <c r="W169" s="81">
        <f t="shared" si="105"/>
        <v>0</v>
      </c>
      <c r="X169" s="81">
        <f t="shared" si="105"/>
        <v>0</v>
      </c>
      <c r="Y169" s="81">
        <f t="shared" si="105"/>
        <v>0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2: Replace / Install Network Devices</v>
      </c>
      <c r="D170" s="2"/>
      <c r="E170" s="81">
        <f>E57</f>
        <v>452.42339238</v>
      </c>
      <c r="F170" s="81">
        <f>F57</f>
        <v>1435.9663179705956</v>
      </c>
      <c r="G170" s="81">
        <f>G57</f>
        <v>1368.7236897632854</v>
      </c>
      <c r="H170" s="81">
        <f>H57</f>
        <v>1304.3804260062971</v>
      </c>
      <c r="I170" s="81">
        <f>I57</f>
        <v>0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2: Replace / Install Network Devices + 1yr</v>
      </c>
      <c r="D171" s="2"/>
      <c r="E171" s="81">
        <f>E81</f>
        <v>0</v>
      </c>
      <c r="F171" s="81">
        <f>F81</f>
        <v>424.40453316662558</v>
      </c>
      <c r="G171" s="81">
        <f>G81</f>
        <v>1347.0360398814992</v>
      </c>
      <c r="H171" s="81">
        <f>H81</f>
        <v>1283.9577890353301</v>
      </c>
      <c r="I171" s="81">
        <f>I81</f>
        <v>1223.5993432141522</v>
      </c>
      <c r="J171" s="81">
        <f t="shared" ref="J171:Y171" si="107">J81</f>
        <v>0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2: Replace / Install Network Devices + 2yrs</v>
      </c>
      <c r="D172" s="2"/>
      <c r="E172" s="81">
        <f>E105</f>
        <v>0</v>
      </c>
      <c r="F172" s="81">
        <f>F105</f>
        <v>0</v>
      </c>
      <c r="G172" s="81">
        <f>G105</f>
        <v>398.12089915345371</v>
      </c>
      <c r="H172" s="81">
        <f>H105</f>
        <v>1263.6132686621886</v>
      </c>
      <c r="I172" s="81">
        <f>I105</f>
        <v>1204.4414927234889</v>
      </c>
      <c r="J172" s="81">
        <f t="shared" ref="J172:Y172" si="108">J105</f>
        <v>1147.8210826102022</v>
      </c>
      <c r="K172" s="81">
        <f t="shared" si="108"/>
        <v>0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2: Replace / Install Network Devices + 3yrs</v>
      </c>
      <c r="D173" s="2"/>
      <c r="E173" s="81">
        <f>E129</f>
        <v>0</v>
      </c>
      <c r="F173" s="81">
        <f>F129</f>
        <v>0</v>
      </c>
      <c r="G173" s="81">
        <f>G129</f>
        <v>0</v>
      </c>
      <c r="H173" s="81">
        <f>H129</f>
        <v>373.46502677558732</v>
      </c>
      <c r="I173" s="81">
        <f>I129</f>
        <v>1185.3569210216572</v>
      </c>
      <c r="J173" s="81">
        <f t="shared" ref="J173:Y173" si="109">J129</f>
        <v>1129.8496895944829</v>
      </c>
      <c r="K173" s="81">
        <f t="shared" si="109"/>
        <v>1076.7358163364686</v>
      </c>
      <c r="L173" s="81">
        <f t="shared" si="109"/>
        <v>0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2: Replace / Install Network Devices + 4yrs</v>
      </c>
      <c r="D174" s="2"/>
      <c r="E174" s="81">
        <f>E153</f>
        <v>0</v>
      </c>
      <c r="F174" s="81">
        <f>F153</f>
        <v>0</v>
      </c>
      <c r="G174" s="81">
        <f>G153</f>
        <v>0</v>
      </c>
      <c r="H174" s="81">
        <f>H153</f>
        <v>0</v>
      </c>
      <c r="I174" s="81">
        <f>I153</f>
        <v>350.33610775286064</v>
      </c>
      <c r="J174" s="81">
        <f t="shared" ref="J174:Y174" si="110">J153</f>
        <v>1111.9470371670907</v>
      </c>
      <c r="K174" s="81">
        <f t="shared" si="110"/>
        <v>1059.8774027538566</v>
      </c>
      <c r="L174" s="81">
        <f t="shared" si="110"/>
        <v>1010.0529043649544</v>
      </c>
      <c r="M174" s="81">
        <f t="shared" si="110"/>
        <v>0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2: Replace / Install Network Devices</v>
      </c>
      <c r="D179" s="80"/>
      <c r="E179" s="302">
        <f>E37</f>
        <v>452.42339238</v>
      </c>
      <c r="F179" s="302">
        <f t="shared" ref="F179:Y179" si="112">F37</f>
        <v>1560.4645977386463</v>
      </c>
      <c r="G179" s="302">
        <f t="shared" si="112"/>
        <v>1616.3489229845839</v>
      </c>
      <c r="H179" s="302">
        <f t="shared" si="112"/>
        <v>1673.9145108103069</v>
      </c>
      <c r="I179" s="302">
        <f t="shared" si="112"/>
        <v>0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2: Replace / Install Network Devices + 1yr</v>
      </c>
      <c r="D180" s="80"/>
      <c r="E180" s="302">
        <f>E61</f>
        <v>0</v>
      </c>
      <c r="F180" s="302">
        <f t="shared" ref="F180:Y180" si="113">F61</f>
        <v>461.20040619217201</v>
      </c>
      <c r="G180" s="302">
        <f t="shared" si="113"/>
        <v>1590.7376109347761</v>
      </c>
      <c r="H180" s="302">
        <f t="shared" si="113"/>
        <v>1647.7060920904848</v>
      </c>
      <c r="I180" s="302">
        <f t="shared" si="113"/>
        <v>1706.3884523200268</v>
      </c>
      <c r="J180" s="302">
        <f t="shared" si="113"/>
        <v>0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2: Replace / Install Network Devices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470.14769407230017</v>
      </c>
      <c r="H181" s="302">
        <f t="shared" si="114"/>
        <v>1621.5979205869107</v>
      </c>
      <c r="I181" s="302">
        <f t="shared" si="114"/>
        <v>1679.6715902770402</v>
      </c>
      <c r="J181" s="302">
        <f t="shared" si="114"/>
        <v>1739.4923882950352</v>
      </c>
      <c r="K181" s="302">
        <f t="shared" si="114"/>
        <v>0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2: Replace / Install Network Devices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479.26855933730286</v>
      </c>
      <c r="I182" s="302">
        <f t="shared" si="115"/>
        <v>1653.0569202462966</v>
      </c>
      <c r="J182" s="302">
        <f t="shared" si="115"/>
        <v>1712.2572191284146</v>
      </c>
      <c r="K182" s="302">
        <f t="shared" si="115"/>
        <v>1773.2385406279591</v>
      </c>
      <c r="L182" s="302">
        <f t="shared" si="115"/>
        <v>0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2: Replace / Install Network Devices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488.5663693884465</v>
      </c>
      <c r="J183" s="302">
        <f t="shared" si="116"/>
        <v>1685.1262244990749</v>
      </c>
      <c r="K183" s="302">
        <f t="shared" si="116"/>
        <v>1745.4750091795061</v>
      </c>
      <c r="L183" s="302">
        <f t="shared" si="116"/>
        <v>1807.6393683161416</v>
      </c>
      <c r="M183" s="302">
        <f t="shared" si="116"/>
        <v>0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2: Replace / Install Network Devices + 4yrs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0</v>
      </c>
      <c r="G187" s="145">
        <f t="shared" si="117"/>
        <v>0</v>
      </c>
      <c r="H187" s="145">
        <f t="shared" si="117"/>
        <v>0</v>
      </c>
      <c r="I187" s="145">
        <f t="shared" si="117"/>
        <v>0</v>
      </c>
      <c r="J187" s="145">
        <f t="shared" si="117"/>
        <v>0</v>
      </c>
      <c r="K187" s="145">
        <f t="shared" si="117"/>
        <v>0</v>
      </c>
      <c r="L187" s="145">
        <f t="shared" si="117"/>
        <v>0</v>
      </c>
      <c r="M187" s="145">
        <f t="shared" si="117"/>
        <v>0</v>
      </c>
      <c r="N187" s="145">
        <f t="shared" si="117"/>
        <v>0</v>
      </c>
      <c r="O187" s="145">
        <f t="shared" si="117"/>
        <v>0</v>
      </c>
      <c r="P187" s="145">
        <f t="shared" si="117"/>
        <v>0</v>
      </c>
      <c r="Q187" s="145">
        <f t="shared" si="117"/>
        <v>0</v>
      </c>
      <c r="R187" s="145">
        <f t="shared" si="117"/>
        <v>0</v>
      </c>
      <c r="S187" s="145">
        <f t="shared" si="117"/>
        <v>0</v>
      </c>
      <c r="T187" s="145">
        <f t="shared" si="117"/>
        <v>0</v>
      </c>
      <c r="U187" s="145">
        <f t="shared" si="117"/>
        <v>0</v>
      </c>
      <c r="V187" s="145">
        <f>-V160</f>
        <v>0</v>
      </c>
      <c r="W187" s="145">
        <f>-W160</f>
        <v>0</v>
      </c>
      <c r="X187" s="145">
        <f>-X160</f>
        <v>0</v>
      </c>
      <c r="Y187" s="145">
        <f>-Y160</f>
        <v>0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2: Replace / Install Network Devices + 4yrs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0</v>
      </c>
      <c r="H188" s="145">
        <f t="shared" si="118"/>
        <v>0</v>
      </c>
      <c r="I188" s="145">
        <f t="shared" si="118"/>
        <v>-488.5663693884465</v>
      </c>
      <c r="J188" s="145">
        <f t="shared" si="118"/>
        <v>-1685.1262244990751</v>
      </c>
      <c r="K188" s="145">
        <f t="shared" si="118"/>
        <v>-1745.4750091795063</v>
      </c>
      <c r="L188" s="145">
        <f t="shared" si="118"/>
        <v>-1807.6393683161414</v>
      </c>
      <c r="M188" s="145">
        <f t="shared" si="118"/>
        <v>0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0</v>
      </c>
      <c r="G189" s="82">
        <f t="shared" si="119"/>
        <v>0</v>
      </c>
      <c r="H189" s="82">
        <f t="shared" si="119"/>
        <v>0</v>
      </c>
      <c r="I189" s="82">
        <f t="shared" si="119"/>
        <v>-488.5663693884465</v>
      </c>
      <c r="J189" s="82">
        <f t="shared" si="119"/>
        <v>-1685.1262244990751</v>
      </c>
      <c r="K189" s="82">
        <f t="shared" si="119"/>
        <v>-1745.4750091795063</v>
      </c>
      <c r="L189" s="82">
        <f t="shared" si="119"/>
        <v>-1807.6393683161414</v>
      </c>
      <c r="M189" s="82">
        <f t="shared" si="119"/>
        <v>0</v>
      </c>
      <c r="N189" s="82">
        <f t="shared" si="119"/>
        <v>0</v>
      </c>
      <c r="O189" s="82">
        <f t="shared" si="119"/>
        <v>0</v>
      </c>
      <c r="P189" s="82">
        <f t="shared" si="119"/>
        <v>0</v>
      </c>
      <c r="Q189" s="82">
        <f t="shared" si="119"/>
        <v>0</v>
      </c>
      <c r="R189" s="82">
        <f t="shared" si="119"/>
        <v>0</v>
      </c>
      <c r="S189" s="82">
        <f t="shared" si="119"/>
        <v>0</v>
      </c>
      <c r="T189" s="82">
        <f t="shared" si="119"/>
        <v>0</v>
      </c>
      <c r="U189" s="82">
        <f t="shared" si="119"/>
        <v>0</v>
      </c>
      <c r="V189" s="82">
        <f t="shared" si="119"/>
        <v>0</v>
      </c>
      <c r="W189" s="82">
        <f t="shared" si="119"/>
        <v>0</v>
      </c>
      <c r="X189" s="82">
        <f t="shared" si="119"/>
        <v>0</v>
      </c>
      <c r="Y189" s="82">
        <f t="shared" si="119"/>
        <v>0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0</v>
      </c>
      <c r="G191" s="81">
        <f t="shared" si="120"/>
        <v>0</v>
      </c>
      <c r="H191" s="81">
        <f t="shared" si="120"/>
        <v>0</v>
      </c>
      <c r="I191" s="81">
        <f t="shared" si="120"/>
        <v>0</v>
      </c>
      <c r="J191" s="81">
        <f t="shared" si="120"/>
        <v>0</v>
      </c>
      <c r="K191" s="81">
        <f t="shared" si="120"/>
        <v>0</v>
      </c>
      <c r="L191" s="81">
        <f t="shared" si="120"/>
        <v>0</v>
      </c>
      <c r="M191" s="81">
        <f t="shared" si="120"/>
        <v>0</v>
      </c>
      <c r="N191" s="81">
        <f t="shared" si="120"/>
        <v>0</v>
      </c>
      <c r="O191" s="81">
        <f t="shared" si="120"/>
        <v>0</v>
      </c>
      <c r="P191" s="81">
        <f t="shared" si="120"/>
        <v>0</v>
      </c>
      <c r="Q191" s="81">
        <f t="shared" si="120"/>
        <v>0</v>
      </c>
      <c r="R191" s="81">
        <f t="shared" si="120"/>
        <v>0</v>
      </c>
      <c r="S191" s="81">
        <f t="shared" si="120"/>
        <v>0</v>
      </c>
      <c r="T191" s="81">
        <f t="shared" si="120"/>
        <v>0</v>
      </c>
      <c r="U191" s="81">
        <f t="shared" si="120"/>
        <v>0</v>
      </c>
      <c r="V191" s="81">
        <f t="shared" si="120"/>
        <v>0</v>
      </c>
      <c r="W191" s="81">
        <f t="shared" si="120"/>
        <v>0</v>
      </c>
      <c r="X191" s="81">
        <f t="shared" si="120"/>
        <v>0</v>
      </c>
      <c r="Y191" s="81">
        <f t="shared" si="120"/>
        <v>0</v>
      </c>
      <c r="Z191" s="154"/>
    </row>
    <row r="192" spans="1:26" s="3" customFormat="1" x14ac:dyDescent="0.2">
      <c r="A192" s="2"/>
      <c r="B192" s="13"/>
      <c r="C192" s="80" t="str">
        <f>"PV - "&amp;+D221</f>
        <v>PV - Option 2: Replace / Install Network Devices + 4yrs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0</v>
      </c>
      <c r="H192" s="81">
        <f t="shared" si="121"/>
        <v>0</v>
      </c>
      <c r="I192" s="81">
        <f t="shared" si="121"/>
        <v>-350.33610775286064</v>
      </c>
      <c r="J192" s="81">
        <f t="shared" si="121"/>
        <v>-1111.9470371670907</v>
      </c>
      <c r="K192" s="81">
        <f t="shared" si="121"/>
        <v>-1059.8774027538566</v>
      </c>
      <c r="L192" s="81">
        <f t="shared" si="121"/>
        <v>-1010.0529043649544</v>
      </c>
      <c r="M192" s="81">
        <f t="shared" si="121"/>
        <v>0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0</v>
      </c>
      <c r="G193" s="82">
        <f t="shared" si="122"/>
        <v>0</v>
      </c>
      <c r="H193" s="82">
        <f t="shared" si="122"/>
        <v>0</v>
      </c>
      <c r="I193" s="82">
        <f t="shared" si="122"/>
        <v>-350.33610775286064</v>
      </c>
      <c r="J193" s="82">
        <f t="shared" si="122"/>
        <v>-1111.9470371670907</v>
      </c>
      <c r="K193" s="82">
        <f t="shared" si="122"/>
        <v>-1059.8774027538566</v>
      </c>
      <c r="L193" s="82">
        <f t="shared" si="122"/>
        <v>-1010.0529043649544</v>
      </c>
      <c r="M193" s="82">
        <f t="shared" si="122"/>
        <v>0</v>
      </c>
      <c r="N193" s="82">
        <f t="shared" si="122"/>
        <v>0</v>
      </c>
      <c r="O193" s="82">
        <f t="shared" si="122"/>
        <v>0</v>
      </c>
      <c r="P193" s="82">
        <f t="shared" si="122"/>
        <v>0</v>
      </c>
      <c r="Q193" s="82">
        <f t="shared" si="122"/>
        <v>0</v>
      </c>
      <c r="R193" s="82">
        <f t="shared" si="122"/>
        <v>0</v>
      </c>
      <c r="S193" s="82">
        <f t="shared" si="122"/>
        <v>0</v>
      </c>
      <c r="T193" s="82">
        <f t="shared" si="122"/>
        <v>0</v>
      </c>
      <c r="U193" s="82">
        <f t="shared" si="122"/>
        <v>0</v>
      </c>
      <c r="V193" s="82">
        <f t="shared" si="122"/>
        <v>0</v>
      </c>
      <c r="W193" s="82">
        <f t="shared" si="122"/>
        <v>0</v>
      </c>
      <c r="X193" s="82">
        <f t="shared" si="122"/>
        <v>0</v>
      </c>
      <c r="Y193" s="82">
        <f t="shared" si="122"/>
        <v>0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0</v>
      </c>
      <c r="G194" s="105">
        <f t="shared" ref="G194:Y194" si="123">F194+G193</f>
        <v>0</v>
      </c>
      <c r="H194" s="105">
        <f t="shared" si="123"/>
        <v>0</v>
      </c>
      <c r="I194" s="105">
        <f t="shared" si="123"/>
        <v>-350.33610775286064</v>
      </c>
      <c r="J194" s="105">
        <f t="shared" si="123"/>
        <v>-1462.2831449199514</v>
      </c>
      <c r="K194" s="105">
        <f t="shared" si="123"/>
        <v>-2522.1605476738077</v>
      </c>
      <c r="L194" s="105">
        <f t="shared" si="123"/>
        <v>-3532.2134520387622</v>
      </c>
      <c r="M194" s="105">
        <f t="shared" si="123"/>
        <v>-3532.2134520387622</v>
      </c>
      <c r="N194" s="105">
        <f t="shared" si="123"/>
        <v>-3532.2134520387622</v>
      </c>
      <c r="O194" s="105">
        <f t="shared" si="123"/>
        <v>-3532.2134520387622</v>
      </c>
      <c r="P194" s="105">
        <f t="shared" si="123"/>
        <v>-3532.2134520387622</v>
      </c>
      <c r="Q194" s="105">
        <f t="shared" si="123"/>
        <v>-3532.2134520387622</v>
      </c>
      <c r="R194" s="105">
        <f t="shared" si="123"/>
        <v>-3532.2134520387622</v>
      </c>
      <c r="S194" s="105">
        <f t="shared" si="123"/>
        <v>-3532.2134520387622</v>
      </c>
      <c r="T194" s="105">
        <f t="shared" si="123"/>
        <v>-3532.2134520387622</v>
      </c>
      <c r="U194" s="105">
        <f t="shared" si="123"/>
        <v>-3532.2134520387622</v>
      </c>
      <c r="V194" s="105">
        <f t="shared" si="123"/>
        <v>-3532.2134520387622</v>
      </c>
      <c r="W194" s="105">
        <f t="shared" si="123"/>
        <v>-3532.2134520387622</v>
      </c>
      <c r="X194" s="105">
        <f t="shared" si="123"/>
        <v>-3532.2134520387622</v>
      </c>
      <c r="Y194" s="105">
        <f t="shared" si="123"/>
        <v>-3532.2134520387622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-3532.2134520387622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 t="e">
        <f>IRR(E189:Y189)</f>
        <v>#NUM!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17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76.5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2: Replace / Install Network Devices</v>
      </c>
      <c r="F203" s="387" t="str">
        <f>B59</f>
        <v>Option 2: Replace / Install Network Devices + 1yr</v>
      </c>
      <c r="G203" s="388" t="str">
        <f>B83</f>
        <v>Option 2: Replace / Install Network Devices + 2yrs</v>
      </c>
      <c r="H203" s="388" t="str">
        <f>B107</f>
        <v>Option 2: Replace / Install Network Devices + 3yrs</v>
      </c>
      <c r="I203" s="388" t="str">
        <f>B131</f>
        <v>Option 2: Replace / Install Network Devices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5303.1514239135367</v>
      </c>
      <c r="F205" s="125">
        <f>D61</f>
        <v>5406.0325615374595</v>
      </c>
      <c r="G205" s="115">
        <f>D85</f>
        <v>5510.9095932312866</v>
      </c>
      <c r="H205" s="115">
        <f>D109</f>
        <v>5617.8212393399735</v>
      </c>
      <c r="I205" s="115">
        <f>D133</f>
        <v>5726.8069713831692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0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0</v>
      </c>
      <c r="I207" s="115">
        <f>SUM(D136:D139)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Cost 1</v>
      </c>
      <c r="D210" s="121">
        <f t="shared" si="124"/>
        <v>0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0</v>
      </c>
      <c r="I210" s="115">
        <f t="shared" si="129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292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0</v>
      </c>
      <c r="E216" s="122">
        <f t="shared" si="130"/>
        <v>5303.1514239135367</v>
      </c>
      <c r="F216" s="122">
        <f t="shared" si="130"/>
        <v>5406.0325615374595</v>
      </c>
      <c r="G216" s="122">
        <f t="shared" si="130"/>
        <v>5510.9095932312866</v>
      </c>
      <c r="H216" s="122">
        <f t="shared" si="130"/>
        <v>5617.8212393399735</v>
      </c>
      <c r="I216" s="122">
        <f t="shared" si="130"/>
        <v>5726.8069713831692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0" t="str">
        <f>IF(D216=0," ",D33)</f>
        <v xml:space="preserve"> </v>
      </c>
      <c r="E218" s="690">
        <f>IF(E216=0," ",D57)</f>
        <v>4561.4938261201778</v>
      </c>
      <c r="F218" s="691">
        <f>IF(F216=0," ",D81)</f>
        <v>4278.9977052976074</v>
      </c>
      <c r="G218" s="692">
        <f>IF(G216=0," ",D105)</f>
        <v>4013.9967431493333</v>
      </c>
      <c r="H218" s="692">
        <f>IF(H216=0," ",D129)</f>
        <v>3765.4074537281958</v>
      </c>
      <c r="I218" s="692">
        <f>IF(I216=0," ",D153)</f>
        <v>3532.2134520387622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310</v>
      </c>
      <c r="D220" s="83">
        <f>MIN(D218:I218)</f>
        <v>3532.2134520387622</v>
      </c>
      <c r="E220" s="2"/>
      <c r="F220" s="17">
        <f t="shared" ref="F220:H220" si="131">F218-$D$220</f>
        <v>746.78425325884518</v>
      </c>
      <c r="G220" s="17">
        <f t="shared" si="131"/>
        <v>481.7832911105711</v>
      </c>
      <c r="H220" s="17">
        <f t="shared" si="131"/>
        <v>233.19400168943366</v>
      </c>
      <c r="I220" s="17">
        <f>I218-$D$220</f>
        <v>0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2: Replace / Install Network Devices + 4yrs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2017</v>
      </c>
      <c r="F227" s="80">
        <f t="shared" si="132"/>
        <v>2018</v>
      </c>
      <c r="G227" s="80">
        <f t="shared" si="132"/>
        <v>2019</v>
      </c>
      <c r="H227" s="80">
        <f t="shared" si="132"/>
        <v>2020</v>
      </c>
      <c r="I227" s="80">
        <f t="shared" si="132"/>
        <v>2021</v>
      </c>
      <c r="J227" s="80">
        <f t="shared" si="132"/>
        <v>2022</v>
      </c>
      <c r="K227" s="80">
        <f t="shared" si="132"/>
        <v>2023</v>
      </c>
      <c r="L227" s="80">
        <f t="shared" si="132"/>
        <v>2024</v>
      </c>
      <c r="M227" s="80">
        <f t="shared" si="132"/>
        <v>2025</v>
      </c>
      <c r="N227" s="80">
        <f t="shared" si="132"/>
        <v>2026</v>
      </c>
      <c r="O227" s="80">
        <f t="shared" si="132"/>
        <v>2027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0</v>
      </c>
      <c r="G228" s="145">
        <f t="shared" si="133"/>
        <v>0</v>
      </c>
      <c r="H228" s="145">
        <f t="shared" si="133"/>
        <v>0</v>
      </c>
      <c r="I228" s="145">
        <f t="shared" si="133"/>
        <v>0</v>
      </c>
      <c r="J228" s="145">
        <f t="shared" si="133"/>
        <v>0</v>
      </c>
      <c r="K228" s="145">
        <f t="shared" si="133"/>
        <v>0</v>
      </c>
      <c r="L228" s="145">
        <f t="shared" si="133"/>
        <v>0</v>
      </c>
      <c r="M228" s="145">
        <f t="shared" si="133"/>
        <v>0</v>
      </c>
      <c r="N228" s="145">
        <f t="shared" si="133"/>
        <v>0</v>
      </c>
      <c r="O228" s="145">
        <f t="shared" si="133"/>
        <v>0</v>
      </c>
      <c r="P228" s="145">
        <f t="shared" si="133"/>
        <v>0</v>
      </c>
      <c r="Q228" s="145">
        <f t="shared" si="133"/>
        <v>0</v>
      </c>
      <c r="R228" s="145">
        <f t="shared" si="133"/>
        <v>0</v>
      </c>
      <c r="S228" s="145">
        <f t="shared" si="133"/>
        <v>0</v>
      </c>
      <c r="T228" s="145">
        <f t="shared" si="133"/>
        <v>0</v>
      </c>
      <c r="U228" s="145">
        <f t="shared" si="133"/>
        <v>0</v>
      </c>
      <c r="V228" s="145">
        <f t="shared" si="133"/>
        <v>0</v>
      </c>
      <c r="W228" s="145">
        <f t="shared" si="133"/>
        <v>0</v>
      </c>
      <c r="X228" s="145">
        <f t="shared" si="133"/>
        <v>0</v>
      </c>
      <c r="Y228" s="145">
        <f t="shared" si="133"/>
        <v>0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2: Replace / Install Network Devices + 4yrs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0</v>
      </c>
      <c r="H229" s="145">
        <f t="shared" si="134"/>
        <v>0</v>
      </c>
      <c r="I229" s="145">
        <f t="shared" si="134"/>
        <v>42.358704225978315</v>
      </c>
      <c r="J229" s="145">
        <f t="shared" si="134"/>
        <v>188.45914789004811</v>
      </c>
      <c r="K229" s="145">
        <f t="shared" si="134"/>
        <v>339.79183118591129</v>
      </c>
      <c r="L229" s="145">
        <f t="shared" si="134"/>
        <v>496.51416441892076</v>
      </c>
      <c r="M229" s="145">
        <f t="shared" si="134"/>
        <v>496.51416441892076</v>
      </c>
      <c r="N229" s="145">
        <f t="shared" si="134"/>
        <v>496.51416441892076</v>
      </c>
      <c r="O229" s="145">
        <f t="shared" si="134"/>
        <v>496.51416441892076</v>
      </c>
      <c r="P229" s="145">
        <f t="shared" si="134"/>
        <v>496.51416441892076</v>
      </c>
      <c r="Q229" s="145">
        <f t="shared" si="134"/>
        <v>496.51416441892076</v>
      </c>
      <c r="R229" s="145">
        <f t="shared" si="134"/>
        <v>496.51416441892076</v>
      </c>
      <c r="S229" s="145">
        <f t="shared" si="134"/>
        <v>496.51416441892076</v>
      </c>
      <c r="T229" s="145">
        <f t="shared" si="134"/>
        <v>496.51416441892076</v>
      </c>
      <c r="U229" s="145">
        <f t="shared" si="134"/>
        <v>496.51416441892076</v>
      </c>
      <c r="V229" s="145">
        <f t="shared" si="134"/>
        <v>496.51416441892076</v>
      </c>
      <c r="W229" s="145">
        <f t="shared" si="134"/>
        <v>496.51416441892076</v>
      </c>
      <c r="X229" s="145">
        <f t="shared" si="134"/>
        <v>496.51416441892076</v>
      </c>
      <c r="Y229" s="145">
        <f t="shared" si="134"/>
        <v>496.51416441892076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2: Replace / Install Network Devices + 4yrs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0</v>
      </c>
      <c r="H230" s="145">
        <f>VLOOKUP($B$238,$A$169:$Y$174,8)</f>
        <v>0</v>
      </c>
      <c r="I230" s="145">
        <f>VLOOKUP($B$238,$A$169:$Y$174,9)</f>
        <v>350.33610775286064</v>
      </c>
      <c r="J230" s="145">
        <f>VLOOKUP($B$238,$A$169:$Y$174,10)</f>
        <v>1111.9470371670907</v>
      </c>
      <c r="K230" s="145">
        <f>VLOOKUP($B$238,$A$169:$Y$174,11)</f>
        <v>1059.8774027538566</v>
      </c>
      <c r="L230" s="145">
        <f>VLOOKUP($B$238,$A$169:$Y$174,12)</f>
        <v>1010.0529043649544</v>
      </c>
      <c r="M230" s="145">
        <f>VLOOKUP($B$238,$A$169:$Y$174,13)</f>
        <v>0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0</v>
      </c>
      <c r="G235" s="145">
        <f t="shared" si="135"/>
        <v>0</v>
      </c>
      <c r="H235" s="145">
        <f t="shared" si="135"/>
        <v>0</v>
      </c>
      <c r="I235" s="145">
        <f t="shared" si="135"/>
        <v>0</v>
      </c>
      <c r="J235" s="145">
        <f t="shared" si="135"/>
        <v>0</v>
      </c>
      <c r="K235" s="145">
        <f t="shared" si="135"/>
        <v>0</v>
      </c>
      <c r="L235" s="145">
        <f t="shared" si="135"/>
        <v>0</v>
      </c>
      <c r="M235" s="145">
        <f t="shared" si="135"/>
        <v>0</v>
      </c>
      <c r="N235" s="145">
        <f t="shared" si="135"/>
        <v>0</v>
      </c>
      <c r="O235" s="145">
        <f t="shared" si="135"/>
        <v>0</v>
      </c>
      <c r="P235" s="145">
        <f t="shared" si="135"/>
        <v>0</v>
      </c>
      <c r="Q235" s="145">
        <f t="shared" si="135"/>
        <v>0</v>
      </c>
      <c r="R235" s="145">
        <f t="shared" si="135"/>
        <v>0</v>
      </c>
      <c r="S235" s="145">
        <f t="shared" si="135"/>
        <v>0</v>
      </c>
      <c r="T235" s="145">
        <f t="shared" si="135"/>
        <v>0</v>
      </c>
      <c r="U235" s="145">
        <f t="shared" si="135"/>
        <v>0</v>
      </c>
      <c r="V235" s="145">
        <f t="shared" si="135"/>
        <v>0</v>
      </c>
      <c r="W235" s="145">
        <f t="shared" si="135"/>
        <v>0</v>
      </c>
      <c r="X235" s="145">
        <f t="shared" si="135"/>
        <v>0</v>
      </c>
      <c r="Y235" s="145">
        <f t="shared" si="135"/>
        <v>0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0</v>
      </c>
      <c r="G236" s="145">
        <f t="shared" si="136"/>
        <v>0</v>
      </c>
      <c r="H236" s="145">
        <f t="shared" si="136"/>
        <v>0</v>
      </c>
      <c r="I236" s="145">
        <f t="shared" si="136"/>
        <v>0</v>
      </c>
      <c r="J236" s="145">
        <f t="shared" si="136"/>
        <v>0</v>
      </c>
      <c r="K236" s="145">
        <f t="shared" si="136"/>
        <v>0</v>
      </c>
      <c r="L236" s="145">
        <f t="shared" si="136"/>
        <v>0</v>
      </c>
      <c r="M236" s="145">
        <f t="shared" si="136"/>
        <v>0</v>
      </c>
      <c r="N236" s="145">
        <f t="shared" si="136"/>
        <v>0</v>
      </c>
      <c r="O236" s="145">
        <f t="shared" si="136"/>
        <v>0</v>
      </c>
      <c r="P236" s="145">
        <f t="shared" si="136"/>
        <v>0</v>
      </c>
      <c r="Q236" s="145">
        <f t="shared" si="136"/>
        <v>0</v>
      </c>
      <c r="R236" s="145">
        <f t="shared" si="136"/>
        <v>0</v>
      </c>
      <c r="S236" s="145">
        <f t="shared" si="136"/>
        <v>0</v>
      </c>
      <c r="T236" s="145">
        <f t="shared" si="136"/>
        <v>0</v>
      </c>
      <c r="U236" s="145">
        <f t="shared" si="136"/>
        <v>0</v>
      </c>
      <c r="V236" s="145">
        <f t="shared" si="136"/>
        <v>0</v>
      </c>
      <c r="W236" s="145">
        <f t="shared" si="136"/>
        <v>0</v>
      </c>
      <c r="X236" s="145">
        <f t="shared" si="136"/>
        <v>0</v>
      </c>
      <c r="Y236" s="145">
        <f t="shared" si="136"/>
        <v>0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6</v>
      </c>
      <c r="C238" s="80"/>
      <c r="D238" s="194" t="str">
        <f>"Recommended Case: "&amp;+D221</f>
        <v>Recommended Case: Option 2: Replace / Install Network Devices + 4yrs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0</v>
      </c>
      <c r="H239" s="145">
        <f>G239+VLOOKUP($B$238,$A$178:$Y$183,8)</f>
        <v>0</v>
      </c>
      <c r="I239" s="145">
        <f>H239+VLOOKUP($B$238,$A$178:$Y$183,9)</f>
        <v>488.5663693884465</v>
      </c>
      <c r="J239" s="145">
        <f>I239+VLOOKUP($B$238,$A$178:$Y$183,10)</f>
        <v>2173.6925938875215</v>
      </c>
      <c r="K239" s="145">
        <f>J239+VLOOKUP($B$238,$A$178:$Y$183,11)</f>
        <v>3919.1676030670278</v>
      </c>
      <c r="L239" s="145">
        <f>K239+VLOOKUP($B$238,$A$178:$Y$183,12)</f>
        <v>5726.8069713831692</v>
      </c>
      <c r="M239" s="145">
        <f>L239+VLOOKUP($B$238,$A$178:$Y$183,13)</f>
        <v>5726.8069713831692</v>
      </c>
      <c r="N239" s="145">
        <f>M239+VLOOKUP($B$238,$A$178:$Y$183,14)</f>
        <v>5726.8069713831692</v>
      </c>
      <c r="O239" s="145">
        <f>N239+VLOOKUP($B$238,$A$178:$Y$183,15)</f>
        <v>5726.8069713831692</v>
      </c>
      <c r="P239" s="145">
        <f>O239+VLOOKUP($B$238,$A$178:$Y$183,16)</f>
        <v>5726.8069713831692</v>
      </c>
      <c r="Q239" s="145">
        <f>P239+VLOOKUP($B$238,$A$178:$Y$183,17)</f>
        <v>5726.8069713831692</v>
      </c>
      <c r="R239" s="145">
        <f>Q239+VLOOKUP($B$238,$A$178:$Y$183,18)</f>
        <v>5726.8069713831692</v>
      </c>
      <c r="S239" s="145">
        <f>R239+VLOOKUP($B$238,$A$178:$Y$183,19)</f>
        <v>5726.8069713831692</v>
      </c>
      <c r="T239" s="145">
        <f>S239+VLOOKUP($B$238,$A$178:$Y$183,20)</f>
        <v>5726.8069713831692</v>
      </c>
      <c r="U239" s="145">
        <f>T239+VLOOKUP($B$238,$A$178:$Y$183,21)</f>
        <v>5726.8069713831692</v>
      </c>
      <c r="V239" s="145">
        <f>U239+VLOOKUP($B$238,$A$178:$Y$183,22)</f>
        <v>5726.8069713831692</v>
      </c>
      <c r="W239" s="145">
        <f>V239+VLOOKUP($B$238,$A$178:$Y$183,23)</f>
        <v>5726.8069713831692</v>
      </c>
      <c r="X239" s="145">
        <f>W239+VLOOKUP($B$238,$A$178:$Y$183,24)</f>
        <v>5726.8069713831692</v>
      </c>
      <c r="Y239" s="145">
        <f>X239+VLOOKUP($B$238,$A$178:$Y$183,25)</f>
        <v>5726.8069713831692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0</v>
      </c>
      <c r="H240" s="145">
        <f>H239*'Administrator Input'!$F$22</f>
        <v>0</v>
      </c>
      <c r="I240" s="145">
        <f>I239*'Administrator Input'!$F$22</f>
        <v>42.358704225978315</v>
      </c>
      <c r="J240" s="145">
        <f>J239*'Administrator Input'!$F$22</f>
        <v>188.45914789004811</v>
      </c>
      <c r="K240" s="145">
        <f>K239*'Administrator Input'!$F$22</f>
        <v>339.79183118591129</v>
      </c>
      <c r="L240" s="145">
        <f>L239*'Administrator Input'!$F$22</f>
        <v>496.51416441892076</v>
      </c>
      <c r="M240" s="145">
        <f>M239*'Administrator Input'!$F$22</f>
        <v>496.51416441892076</v>
      </c>
      <c r="N240" s="145">
        <f>N239*'Administrator Input'!$F$22</f>
        <v>496.51416441892076</v>
      </c>
      <c r="O240" s="145">
        <f>O239*'Administrator Input'!$F$22</f>
        <v>496.51416441892076</v>
      </c>
      <c r="P240" s="145">
        <f>P239*'Administrator Input'!$F$22</f>
        <v>496.51416441892076</v>
      </c>
      <c r="Q240" s="145">
        <f>Q239*'Administrator Input'!$F$22</f>
        <v>496.51416441892076</v>
      </c>
      <c r="R240" s="145">
        <f>R239*'Administrator Input'!$F$22</f>
        <v>496.51416441892076</v>
      </c>
      <c r="S240" s="145">
        <f>S239*'Administrator Input'!$F$22</f>
        <v>496.51416441892076</v>
      </c>
      <c r="T240" s="145">
        <f>T239*'Administrator Input'!$F$22</f>
        <v>496.51416441892076</v>
      </c>
      <c r="U240" s="145">
        <f>U239*'Administrator Input'!$F$22</f>
        <v>496.51416441892076</v>
      </c>
      <c r="V240" s="145">
        <f>V239*'Administrator Input'!$F$22</f>
        <v>496.51416441892076</v>
      </c>
      <c r="W240" s="145">
        <f>W239*'Administrator Input'!$F$22</f>
        <v>496.51416441892076</v>
      </c>
      <c r="X240" s="145">
        <f>X239*'Administrator Input'!$F$22</f>
        <v>496.51416441892076</v>
      </c>
      <c r="Y240" s="145">
        <f>Y239*'Administrator Input'!$F$22</f>
        <v>496.51416441892076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0</v>
      </c>
      <c r="H242" s="145">
        <f t="shared" si="137"/>
        <v>0</v>
      </c>
      <c r="I242" s="145">
        <f t="shared" si="137"/>
        <v>42.358704225978315</v>
      </c>
      <c r="J242" s="145">
        <f t="shared" si="137"/>
        <v>188.45914789004811</v>
      </c>
      <c r="K242" s="145">
        <f t="shared" si="137"/>
        <v>339.79183118591129</v>
      </c>
      <c r="L242" s="145">
        <f t="shared" si="137"/>
        <v>496.51416441892076</v>
      </c>
      <c r="M242" s="145">
        <f t="shared" si="137"/>
        <v>496.51416441892076</v>
      </c>
      <c r="N242" s="145">
        <f t="shared" si="137"/>
        <v>496.51416441892076</v>
      </c>
      <c r="O242" s="145">
        <f t="shared" si="137"/>
        <v>496.51416441892076</v>
      </c>
      <c r="P242" s="145">
        <f t="shared" si="137"/>
        <v>496.51416441892076</v>
      </c>
      <c r="Q242" s="145">
        <f t="shared" si="137"/>
        <v>496.51416441892076</v>
      </c>
      <c r="R242" s="145">
        <f t="shared" si="137"/>
        <v>496.51416441892076</v>
      </c>
      <c r="S242" s="145">
        <f t="shared" si="137"/>
        <v>496.51416441892076</v>
      </c>
      <c r="T242" s="145">
        <f t="shared" si="137"/>
        <v>496.51416441892076</v>
      </c>
      <c r="U242" s="145">
        <f t="shared" si="137"/>
        <v>496.51416441892076</v>
      </c>
      <c r="V242" s="145">
        <f t="shared" si="137"/>
        <v>496.51416441892076</v>
      </c>
      <c r="W242" s="145">
        <f t="shared" si="137"/>
        <v>496.51416441892076</v>
      </c>
      <c r="X242" s="145">
        <f t="shared" si="137"/>
        <v>496.51416441892076</v>
      </c>
      <c r="Y242" s="145">
        <f t="shared" si="137"/>
        <v>496.51416441892076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zoomScaleNormal="85" zoomScalePageLayoutView="85" workbookViewId="0"/>
  </sheetViews>
  <sheetFormatPr defaultColWidth="8.85546875" defaultRowHeight="12.75" x14ac:dyDescent="0.2"/>
  <cols>
    <col min="1" max="1" width="3.42578125" style="433" customWidth="1"/>
    <col min="2" max="2" width="3.7109375" style="1" customWidth="1"/>
    <col min="3" max="3" width="5.42578125" style="1" customWidth="1"/>
    <col min="4" max="4" width="42.140625" style="1" customWidth="1"/>
    <col min="5" max="10" width="16.42578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8.85546875" style="433"/>
    <col min="60" max="16384" width="8.8554687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1" t="s">
        <v>0</v>
      </c>
      <c r="E4" s="591" t="str">
        <f>'User Input'!E4</f>
        <v>DNSP Intelligent Network Device</v>
      </c>
      <c r="F4" s="592"/>
      <c r="G4" s="469"/>
      <c r="H4" s="593" t="s">
        <v>28</v>
      </c>
      <c r="I4" s="594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8"/>
      <c r="E5" s="498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1" t="s">
        <v>24</v>
      </c>
      <c r="E6" s="595">
        <f>'User Input'!E6</f>
        <v>2017</v>
      </c>
      <c r="F6" s="469"/>
      <c r="G6" s="469"/>
      <c r="H6" s="596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8"/>
      <c r="E7" s="498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1" t="s">
        <v>25</v>
      </c>
      <c r="E8" s="597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8" t="str">
        <f>"*"&amp;IF('Administrator Input'!D6=1,'Administrator Input'!C88,IF('Administrator Input'!D6=2,'Administrator Input'!C89))</f>
        <v>*Business WACC (Pre-tax Nominal WACC)</v>
      </c>
      <c r="E9" s="498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8"/>
      <c r="E10" s="498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1" t="s">
        <v>23</v>
      </c>
      <c r="E11" s="592" t="str">
        <f>VLOOKUP('User Input'!E8,'Administrator Input'!C92:D96,2)</f>
        <v>Discretionary (asset replacement or refurbushment)</v>
      </c>
      <c r="F11" s="592"/>
      <c r="G11" s="592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8"/>
      <c r="E12" s="469"/>
      <c r="F12" s="599"/>
      <c r="G12" s="469"/>
      <c r="H12" s="498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1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8"/>
      <c r="E14" s="469"/>
      <c r="F14" s="599"/>
      <c r="G14" s="600" t="s">
        <v>241</v>
      </c>
      <c r="H14" s="498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2" t="str">
        <f>IF('User Input'!I8=1,"Customer Initiated",0)</f>
        <v>Customer Initiated</v>
      </c>
      <c r="E15" s="603">
        <f>IF('User Input'!$I$6=Output!D15,100%,0)</f>
        <v>0</v>
      </c>
      <c r="F15" s="599"/>
      <c r="G15" s="606"/>
      <c r="H15" s="607"/>
      <c r="I15" s="603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2" t="str">
        <f>IF('User Input'!I8=1,"Demand (Reinforcement)",0)</f>
        <v>Demand (Reinforcement)</v>
      </c>
      <c r="E16" s="603">
        <f>IF('User Input'!$I$6=Output!D16,100%,0)</f>
        <v>0</v>
      </c>
      <c r="F16" s="469"/>
      <c r="G16" s="606"/>
      <c r="H16" s="608"/>
      <c r="I16" s="603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2" t="str">
        <f>IF('User Input'!I8=1,"Reliability &amp; Power Quality Maintained",0)</f>
        <v>Reliability &amp; Power Quality Maintained</v>
      </c>
      <c r="E17" s="603">
        <f>IF('User Input'!$I$6=Output!D17,100%,0)</f>
        <v>1</v>
      </c>
      <c r="F17" s="469"/>
      <c r="G17" s="606"/>
      <c r="H17" s="608"/>
      <c r="I17" s="603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2" t="str">
        <f>IF('User Input'!I8=1,"Reliability &amp; Power Quality Improved",0)</f>
        <v>Reliability &amp; Power Quality Improved</v>
      </c>
      <c r="E18" s="603">
        <f>IF('User Input'!$I$6=Output!D18,100%,0)</f>
        <v>0</v>
      </c>
      <c r="F18" s="469"/>
      <c r="G18" s="606"/>
      <c r="H18" s="608"/>
      <c r="I18" s="603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2" t="str">
        <f>IF('User Input'!I8=1,"SCADA &amp; Network Control",0)</f>
        <v>SCADA &amp; Network Control</v>
      </c>
      <c r="E19" s="603">
        <f>IF('User Input'!$I$6=Output!D19,100%,0)</f>
        <v>0</v>
      </c>
      <c r="F19" s="469"/>
      <c r="G19" s="606"/>
      <c r="H19" s="608"/>
      <c r="I19" s="603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2" t="str">
        <f>IF('User Input'!I8=1,"Environmental, Safety &amp; Legal",0)</f>
        <v>Environmental, Safety &amp; Legal</v>
      </c>
      <c r="E20" s="603">
        <f>IF('User Input'!$I$6=Output!D20,100%,0)</f>
        <v>0</v>
      </c>
      <c r="F20" s="469"/>
      <c r="G20" s="606"/>
      <c r="H20" s="608"/>
      <c r="I20" s="603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2" t="str">
        <f>IF('User Input'!I8=1,"Non-Network IT",0)</f>
        <v>Non-Network IT</v>
      </c>
      <c r="E21" s="603">
        <f>IF('User Input'!$I$6=Output!D21,100%,0)</f>
        <v>0</v>
      </c>
      <c r="F21" s="469"/>
      <c r="G21" s="606"/>
      <c r="H21" s="608"/>
      <c r="I21" s="603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2" t="str">
        <f>IF('User Input'!I8=1,"Non-Network general other",0)</f>
        <v>Non-Network general other</v>
      </c>
      <c r="E22" s="603">
        <f>IF('User Input'!$I$6=Output!D22,100%,0)</f>
        <v>0</v>
      </c>
      <c r="F22" s="469"/>
      <c r="G22" s="606"/>
      <c r="H22" s="608"/>
      <c r="I22" s="603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2" t="s">
        <v>35</v>
      </c>
      <c r="E23" s="603">
        <f>IF('User Input'!$I$6=Output!D23,100%,0)</f>
        <v>0</v>
      </c>
      <c r="F23" s="469"/>
      <c r="G23" s="606"/>
      <c r="H23" s="608"/>
      <c r="I23" s="603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09"/>
      <c r="E25" s="609"/>
      <c r="F25" s="609"/>
      <c r="G25" s="609"/>
      <c r="H25" s="609"/>
      <c r="I25" s="609"/>
      <c r="J25" s="609"/>
      <c r="K25" s="609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1" t="s">
        <v>26</v>
      </c>
      <c r="D27" s="592"/>
      <c r="E27" s="592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2" t="s">
        <v>22</v>
      </c>
      <c r="E29" s="610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2" t="s">
        <v>21</v>
      </c>
      <c r="E30" s="611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1" t="s">
        <v>74</v>
      </c>
      <c r="D32" s="592"/>
      <c r="E32" s="592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2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1" t="s">
        <v>81</v>
      </c>
      <c r="E35" s="591" t="str">
        <f>Calculations!D222</f>
        <v>Option 2: Replace / Install Network Devices</v>
      </c>
      <c r="F35" s="592"/>
      <c r="G35" s="592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3" t="s">
        <v>106</v>
      </c>
      <c r="E36" s="614">
        <f>Calculations!D221</f>
        <v>4013.9967431493333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8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173.25" x14ac:dyDescent="0.25">
      <c r="A39" s="434"/>
      <c r="B39" s="440"/>
      <c r="C39" s="469"/>
      <c r="D39" s="619" t="s">
        <v>75</v>
      </c>
      <c r="E39" s="618" t="str">
        <f>'User Input'!D24</f>
        <v>"Status Quo" Reference Case</v>
      </c>
      <c r="F39" s="618" t="str">
        <f>'User Input'!D16&amp;" "&amp;'User Input'!E16</f>
        <v>Option 1 Perform Manual Neutral Integrity where UE Meters are Removed</v>
      </c>
      <c r="G39" s="618" t="str">
        <f>'User Input'!D17&amp;" "&amp;'User Input'!E17</f>
        <v>Option 2 Replace / Install Network Devices</v>
      </c>
      <c r="H39" s="618" t="str">
        <f>'User Input'!D18&amp;" "&amp;'User Input'!E18</f>
        <v>Option 3 Replace / Install 80% Network Devices, Purchase the Remaining 20% of the AMI data and Control Functionality</v>
      </c>
      <c r="I39" s="618" t="str">
        <f>'User Input'!D19&amp;" "&amp;'User Input'!E19</f>
        <v xml:space="preserve">Option 4 </v>
      </c>
      <c r="J39" s="618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2" t="str">
        <f>Calculations!C14</f>
        <v>Capital Costs</v>
      </c>
      <c r="E40" s="620">
        <f>Calculations!D206</f>
        <v>0</v>
      </c>
      <c r="F40" s="620">
        <f>Calculations!E206</f>
        <v>5152.3035401845664</v>
      </c>
      <c r="G40" s="620">
        <f>Calculations!F206</f>
        <v>5510.9095932312866</v>
      </c>
      <c r="H40" s="620">
        <f>Calculations!G206</f>
        <v>9588.6176752320516</v>
      </c>
      <c r="I40" s="620">
        <f>Calculations!H206</f>
        <v>0</v>
      </c>
      <c r="J40" s="620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2" t="str">
        <f>Calculations!C15</f>
        <v>Maintenance Costs</v>
      </c>
      <c r="E41" s="620">
        <f>Calculations!D207</f>
        <v>0</v>
      </c>
      <c r="F41" s="620">
        <f>Calculations!E207</f>
        <v>0</v>
      </c>
      <c r="G41" s="620">
        <f>Calculations!F207</f>
        <v>0</v>
      </c>
      <c r="H41" s="620">
        <f>Calculations!G207</f>
        <v>0</v>
      </c>
      <c r="I41" s="620">
        <f>Calculations!H207</f>
        <v>0</v>
      </c>
      <c r="J41" s="620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2" t="str">
        <f>Calculations!C16</f>
        <v>Negative Impact on Revenue (STPIS)</v>
      </c>
      <c r="E42" s="620">
        <f>Calculations!D208</f>
        <v>0</v>
      </c>
      <c r="F42" s="620">
        <f>Calculations!E208</f>
        <v>0</v>
      </c>
      <c r="G42" s="620">
        <f>Calculations!F208</f>
        <v>0</v>
      </c>
      <c r="H42" s="620">
        <f>Calculations!G208</f>
        <v>0</v>
      </c>
      <c r="I42" s="620">
        <f>Calculations!H208</f>
        <v>0</v>
      </c>
      <c r="J42" s="620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2" t="str">
        <f>Calculations!C21</f>
        <v>Network Outage Costs</v>
      </c>
      <c r="E43" s="620">
        <f>Calculations!D209</f>
        <v>0</v>
      </c>
      <c r="F43" s="620">
        <f>Calculations!E209</f>
        <v>0</v>
      </c>
      <c r="G43" s="620">
        <f>Calculations!F209</f>
        <v>0</v>
      </c>
      <c r="H43" s="620">
        <f>Calculations!G209</f>
        <v>0</v>
      </c>
      <c r="I43" s="620">
        <f>Calculations!H209</f>
        <v>0</v>
      </c>
      <c r="J43" s="620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2" t="str">
        <f>Calculations!C22</f>
        <v>Loss of F Factor Benefit</v>
      </c>
      <c r="E44" s="620">
        <f>Calculations!D210</f>
        <v>0</v>
      </c>
      <c r="F44" s="620">
        <f>Calculations!E210</f>
        <v>0</v>
      </c>
      <c r="G44" s="620">
        <f>Calculations!F210</f>
        <v>0</v>
      </c>
      <c r="H44" s="620">
        <f>Calculations!G210</f>
        <v>0</v>
      </c>
      <c r="I44" s="620">
        <f>Calculations!H210</f>
        <v>0</v>
      </c>
      <c r="J44" s="620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2" t="str">
        <f>Calculations!C23</f>
        <v>Cost 1</v>
      </c>
      <c r="E45" s="620">
        <f>Calculations!D211</f>
        <v>0</v>
      </c>
      <c r="F45" s="620">
        <f>Calculations!E211</f>
        <v>18084.819774839965</v>
      </c>
      <c r="G45" s="620">
        <f>Calculations!F211</f>
        <v>0</v>
      </c>
      <c r="H45" s="620">
        <f>Calculations!G211</f>
        <v>3616.9639549679928</v>
      </c>
      <c r="I45" s="620">
        <f>Calculations!H211</f>
        <v>0</v>
      </c>
      <c r="J45" s="620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2" t="str">
        <f>Calculations!C24</f>
        <v>Cost 2</v>
      </c>
      <c r="E46" s="620">
        <f>Calculations!D212</f>
        <v>0</v>
      </c>
      <c r="F46" s="620">
        <f>Calculations!E212</f>
        <v>4696.5650428924864</v>
      </c>
      <c r="G46" s="620">
        <f>Calculations!F212</f>
        <v>0</v>
      </c>
      <c r="H46" s="620">
        <f>Calculations!G212</f>
        <v>0</v>
      </c>
      <c r="I46" s="620">
        <f>Calculations!H212</f>
        <v>0</v>
      </c>
      <c r="J46" s="620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2" t="str">
        <f>Calculations!C25</f>
        <v>Cost 3</v>
      </c>
      <c r="E47" s="620">
        <f>Calculations!D213</f>
        <v>0</v>
      </c>
      <c r="F47" s="620">
        <f>Calculations!E213</f>
        <v>0</v>
      </c>
      <c r="G47" s="620">
        <f>Calculations!F213</f>
        <v>0</v>
      </c>
      <c r="H47" s="620">
        <f>Calculations!G213</f>
        <v>0</v>
      </c>
      <c r="I47" s="620">
        <f>Calculations!H213</f>
        <v>0</v>
      </c>
      <c r="J47" s="620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2" t="str">
        <f>Calculations!C26</f>
        <v>Cost 4</v>
      </c>
      <c r="E48" s="620">
        <f>Calculations!D214</f>
        <v>0</v>
      </c>
      <c r="F48" s="620">
        <f>Calculations!E214</f>
        <v>0</v>
      </c>
      <c r="G48" s="620">
        <f>Calculations!F214</f>
        <v>0</v>
      </c>
      <c r="H48" s="620">
        <f>Calculations!G214</f>
        <v>0</v>
      </c>
      <c r="I48" s="620">
        <f>Calculations!H214</f>
        <v>0</v>
      </c>
      <c r="J48" s="620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2" t="str">
        <f>Calculations!C27</f>
        <v>Cost 5</v>
      </c>
      <c r="E49" s="620">
        <f>Calculations!D215</f>
        <v>0</v>
      </c>
      <c r="F49" s="620">
        <f>Calculations!E215</f>
        <v>0</v>
      </c>
      <c r="G49" s="620">
        <f>Calculations!F215</f>
        <v>0</v>
      </c>
      <c r="H49" s="620">
        <f>Calculations!G215</f>
        <v>0</v>
      </c>
      <c r="I49" s="620">
        <f>Calculations!H215</f>
        <v>0</v>
      </c>
      <c r="J49" s="620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7" t="s">
        <v>293</v>
      </c>
      <c r="E50" s="621">
        <f>Calculations!D216</f>
        <v>0</v>
      </c>
      <c r="F50" s="621">
        <f>Calculations!E216</f>
        <v>0</v>
      </c>
      <c r="G50" s="621">
        <f>Calculations!F216</f>
        <v>0</v>
      </c>
      <c r="H50" s="621">
        <f>Calculations!G216</f>
        <v>0</v>
      </c>
      <c r="I50" s="621">
        <f>Calculations!H216</f>
        <v>0</v>
      </c>
      <c r="J50" s="621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6" t="str">
        <f>Calculations!C33</f>
        <v>Total Costs</v>
      </c>
      <c r="E51" s="622">
        <f>Calculations!D217</f>
        <v>0</v>
      </c>
      <c r="F51" s="622">
        <f>Calculations!E217</f>
        <v>27933.688357917017</v>
      </c>
      <c r="G51" s="622">
        <f>Calculations!F217</f>
        <v>5510.9095932312866</v>
      </c>
      <c r="H51" s="622">
        <f>Calculations!G217</f>
        <v>13205.581630200044</v>
      </c>
      <c r="I51" s="622">
        <f>Calculations!H217</f>
        <v>0</v>
      </c>
      <c r="J51" s="622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2" t="s">
        <v>84</v>
      </c>
      <c r="E53" s="632" t="str">
        <f>Calculations!D219</f>
        <v xml:space="preserve"> </v>
      </c>
      <c r="F53" s="632">
        <f>Calculations!E219</f>
        <v>7290.9320694888493</v>
      </c>
      <c r="G53" s="632">
        <f>Calculations!F219</f>
        <v>4013.9967431493333</v>
      </c>
      <c r="H53" s="632">
        <f>Calculations!G219</f>
        <v>7819.2799022999197</v>
      </c>
      <c r="I53" s="632" t="str">
        <f>Calculations!H219</f>
        <v xml:space="preserve"> </v>
      </c>
      <c r="J53" s="632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5" t="s">
        <v>126</v>
      </c>
      <c r="E54" s="633" t="str">
        <f t="shared" ref="E54:J54" si="0">IF(E53=" "," ",RANK(E53,$E$53:$J$53,1))</f>
        <v xml:space="preserve"> </v>
      </c>
      <c r="F54" s="633">
        <f t="shared" si="0"/>
        <v>2</v>
      </c>
      <c r="G54" s="633">
        <f t="shared" si="0"/>
        <v>1</v>
      </c>
      <c r="H54" s="633">
        <f t="shared" si="0"/>
        <v>3</v>
      </c>
      <c r="I54" s="633" t="str">
        <f t="shared" si="0"/>
        <v xml:space="preserve"> </v>
      </c>
      <c r="J54" s="633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7"/>
      <c r="G55" s="687"/>
      <c r="H55" s="687"/>
      <c r="I55" s="687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39" t="s">
        <v>235</v>
      </c>
      <c r="E56" s="604"/>
      <c r="F56" s="629"/>
      <c r="G56" s="605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0" t="str">
        <f>'User Input'!D53</f>
        <v>Option 1: Perform Manual Neutral Integrity where UE Meters are Removed</v>
      </c>
      <c r="E57" s="626"/>
      <c r="F57" s="627"/>
      <c r="G57" s="628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0" t="str">
        <f>'User Input'!D82</f>
        <v>Option 2: Replace / Install Network Devices</v>
      </c>
      <c r="E58" s="623"/>
      <c r="F58" s="624"/>
      <c r="G58" s="625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0" t="str">
        <f>'User Input'!D111</f>
        <v>Option 3: Replace / Install 80% Network Devices, Purchase the Remaining 20% of the AMI data and Control Functionality</v>
      </c>
      <c r="E59" s="623"/>
      <c r="F59" s="624"/>
      <c r="G59" s="625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0" t="str">
        <f>'User Input'!D140</f>
        <v xml:space="preserve">Option 4: </v>
      </c>
      <c r="E60" s="623"/>
      <c r="F60" s="624"/>
      <c r="G60" s="625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0" t="str">
        <f>'User Input'!D169</f>
        <v xml:space="preserve">Option 5: </v>
      </c>
      <c r="E61" s="623"/>
      <c r="F61" s="624"/>
      <c r="G61" s="625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1" t="str">
        <f>"Timing Analysis - "&amp;+E4</f>
        <v>Timing Analysis - DNSP Intelligent Network Device</v>
      </c>
      <c r="E63" s="592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8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8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8" t="s">
        <v>93</v>
      </c>
      <c r="E86" s="469"/>
      <c r="F86" s="630">
        <f>Calculations!D198</f>
        <v>-4013.9967431493333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8" t="s">
        <v>233</v>
      </c>
      <c r="E87" s="469"/>
      <c r="F87" s="630" t="e">
        <f>E53/E36</f>
        <v>#VALUE!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8" t="s">
        <v>86</v>
      </c>
      <c r="E88" s="469"/>
      <c r="F88" s="631" t="e">
        <f>Calculations!D199</f>
        <v>#NUM!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8" t="s">
        <v>31</v>
      </c>
      <c r="E89" s="469"/>
      <c r="F89" s="630">
        <f>Calculations!D200</f>
        <v>21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1" t="s">
        <v>198</v>
      </c>
      <c r="D93" s="592"/>
      <c r="E93" s="592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173.25" x14ac:dyDescent="0.25">
      <c r="A95" s="434"/>
      <c r="B95" s="440"/>
      <c r="C95" s="469"/>
      <c r="D95" s="619" t="s">
        <v>75</v>
      </c>
      <c r="E95" s="618" t="str">
        <f t="shared" ref="E95:J95" si="1">E39</f>
        <v>"Status Quo" Reference Case</v>
      </c>
      <c r="F95" s="618" t="str">
        <f t="shared" si="1"/>
        <v>Option 1 Perform Manual Neutral Integrity where UE Meters are Removed</v>
      </c>
      <c r="G95" s="618" t="str">
        <f t="shared" si="1"/>
        <v>Option 2 Replace / Install Network Devices</v>
      </c>
      <c r="H95" s="618" t="str">
        <f t="shared" si="1"/>
        <v>Option 3 Replace / Install 80% Network Devices, Purchase the Remaining 20% of the AMI data and Control Functionality</v>
      </c>
      <c r="I95" s="618" t="str">
        <f t="shared" si="1"/>
        <v xml:space="preserve">Option 4 </v>
      </c>
      <c r="J95" s="618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2" t="str">
        <f>'Calc (Sensitivities)'!C193</f>
        <v>Capital Costs</v>
      </c>
      <c r="E96" s="620">
        <f>'Calc (Sensitivities)'!D193</f>
        <v>0</v>
      </c>
      <c r="F96" s="620">
        <f>'Calc (Sensitivities)'!E193</f>
        <v>4637.0731861661097</v>
      </c>
      <c r="G96" s="620">
        <f>'Calc (Sensitivities)'!F193</f>
        <v>4959.8186339081585</v>
      </c>
      <c r="H96" s="620">
        <f>'Calc (Sensitivities)'!G193</f>
        <v>8629.7559077088445</v>
      </c>
      <c r="I96" s="620">
        <f>'Calc (Sensitivities)'!H193</f>
        <v>0</v>
      </c>
      <c r="J96" s="620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7" t="s">
        <v>115</v>
      </c>
      <c r="E97" s="621">
        <f>SUM('Calc (Sensitivities)'!D195:D203)</f>
        <v>0</v>
      </c>
      <c r="F97" s="621">
        <f>SUM('Calc (Sensitivities)'!E195:E203)</f>
        <v>20503.246335959207</v>
      </c>
      <c r="G97" s="621">
        <f>SUM('Calc (Sensitivities)'!F195:F203)</f>
        <v>0</v>
      </c>
      <c r="H97" s="621">
        <f>SUM('Calc (Sensitivities)'!G195:G203)</f>
        <v>3255.2675594711932</v>
      </c>
      <c r="I97" s="621">
        <f>SUM('Calc (Sensitivities)'!H195:H203)</f>
        <v>0</v>
      </c>
      <c r="J97" s="621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8" t="s">
        <v>2</v>
      </c>
      <c r="E98" s="635">
        <f t="shared" ref="E98:J98" si="2">SUM(E96:E97)</f>
        <v>0</v>
      </c>
      <c r="F98" s="635">
        <f t="shared" si="2"/>
        <v>25140.319522125319</v>
      </c>
      <c r="G98" s="635">
        <f t="shared" si="2"/>
        <v>4959.8186339081585</v>
      </c>
      <c r="H98" s="635">
        <f t="shared" si="2"/>
        <v>11885.023467180037</v>
      </c>
      <c r="I98" s="635">
        <f t="shared" si="2"/>
        <v>0</v>
      </c>
      <c r="J98" s="635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1" t="s">
        <v>1</v>
      </c>
      <c r="E100" s="636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8"/>
      <c r="E101" s="637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2" t="s">
        <v>84</v>
      </c>
      <c r="E102" s="634" t="str">
        <f>'Calc (Sensitivities)'!D206</f>
        <v xml:space="preserve"> </v>
      </c>
      <c r="F102" s="634">
        <f>'Calc (Sensitivities)'!E206</f>
        <v>7568.147390789517</v>
      </c>
      <c r="G102" s="634">
        <f>'Calc (Sensitivities)'!F206</f>
        <v>3740.9735199997594</v>
      </c>
      <c r="H102" s="634">
        <f>'Calc (Sensitivities)'!G206</f>
        <v>7373.9961055069389</v>
      </c>
      <c r="I102" s="634" t="str">
        <f>'Calc (Sensitivities)'!H206</f>
        <v xml:space="preserve"> </v>
      </c>
      <c r="J102" s="634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5" t="s">
        <v>126</v>
      </c>
      <c r="E103" s="633" t="str">
        <f t="shared" ref="E103:J103" si="3">IF(E102=" "," ",RANK(E102,$E$102:$J$102,1))</f>
        <v xml:space="preserve"> </v>
      </c>
      <c r="F103" s="633">
        <f t="shared" si="3"/>
        <v>3</v>
      </c>
      <c r="G103" s="633">
        <f t="shared" si="3"/>
        <v>1</v>
      </c>
      <c r="H103" s="633">
        <f t="shared" si="3"/>
        <v>2</v>
      </c>
      <c r="I103" s="633" t="str">
        <f t="shared" si="3"/>
        <v xml:space="preserve"> </v>
      </c>
      <c r="J103" s="633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1" t="s">
        <v>202</v>
      </c>
      <c r="D105" s="592"/>
      <c r="E105" s="592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173.25" x14ac:dyDescent="0.25">
      <c r="A107" s="434"/>
      <c r="B107" s="440"/>
      <c r="C107" s="469"/>
      <c r="D107" s="619" t="s">
        <v>75</v>
      </c>
      <c r="E107" s="618" t="str">
        <f t="shared" ref="E107:J107" si="4">E39</f>
        <v>"Status Quo" Reference Case</v>
      </c>
      <c r="F107" s="618" t="str">
        <f t="shared" si="4"/>
        <v>Option 1 Perform Manual Neutral Integrity where UE Meters are Removed</v>
      </c>
      <c r="G107" s="618" t="str">
        <f t="shared" si="4"/>
        <v>Option 2 Replace / Install Network Devices</v>
      </c>
      <c r="H107" s="618" t="str">
        <f t="shared" si="4"/>
        <v>Option 3 Replace / Install 80% Network Devices, Purchase the Remaining 20% of the AMI data and Control Functionality</v>
      </c>
      <c r="I107" s="618" t="str">
        <f t="shared" si="4"/>
        <v xml:space="preserve">Option 4 </v>
      </c>
      <c r="J107" s="618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2" t="str">
        <f>'Calc (Sensitivities)'!C253</f>
        <v>Capital Costs</v>
      </c>
      <c r="E108" s="620">
        <f>'Calc (Sensitivities)'!D419</f>
        <v>0</v>
      </c>
      <c r="F108" s="620">
        <f>'Calc (Sensitivities)'!E419</f>
        <v>5667.5338942030239</v>
      </c>
      <c r="G108" s="620">
        <f>'Calc (Sensitivities)'!F419</f>
        <v>6062.0005525544157</v>
      </c>
      <c r="H108" s="620">
        <f>'Calc (Sensitivities)'!G419</f>
        <v>10547.479442755255</v>
      </c>
      <c r="I108" s="620">
        <f>'Calc (Sensitivities)'!H419</f>
        <v>0</v>
      </c>
      <c r="J108" s="620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7" t="s">
        <v>115</v>
      </c>
      <c r="E109" s="621">
        <f>SUM('Calc (Sensitivities)'!D420:D429)</f>
        <v>0</v>
      </c>
      <c r="F109" s="621">
        <f>SUM('Calc (Sensitivities)'!E420:E429)</f>
        <v>25059.523299505701</v>
      </c>
      <c r="G109" s="621">
        <f>SUM('Calc (Sensitivities)'!F420:F429)</f>
        <v>0</v>
      </c>
      <c r="H109" s="621">
        <f>SUM('Calc (Sensitivities)'!G420:G429)</f>
        <v>3978.6603504647924</v>
      </c>
      <c r="I109" s="621">
        <f>SUM('Calc (Sensitivities)'!H420:H429)</f>
        <v>0</v>
      </c>
      <c r="J109" s="621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8" t="s">
        <v>2</v>
      </c>
      <c r="E110" s="635">
        <f t="shared" ref="E110:J110" si="5">SUM(E108:E109)</f>
        <v>0</v>
      </c>
      <c r="F110" s="635">
        <f t="shared" si="5"/>
        <v>30727.057193708726</v>
      </c>
      <c r="G110" s="635">
        <f t="shared" si="5"/>
        <v>6062.0005525544157</v>
      </c>
      <c r="H110" s="635">
        <f t="shared" si="5"/>
        <v>14526.139793220047</v>
      </c>
      <c r="I110" s="635">
        <f t="shared" si="5"/>
        <v>0</v>
      </c>
      <c r="J110" s="635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1" t="s">
        <v>1</v>
      </c>
      <c r="E112" s="636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8"/>
      <c r="E113" s="637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2" t="s">
        <v>84</v>
      </c>
      <c r="E114" s="634" t="str">
        <f>'Calc (Sensitivities)'!D432</f>
        <v xml:space="preserve"> </v>
      </c>
      <c r="F114" s="634">
        <f>'Calc (Sensitivities)'!E432</f>
        <v>8389.7250405264895</v>
      </c>
      <c r="G114" s="634">
        <f>'Calc (Sensitivities)'!F432</f>
        <v>5130.430636377916</v>
      </c>
      <c r="H114" s="634">
        <f>'Calc (Sensitivities)'!G432</f>
        <v>9897.5791468173793</v>
      </c>
      <c r="I114" s="634" t="str">
        <f>'Calc (Sensitivities)'!H432</f>
        <v xml:space="preserve"> </v>
      </c>
      <c r="J114" s="634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5" t="s">
        <v>126</v>
      </c>
      <c r="E115" s="633" t="str">
        <f t="shared" ref="E115:J115" si="6">IF(E114=" "," ",RANK(E114,$E$114:$J$114,1))</f>
        <v xml:space="preserve"> </v>
      </c>
      <c r="F115" s="633">
        <f t="shared" si="6"/>
        <v>2</v>
      </c>
      <c r="G115" s="633">
        <f t="shared" si="6"/>
        <v>1</v>
      </c>
      <c r="H115" s="633">
        <f t="shared" si="6"/>
        <v>3</v>
      </c>
      <c r="I115" s="633" t="str">
        <f t="shared" si="6"/>
        <v xml:space="preserve"> </v>
      </c>
      <c r="J115" s="633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09"/>
      <c r="E118" s="609"/>
      <c r="F118" s="609"/>
      <c r="G118" s="609"/>
      <c r="H118" s="609"/>
      <c r="I118" s="609"/>
      <c r="J118" s="609"/>
      <c r="K118" s="609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1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173.25" x14ac:dyDescent="0.25">
      <c r="A122" s="434"/>
      <c r="B122" s="440"/>
      <c r="C122" s="469"/>
      <c r="D122" s="619" t="s">
        <v>75</v>
      </c>
      <c r="E122" s="618" t="str">
        <f t="shared" ref="E122:J122" si="7">E39</f>
        <v>"Status Quo" Reference Case</v>
      </c>
      <c r="F122" s="618" t="str">
        <f t="shared" si="7"/>
        <v>Option 1 Perform Manual Neutral Integrity where UE Meters are Removed</v>
      </c>
      <c r="G122" s="618" t="str">
        <f t="shared" si="7"/>
        <v>Option 2 Replace / Install Network Devices</v>
      </c>
      <c r="H122" s="618" t="str">
        <f t="shared" si="7"/>
        <v>Option 3 Replace / Install 80% Network Devices, Purchase the Remaining 20% of the AMI data and Control Functionality</v>
      </c>
      <c r="I122" s="618" t="str">
        <f t="shared" si="7"/>
        <v xml:space="preserve">Option 4 </v>
      </c>
      <c r="J122" s="618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2" t="s">
        <v>93</v>
      </c>
      <c r="E123" s="642">
        <f>'Calculations (RIT-D)'!D10</f>
        <v>0</v>
      </c>
      <c r="F123" s="642" t="str">
        <f>'Calculations (RIT-D)'!D11</f>
        <v xml:space="preserve"> </v>
      </c>
      <c r="G123" s="642" t="str">
        <f>'Calculations (RIT-D)'!D12</f>
        <v xml:space="preserve"> </v>
      </c>
      <c r="H123" s="642" t="str">
        <f>'Calculations (RIT-D)'!D13</f>
        <v xml:space="preserve"> </v>
      </c>
      <c r="I123" s="642" t="str">
        <f>'Calculations (RIT-D)'!D14</f>
        <v xml:space="preserve"> </v>
      </c>
      <c r="J123" s="642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5" t="s">
        <v>126</v>
      </c>
      <c r="E125" s="633">
        <f>'Calculations (RIT-D)'!E10</f>
        <v>1</v>
      </c>
      <c r="F125" s="633" t="str">
        <f>'Calculations (RIT-D)'!E11</f>
        <v xml:space="preserve"> </v>
      </c>
      <c r="G125" s="633" t="str">
        <f>'Calculations (RIT-D)'!E12</f>
        <v xml:space="preserve"> </v>
      </c>
      <c r="H125" s="633" t="str">
        <f>'Calculations (RIT-D)'!E13</f>
        <v xml:space="preserve"> </v>
      </c>
      <c r="I125" s="633" t="str">
        <f>'Calculations (RIT-D)'!E14</f>
        <v xml:space="preserve"> </v>
      </c>
      <c r="J125" s="633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3"/>
      <c r="E126" s="644"/>
      <c r="F126" s="644"/>
      <c r="G126" s="644"/>
      <c r="H126" s="644"/>
      <c r="I126" s="644"/>
      <c r="J126" s="644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5"/>
      <c r="D127" s="645"/>
      <c r="E127" s="645"/>
      <c r="F127" s="645"/>
      <c r="G127" s="645"/>
      <c r="H127" s="645"/>
      <c r="I127" s="645"/>
      <c r="J127" s="645"/>
      <c r="K127" s="645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0" t="str">
        <f>'User Input'!C357</f>
        <v>Version 1.3</v>
      </c>
      <c r="D128" s="459"/>
      <c r="E128" s="647" t="str">
        <f>"Date Issued : "</f>
        <v xml:space="preserve">Date Issued : </v>
      </c>
      <c r="F128" s="648">
        <f>'Version Control'!E3</f>
        <v>41956</v>
      </c>
      <c r="G128" s="647" t="str">
        <f>"Review Date : "</f>
        <v xml:space="preserve">Review Date : </v>
      </c>
      <c r="H128" s="648">
        <f>F128+365</f>
        <v>42321</v>
      </c>
      <c r="I128" s="649"/>
      <c r="J128" s="590"/>
      <c r="K128" s="646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3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bNuqf7pqYPMeYMhssUPI0XSqaWAAgof7N2cqKIhLOafN7eQ4r/TRYU1nEL+LqTKpAbq5Kpzfg9O5hsLBIoh+AQ==" saltValue="IKSmNQLFat3qZz5ZLoIEdA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zoomScalePageLayoutView="80" workbookViewId="0"/>
  </sheetViews>
  <sheetFormatPr defaultColWidth="8.85546875" defaultRowHeight="12.75" x14ac:dyDescent="0.2"/>
  <cols>
    <col min="1" max="1" width="8.85546875" style="433"/>
    <col min="2" max="3" width="4.7109375" style="433" customWidth="1"/>
    <col min="4" max="4" width="39.85546875" style="433" customWidth="1"/>
    <col min="5" max="5" width="23.42578125" style="433" customWidth="1"/>
    <col min="6" max="10" width="21" style="433" customWidth="1"/>
    <col min="11" max="12" width="4.7109375" style="433" customWidth="1"/>
    <col min="13" max="16384" width="8.85546875" style="433"/>
  </cols>
  <sheetData>
    <row r="1" spans="2:12" ht="13.5" thickBot="1" x14ac:dyDescent="0.25"/>
    <row r="2" spans="2:12" ht="18" x14ac:dyDescent="0.25">
      <c r="B2" s="662"/>
      <c r="C2" s="667"/>
      <c r="D2" s="438"/>
      <c r="E2" s="438"/>
      <c r="F2" s="438"/>
      <c r="G2" s="438"/>
      <c r="H2" s="438"/>
      <c r="I2" s="438"/>
      <c r="J2" s="438"/>
      <c r="K2" s="438"/>
      <c r="L2" s="663"/>
    </row>
    <row r="3" spans="2:12" ht="18.75" thickBot="1" x14ac:dyDescent="0.3">
      <c r="B3" s="440"/>
      <c r="C3" s="477" t="s">
        <v>258</v>
      </c>
      <c r="D3" s="479"/>
      <c r="E3" s="499" t="str">
        <f>'User Input'!E4</f>
        <v>DNSP Intelligent Network Device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1" t="s">
        <v>259</v>
      </c>
      <c r="E5" s="591"/>
      <c r="F5" s="591"/>
      <c r="G5" s="591"/>
      <c r="H5" s="591"/>
      <c r="I5" s="591"/>
      <c r="J5" s="591"/>
      <c r="K5" s="498"/>
      <c r="L5" s="441"/>
    </row>
    <row r="6" spans="2:12" ht="9" customHeight="1" x14ac:dyDescent="0.25">
      <c r="B6" s="440"/>
      <c r="C6" s="469"/>
      <c r="D6" s="498"/>
      <c r="E6" s="469"/>
      <c r="F6" s="469"/>
      <c r="G6" s="469"/>
      <c r="H6" s="469"/>
      <c r="I6" s="469"/>
      <c r="J6" s="469"/>
      <c r="K6" s="469"/>
      <c r="L6" s="441"/>
    </row>
    <row r="7" spans="2:12" ht="141.75" x14ac:dyDescent="0.25">
      <c r="B7" s="440"/>
      <c r="C7" s="469"/>
      <c r="D7" s="619"/>
      <c r="E7" s="618" t="s">
        <v>264</v>
      </c>
      <c r="F7" s="618" t="str">
        <f>"Option 1: 
"&amp;+'User Input'!E16</f>
        <v>Option 1: 
Perform Manual Neutral Integrity where UE Meters are Removed</v>
      </c>
      <c r="G7" s="618" t="str">
        <f>"Option 2: 
"&amp;+'User Input'!E17</f>
        <v>Option 2: 
Replace / Install Network Devices</v>
      </c>
      <c r="H7" s="618" t="str">
        <f>"Option 3: 
"&amp;+'User Input'!E18</f>
        <v>Option 3: 
Replace / Install 80% Network Devices, Purchase the Remaining 20% of the AMI data and Control Functionality</v>
      </c>
      <c r="I7" s="618" t="str">
        <f>"Option 4: 
"&amp;+'User Input'!E19</f>
        <v xml:space="preserve">Option 4: 
</v>
      </c>
      <c r="J7" s="618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2" t="s">
        <v>260</v>
      </c>
      <c r="E8" s="670">
        <f>'Present Value'!E9*1000</f>
        <v>0</v>
      </c>
      <c r="F8" s="670">
        <f>'Present Value'!E34*1000</f>
        <v>1676433.1411179169</v>
      </c>
      <c r="G8" s="670">
        <f>'Present Value'!E59*1000</f>
        <v>4013996.7431493332</v>
      </c>
      <c r="H8" s="670">
        <f>'Present Value'!E84*1000</f>
        <v>6968548.9095262112</v>
      </c>
      <c r="I8" s="670">
        <f>'Present Value'!E109*1000</f>
        <v>0</v>
      </c>
      <c r="J8" s="670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2" t="s">
        <v>261</v>
      </c>
      <c r="E9" s="670">
        <f>SUM('Present Value'!E10,'Present Value'!E16,'Present Value'!E18:E22)*1000</f>
        <v>0</v>
      </c>
      <c r="F9" s="670">
        <f>SUM('Present Value'!E35,'Present Value'!E41,'Present Value'!E43:E47)*1000</f>
        <v>5614498.928370934</v>
      </c>
      <c r="G9" s="670">
        <f>SUM('Present Value'!E60,'Present Value'!E66,'Present Value'!E68:E72)*1000</f>
        <v>0</v>
      </c>
      <c r="H9" s="670">
        <f>SUM('Present Value'!E85,'Present Value'!E91,'Present Value'!E93:E97)*1000</f>
        <v>850730.9927737097</v>
      </c>
      <c r="I9" s="670">
        <f>SUM('Present Value'!E110,'Present Value'!E116,'Present Value'!E118:E122)*1000</f>
        <v>0</v>
      </c>
      <c r="J9" s="670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2" t="s">
        <v>262</v>
      </c>
      <c r="E10" s="670">
        <f>'Present Value'!E11*1000</f>
        <v>0</v>
      </c>
      <c r="F10" s="670">
        <f>'Present Value'!E36*1000</f>
        <v>0</v>
      </c>
      <c r="G10" s="670">
        <f>'Present Value'!E61*1000</f>
        <v>0</v>
      </c>
      <c r="H10" s="670">
        <f>'Present Value'!E86*1000</f>
        <v>0</v>
      </c>
      <c r="I10" s="670">
        <f>'Present Value'!E111*1000</f>
        <v>0</v>
      </c>
      <c r="J10" s="670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2" t="str">
        <f>'Present Value'!D17</f>
        <v>Loss of F Factor Benefit</v>
      </c>
      <c r="E11" s="670">
        <f>'Present Value'!E17*1000</f>
        <v>0</v>
      </c>
      <c r="F11" s="670">
        <f>'Present Value'!E42*1000</f>
        <v>0</v>
      </c>
      <c r="G11" s="670">
        <f>'Present Value'!E67*1000</f>
        <v>0</v>
      </c>
      <c r="H11" s="670">
        <f>'Present Value'!E92*1000</f>
        <v>0</v>
      </c>
      <c r="I11" s="670">
        <f>'Present Value'!E117*1000</f>
        <v>0</v>
      </c>
      <c r="J11" s="670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2" t="s">
        <v>263</v>
      </c>
      <c r="E12" s="670">
        <f>SUM('Present Value'!E23:E27)*1000</f>
        <v>0</v>
      </c>
      <c r="F12" s="670">
        <f>SUM('Present Value'!E48:E52)*1000</f>
        <v>0</v>
      </c>
      <c r="G12" s="670">
        <f>SUM('Present Value'!E73:E77)*1000</f>
        <v>0</v>
      </c>
      <c r="H12" s="670">
        <f>SUM('Present Value'!E98:E102)*1000</f>
        <v>0</v>
      </c>
      <c r="I12" s="670">
        <f>SUM('Present Value'!E123:E127)*1000</f>
        <v>0</v>
      </c>
      <c r="J12" s="670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2" t="s">
        <v>317</v>
      </c>
      <c r="E13" s="670" t="str">
        <f>IF(Calculations!D219=" "," ", Calculations!D219*1000)</f>
        <v xml:space="preserve"> </v>
      </c>
      <c r="F13" s="670">
        <f>IF(Calculations!E219=" "," ", Calculations!E219*1000)</f>
        <v>7290932.0694888495</v>
      </c>
      <c r="G13" s="670">
        <f>IF(Calculations!F219=" "," ", Calculations!F219*1000)</f>
        <v>4013996.7431493332</v>
      </c>
      <c r="H13" s="670">
        <f>IF(Calculations!G219=" "," ", Calculations!G219*1000)</f>
        <v>7819279.9022999201</v>
      </c>
      <c r="I13" s="670" t="str">
        <f>IF(Calculations!H219=" "," ", Calculations!H219*1000)</f>
        <v xml:space="preserve"> </v>
      </c>
      <c r="J13" s="670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7"/>
      <c r="F14" s="677"/>
      <c r="G14" s="677"/>
      <c r="H14" s="677"/>
      <c r="I14" s="677"/>
      <c r="J14" s="677"/>
      <c r="K14" s="469"/>
      <c r="L14" s="441"/>
    </row>
    <row r="15" spans="2:12" ht="18.75" customHeight="1" x14ac:dyDescent="0.2">
      <c r="B15" s="440"/>
      <c r="C15" s="469"/>
      <c r="D15" s="615" t="s">
        <v>126</v>
      </c>
      <c r="E15" s="672" t="str">
        <f t="shared" ref="E15:J15" si="0">IF(E13=" "," ",_xlfn.RANK.EQ(E13,$E$13:$J$13,1))</f>
        <v xml:space="preserve"> </v>
      </c>
      <c r="F15" s="672">
        <f t="shared" si="0"/>
        <v>2</v>
      </c>
      <c r="G15" s="672">
        <f t="shared" si="0"/>
        <v>1</v>
      </c>
      <c r="H15" s="672">
        <f t="shared" si="0"/>
        <v>3</v>
      </c>
      <c r="I15" s="672" t="str">
        <f t="shared" si="0"/>
        <v xml:space="preserve"> </v>
      </c>
      <c r="J15" s="672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3"/>
      <c r="F16" s="673"/>
      <c r="G16" s="673"/>
      <c r="H16" s="673"/>
      <c r="I16" s="673"/>
      <c r="J16" s="673"/>
      <c r="K16" s="469"/>
      <c r="L16" s="441"/>
    </row>
    <row r="17" spans="2:12" ht="16.5" thickBot="1" x14ac:dyDescent="0.3">
      <c r="B17" s="440"/>
      <c r="C17" s="469"/>
      <c r="D17" s="591" t="s">
        <v>269</v>
      </c>
      <c r="E17" s="591"/>
      <c r="F17" s="591"/>
      <c r="G17" s="591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1" t="s">
        <v>265</v>
      </c>
      <c r="E19" s="711" t="s">
        <v>266</v>
      </c>
      <c r="F19" s="711"/>
      <c r="G19" s="669" t="s">
        <v>297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8" t="s">
        <v>267</v>
      </c>
      <c r="E20" s="710"/>
      <c r="F20" s="710"/>
      <c r="G20" s="670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8" t="s">
        <v>268</v>
      </c>
      <c r="E21" s="710"/>
      <c r="F21" s="710"/>
      <c r="G21" s="670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8" t="s">
        <v>270</v>
      </c>
      <c r="E22" s="710" t="str">
        <f>TEXT('User Input'!F31,"0.00")&amp;" (minutes per annum)"</f>
        <v>0.00 (minutes per annum)</v>
      </c>
      <c r="F22" s="710"/>
      <c r="G22" s="670">
        <f>'Present Value'!E13*1000</f>
        <v>0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8" t="s">
        <v>276</v>
      </c>
      <c r="E23" s="710" t="str">
        <f>TEXT('User Input'!F30,"0.000")&amp;" (Interuptions per annum)"</f>
        <v>0.000 (Interuptions per annum)</v>
      </c>
      <c r="F23" s="710"/>
      <c r="G23" s="670">
        <f>'Present Value'!E12*1000</f>
        <v>0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8" t="s">
        <v>277</v>
      </c>
      <c r="E24" s="710" t="str">
        <f>TEXT('User Input'!F32,"0.000")&amp;" (Interuptions per annum)"</f>
        <v>0.000 (Interuptions per annum)</v>
      </c>
      <c r="F24" s="710"/>
      <c r="G24" s="670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8" t="s">
        <v>295</v>
      </c>
      <c r="E25" s="710" t="str">
        <f>TEXT('Administrator Input'!$F$49*1000,"$#,##0")&amp;" per min"</f>
        <v>$56,500 per min</v>
      </c>
      <c r="F25" s="710"/>
      <c r="G25" s="670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8" t="s">
        <v>296</v>
      </c>
      <c r="E26" s="712" t="s">
        <v>298</v>
      </c>
      <c r="F26" s="713"/>
      <c r="G26" s="670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8" t="s">
        <v>271</v>
      </c>
      <c r="E27" s="710"/>
      <c r="F27" s="710"/>
      <c r="G27" s="670">
        <f>SUM('Present Value'!E18:E22)*1000</f>
        <v>0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2" t="s">
        <v>263</v>
      </c>
      <c r="E28" s="710"/>
      <c r="F28" s="710"/>
      <c r="G28" s="670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1" t="str">
        <f>"Project Costs - Option 1: "&amp;+'User Input'!E16</f>
        <v>Project Costs - Option 1: Perform Manual Neutral Integrity where UE Meters are Removed</v>
      </c>
      <c r="E30" s="591"/>
      <c r="F30" s="591"/>
      <c r="G30" s="591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1" t="s">
        <v>265</v>
      </c>
      <c r="E32" s="711" t="s">
        <v>266</v>
      </c>
      <c r="F32" s="711"/>
      <c r="G32" s="678" t="s">
        <v>297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8" t="s">
        <v>267</v>
      </c>
      <c r="E33" s="710"/>
      <c r="F33" s="710"/>
      <c r="G33" s="670">
        <f>'Present Value'!E34*1000</f>
        <v>1676433.1411179169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8" t="s">
        <v>268</v>
      </c>
      <c r="E34" s="710"/>
      <c r="F34" s="710"/>
      <c r="G34" s="670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8" t="s">
        <v>270</v>
      </c>
      <c r="E35" s="710" t="str">
        <f>TEXT('User Input'!F60,"0.00")&amp;" (minutes per annum)"</f>
        <v>0.00 (minutes per annum)</v>
      </c>
      <c r="F35" s="710"/>
      <c r="G35" s="670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8" t="s">
        <v>276</v>
      </c>
      <c r="E36" s="710" t="str">
        <f>TEXT('User Input'!F59,"0.000")&amp;" (Interuptions per annum)"</f>
        <v>0.000 (Interuptions per annum)</v>
      </c>
      <c r="F36" s="710"/>
      <c r="G36" s="670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8" t="s">
        <v>277</v>
      </c>
      <c r="E37" s="710" t="str">
        <f>TEXT('User Input'!F61,"0.000")&amp;" (Interuptions per annum)"</f>
        <v>0.000 (Interuptions per annum)</v>
      </c>
      <c r="F37" s="710"/>
      <c r="G37" s="670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8" t="s">
        <v>295</v>
      </c>
      <c r="E38" s="710" t="str">
        <f>TEXT('Administrator Input'!$F$49*1000,"$#,##0")&amp;" per min"</f>
        <v>$56,500 per min</v>
      </c>
      <c r="F38" s="710"/>
      <c r="G38" s="670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8" t="s">
        <v>296</v>
      </c>
      <c r="E39" s="712" t="s">
        <v>298</v>
      </c>
      <c r="F39" s="713"/>
      <c r="G39" s="670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8" t="s">
        <v>271</v>
      </c>
      <c r="E40" s="714"/>
      <c r="F40" s="715"/>
      <c r="G40" s="670">
        <f>SUM('Present Value'!E43:E47)*1000</f>
        <v>5614498.928370934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8" t="s">
        <v>263</v>
      </c>
      <c r="E41" s="710"/>
      <c r="F41" s="710"/>
      <c r="G41" s="670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1" t="str">
        <f>"Project Costs - Option 2: "&amp;+'User Input'!E17</f>
        <v>Project Costs - Option 2: Replace / Install Network Devices</v>
      </c>
      <c r="E43" s="591"/>
      <c r="F43" s="591"/>
      <c r="G43" s="591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1" t="s">
        <v>265</v>
      </c>
      <c r="E45" s="711" t="s">
        <v>266</v>
      </c>
      <c r="F45" s="711"/>
      <c r="G45" s="678" t="s">
        <v>297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8" t="s">
        <v>267</v>
      </c>
      <c r="E46" s="710"/>
      <c r="F46" s="710"/>
      <c r="G46" s="670">
        <f>'Present Value'!E59*1000</f>
        <v>4013996.7431493332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8" t="s">
        <v>268</v>
      </c>
      <c r="E47" s="710"/>
      <c r="F47" s="710"/>
      <c r="G47" s="670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8" t="s">
        <v>270</v>
      </c>
      <c r="E48" s="710" t="str">
        <f>TEXT('User Input'!F89,"0.00")&amp;" (minutes per annum)"</f>
        <v>0.00 (minutes per annum)</v>
      </c>
      <c r="F48" s="710"/>
      <c r="G48" s="670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8" t="s">
        <v>276</v>
      </c>
      <c r="E49" s="710" t="str">
        <f>TEXT('User Input'!F88,"0.000")&amp;" (Interuptions per annum)"</f>
        <v>0.000 (Interuptions per annum)</v>
      </c>
      <c r="F49" s="710"/>
      <c r="G49" s="670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8" t="s">
        <v>277</v>
      </c>
      <c r="E50" s="710" t="str">
        <f>TEXT('User Input'!F90,"0.000")&amp;" (Interuptions per annum)"</f>
        <v>0.000 (Interuptions per annum)</v>
      </c>
      <c r="F50" s="710"/>
      <c r="G50" s="670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8" t="s">
        <v>271</v>
      </c>
      <c r="E51" s="710" t="str">
        <f>TEXT('Administrator Input'!$F$49*1000,"$#,##0")&amp;" per min"</f>
        <v>$56,500 per min</v>
      </c>
      <c r="F51" s="710"/>
      <c r="G51" s="670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8" t="s">
        <v>296</v>
      </c>
      <c r="E52" s="712" t="s">
        <v>298</v>
      </c>
      <c r="F52" s="713"/>
      <c r="G52" s="670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8" t="s">
        <v>271</v>
      </c>
      <c r="E53" s="714"/>
      <c r="F53" s="715"/>
      <c r="G53" s="670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8" t="s">
        <v>263</v>
      </c>
      <c r="E54" s="710"/>
      <c r="F54" s="710"/>
      <c r="G54" s="670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1" t="str">
        <f>"Project Costs - Option 3: "&amp;+'User Input'!E18</f>
        <v>Project Costs - Option 3: Replace / Install 80% Network Devices, Purchase the Remaining 20% of the AMI data and Control Functionality</v>
      </c>
      <c r="E56" s="591"/>
      <c r="F56" s="591"/>
      <c r="G56" s="591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1" t="s">
        <v>265</v>
      </c>
      <c r="E58" s="711" t="s">
        <v>266</v>
      </c>
      <c r="F58" s="711"/>
      <c r="G58" s="678" t="s">
        <v>297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8" t="s">
        <v>267</v>
      </c>
      <c r="E59" s="710"/>
      <c r="F59" s="710"/>
      <c r="G59" s="670">
        <f>'Present Value'!E84*1000</f>
        <v>6968548.9095262112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8" t="s">
        <v>268</v>
      </c>
      <c r="E60" s="710"/>
      <c r="F60" s="710"/>
      <c r="G60" s="670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8" t="s">
        <v>270</v>
      </c>
      <c r="E61" s="710" t="str">
        <f>TEXT('User Input'!F118,"0.00")&amp;" (minutes per annum)"</f>
        <v>0.00 (minutes per annum)</v>
      </c>
      <c r="F61" s="710"/>
      <c r="G61" s="670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8" t="s">
        <v>276</v>
      </c>
      <c r="E62" s="710" t="str">
        <f>TEXT('User Input'!F117,"0.000")&amp;" (Interuptions per annum)"</f>
        <v>0.000 (Interuptions per annum)</v>
      </c>
      <c r="F62" s="710"/>
      <c r="G62" s="670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8" t="s">
        <v>277</v>
      </c>
      <c r="E63" s="710" t="str">
        <f>TEXT('User Input'!F119,"0.000")&amp;" (Interuptions per annum)"</f>
        <v>0.000 (Interuptions per annum)</v>
      </c>
      <c r="F63" s="710"/>
      <c r="G63" s="670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8" t="s">
        <v>271</v>
      </c>
      <c r="E64" s="710" t="str">
        <f>TEXT('Administrator Input'!$F$49*1000,"$#,##0")&amp;" per min"</f>
        <v>$56,500 per min</v>
      </c>
      <c r="F64" s="710"/>
      <c r="G64" s="670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8" t="s">
        <v>296</v>
      </c>
      <c r="E65" s="712" t="s">
        <v>298</v>
      </c>
      <c r="F65" s="713"/>
      <c r="G65" s="670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8" t="s">
        <v>271</v>
      </c>
      <c r="E66" s="714"/>
      <c r="F66" s="715"/>
      <c r="G66" s="670">
        <f>SUM('Present Value'!E93:E97)*1000</f>
        <v>850730.9927737097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8" t="s">
        <v>263</v>
      </c>
      <c r="E67" s="710"/>
      <c r="F67" s="710"/>
      <c r="G67" s="670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1" t="str">
        <f>"Project Costs - Option 4: "&amp;+'User Input'!E19</f>
        <v xml:space="preserve">Project Costs - Option 4: </v>
      </c>
      <c r="E69" s="591"/>
      <c r="F69" s="591"/>
      <c r="G69" s="591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1" t="s">
        <v>265</v>
      </c>
      <c r="E71" s="711" t="s">
        <v>266</v>
      </c>
      <c r="F71" s="711"/>
      <c r="G71" s="678" t="s">
        <v>297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8" t="s">
        <v>267</v>
      </c>
      <c r="E72" s="710"/>
      <c r="F72" s="710"/>
      <c r="G72" s="670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8" t="s">
        <v>268</v>
      </c>
      <c r="E73" s="710"/>
      <c r="F73" s="710"/>
      <c r="G73" s="670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8" t="s">
        <v>270</v>
      </c>
      <c r="E74" s="710" t="str">
        <f>TEXT('User Input'!F147,"0.00")&amp;" (minutes per annum)"</f>
        <v>0.00 (minutes per annum)</v>
      </c>
      <c r="F74" s="710"/>
      <c r="G74" s="670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8" t="s">
        <v>276</v>
      </c>
      <c r="E75" s="710" t="str">
        <f>TEXT('User Input'!F146,"0.000")&amp;" (Interuptions per annum)"</f>
        <v>0.000 (Interuptions per annum)</v>
      </c>
      <c r="F75" s="710"/>
      <c r="G75" s="670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8" t="s">
        <v>277</v>
      </c>
      <c r="E76" s="710" t="str">
        <f>TEXT('User Input'!F148,"0.000")&amp;" (Interuptions per annum)"</f>
        <v>0.000 (Interuptions per annum)</v>
      </c>
      <c r="F76" s="710"/>
      <c r="G76" s="670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8" t="s">
        <v>271</v>
      </c>
      <c r="E77" s="710" t="str">
        <f>TEXT('Administrator Input'!$F$49*1000,"$#,##0")&amp;" per min"</f>
        <v>$56,500 per min</v>
      </c>
      <c r="F77" s="710"/>
      <c r="G77" s="670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8" t="s">
        <v>296</v>
      </c>
      <c r="E78" s="712" t="s">
        <v>298</v>
      </c>
      <c r="F78" s="713"/>
      <c r="G78" s="670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8" t="s">
        <v>271</v>
      </c>
      <c r="E79" s="714"/>
      <c r="F79" s="715"/>
      <c r="G79" s="670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8" t="s">
        <v>263</v>
      </c>
      <c r="E80" s="710"/>
      <c r="F80" s="710"/>
      <c r="G80" s="670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1" t="str">
        <f>"Project Costs - Option 5: "&amp;+'User Input'!E20</f>
        <v xml:space="preserve">Project Costs - Option 5: </v>
      </c>
      <c r="E82" s="591"/>
      <c r="F82" s="591"/>
      <c r="G82" s="591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1" t="s">
        <v>265</v>
      </c>
      <c r="E84" s="711" t="s">
        <v>266</v>
      </c>
      <c r="F84" s="711"/>
      <c r="G84" s="678" t="s">
        <v>297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8" t="s">
        <v>267</v>
      </c>
      <c r="E85" s="710"/>
      <c r="F85" s="710"/>
      <c r="G85" s="670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8" t="s">
        <v>268</v>
      </c>
      <c r="E86" s="710"/>
      <c r="F86" s="710"/>
      <c r="G86" s="670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8" t="s">
        <v>270</v>
      </c>
      <c r="E87" s="710" t="str">
        <f>TEXT('User Input'!F176,"0.00")&amp;" (minutes per annum)"</f>
        <v>0.00 (minutes per annum)</v>
      </c>
      <c r="F87" s="710"/>
      <c r="G87" s="670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8" t="s">
        <v>276</v>
      </c>
      <c r="E88" s="710" t="str">
        <f>TEXT('User Input'!F175,"0.000")&amp;" (Interuptions per annum)"</f>
        <v>0.000 (Interuptions per annum)</v>
      </c>
      <c r="F88" s="710"/>
      <c r="G88" s="670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8" t="s">
        <v>277</v>
      </c>
      <c r="E89" s="710" t="str">
        <f>TEXT('User Input'!F177,"0.000")&amp;" (Interuptions per annum)"</f>
        <v>0.000 (Interuptions per annum)</v>
      </c>
      <c r="F89" s="710"/>
      <c r="G89" s="670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8" t="s">
        <v>271</v>
      </c>
      <c r="E90" s="710" t="str">
        <f>TEXT('Administrator Input'!$F$49*1000,"$#,##0")&amp;" per min"</f>
        <v>$56,500 per min</v>
      </c>
      <c r="F90" s="710"/>
      <c r="G90" s="670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8" t="s">
        <v>296</v>
      </c>
      <c r="E91" s="712" t="s">
        <v>298</v>
      </c>
      <c r="F91" s="713"/>
      <c r="G91" s="670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8" t="s">
        <v>271</v>
      </c>
      <c r="E92" s="714"/>
      <c r="F92" s="715"/>
      <c r="G92" s="670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8" t="s">
        <v>263</v>
      </c>
      <c r="E93" s="710"/>
      <c r="F93" s="710"/>
      <c r="G93" s="670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4"/>
      <c r="C125" s="665"/>
      <c r="D125" s="665"/>
      <c r="E125" s="665"/>
      <c r="F125" s="665"/>
      <c r="G125" s="665"/>
      <c r="H125" s="665"/>
      <c r="I125" s="665"/>
      <c r="J125" s="665"/>
      <c r="K125" s="665"/>
      <c r="L125" s="666"/>
    </row>
  </sheetData>
  <mergeCells count="60"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  <mergeCell ref="E27:F27"/>
    <mergeCell ref="E28:F28"/>
    <mergeCell ref="E26:F26"/>
    <mergeCell ref="E39:F39"/>
    <mergeCell ref="E40:F40"/>
    <mergeCell ref="E61:F61"/>
    <mergeCell ref="E64:F64"/>
    <mergeCell ref="E71:F71"/>
    <mergeCell ref="E72:F72"/>
    <mergeCell ref="E73:F73"/>
    <mergeCell ref="E62:F62"/>
    <mergeCell ref="E63:F63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</mergeCells>
  <pageMargins left="0.70866141732283472" right="0.70866141732283472" top="0.74803149606299213" bottom="0.74803149606299213" header="0.31496062992125984" footer="0.31496062992125984"/>
  <pageSetup paperSize="8" scale="5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ColWidth="8.85546875" defaultRowHeight="12.75" x14ac:dyDescent="0.2"/>
  <cols>
    <col min="1" max="1" width="3.140625" style="433" customWidth="1"/>
    <col min="2" max="2" width="3.140625" style="512" customWidth="1"/>
    <col min="3" max="3" width="3.140625" customWidth="1"/>
    <col min="4" max="4" width="36.7109375" customWidth="1"/>
    <col min="5" max="26" width="14.28515625" customWidth="1"/>
    <col min="27" max="28" width="3.140625" style="512" customWidth="1"/>
    <col min="29" max="535" width="8.85546875" style="433"/>
  </cols>
  <sheetData>
    <row r="1" spans="3:45" s="433" customFormat="1" x14ac:dyDescent="0.2"/>
    <row r="2" spans="3:45" ht="16.5" customHeight="1" x14ac:dyDescent="0.2"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</row>
    <row r="3" spans="3:45" ht="16.5" customHeight="1" x14ac:dyDescent="0.25">
      <c r="C3" s="512"/>
      <c r="D3" s="650" t="s">
        <v>255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</row>
    <row r="4" spans="3:45" ht="16.5" customHeight="1" x14ac:dyDescent="0.2"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</row>
    <row r="5" spans="3:45" ht="16.5" customHeight="1" x14ac:dyDescent="0.25">
      <c r="C5" s="512"/>
      <c r="D5" s="650" t="str">
        <f>'User Input'!D24</f>
        <v>"Status Quo" Reference Case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</row>
    <row r="6" spans="3:45" ht="16.5" customHeight="1" x14ac:dyDescent="0.25">
      <c r="C6" s="512"/>
      <c r="D6" s="498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</row>
    <row r="7" spans="3:45" ht="16.5" customHeight="1" x14ac:dyDescent="0.25">
      <c r="C7" s="512"/>
      <c r="D7" s="653"/>
      <c r="E7" s="716"/>
      <c r="F7" s="716"/>
      <c r="G7" s="716"/>
      <c r="H7" s="716"/>
      <c r="I7" s="716"/>
      <c r="J7" s="716"/>
      <c r="K7" s="716"/>
      <c r="L7" s="716"/>
      <c r="M7" s="716"/>
      <c r="N7" s="716"/>
      <c r="O7" s="716"/>
      <c r="P7" s="716"/>
      <c r="Q7" s="716"/>
      <c r="R7" s="716"/>
      <c r="S7" s="716"/>
      <c r="T7" s="716"/>
      <c r="U7" s="716"/>
      <c r="V7" s="716"/>
      <c r="W7" s="716"/>
      <c r="X7" s="716"/>
      <c r="Y7" s="716"/>
      <c r="Z7" s="716"/>
    </row>
    <row r="8" spans="3:45" ht="16.5" customHeight="1" x14ac:dyDescent="0.25">
      <c r="C8" s="512"/>
      <c r="D8" s="653"/>
      <c r="E8" s="654" t="s">
        <v>254</v>
      </c>
      <c r="F8" s="654">
        <f>'User Input'!$E$6</f>
        <v>2017</v>
      </c>
      <c r="G8" s="654">
        <f>F8+1</f>
        <v>2018</v>
      </c>
      <c r="H8" s="654">
        <f t="shared" ref="H8:Z8" si="0">G8+1</f>
        <v>2019</v>
      </c>
      <c r="I8" s="654">
        <f t="shared" si="0"/>
        <v>2020</v>
      </c>
      <c r="J8" s="654">
        <f t="shared" si="0"/>
        <v>2021</v>
      </c>
      <c r="K8" s="654">
        <f t="shared" si="0"/>
        <v>2022</v>
      </c>
      <c r="L8" s="654">
        <f t="shared" si="0"/>
        <v>2023</v>
      </c>
      <c r="M8" s="654">
        <f t="shared" si="0"/>
        <v>2024</v>
      </c>
      <c r="N8" s="654">
        <f t="shared" si="0"/>
        <v>2025</v>
      </c>
      <c r="O8" s="654">
        <f t="shared" si="0"/>
        <v>2026</v>
      </c>
      <c r="P8" s="654">
        <f t="shared" si="0"/>
        <v>2027</v>
      </c>
      <c r="Q8" s="654">
        <f t="shared" si="0"/>
        <v>2028</v>
      </c>
      <c r="R8" s="654">
        <f t="shared" si="0"/>
        <v>2029</v>
      </c>
      <c r="S8" s="654">
        <f t="shared" si="0"/>
        <v>2030</v>
      </c>
      <c r="T8" s="654">
        <f t="shared" si="0"/>
        <v>2031</v>
      </c>
      <c r="U8" s="654">
        <f t="shared" si="0"/>
        <v>2032</v>
      </c>
      <c r="V8" s="654">
        <f t="shared" si="0"/>
        <v>2033</v>
      </c>
      <c r="W8" s="654">
        <f t="shared" si="0"/>
        <v>2034</v>
      </c>
      <c r="X8" s="654">
        <f t="shared" si="0"/>
        <v>2035</v>
      </c>
      <c r="Y8" s="654">
        <f t="shared" si="0"/>
        <v>2036</v>
      </c>
      <c r="Z8" s="654">
        <f t="shared" si="0"/>
        <v>2037</v>
      </c>
      <c r="AA8" s="651"/>
      <c r="AB8" s="651"/>
      <c r="AC8" s="657"/>
      <c r="AD8" s="657"/>
      <c r="AE8" s="657"/>
      <c r="AF8" s="657"/>
      <c r="AG8" s="657"/>
      <c r="AH8" s="657"/>
      <c r="AI8" s="657"/>
      <c r="AJ8" s="657"/>
      <c r="AK8" s="657"/>
      <c r="AL8" s="657"/>
      <c r="AM8" s="657"/>
      <c r="AN8" s="657"/>
      <c r="AO8" s="657"/>
      <c r="AP8" s="657"/>
      <c r="AQ8" s="657"/>
      <c r="AR8" s="657"/>
      <c r="AS8" s="657"/>
    </row>
    <row r="9" spans="3:45" ht="16.5" customHeight="1" x14ac:dyDescent="0.2">
      <c r="C9" s="512"/>
      <c r="D9" s="655" t="str">
        <f>Calculations!C14</f>
        <v>Capital Costs</v>
      </c>
      <c r="E9" s="656">
        <f>SUM(F9:Z9)</f>
        <v>0</v>
      </c>
      <c r="F9" s="658">
        <f>Calculations!E14/Calculations!E$9</f>
        <v>0</v>
      </c>
      <c r="G9" s="658">
        <f>Calculations!F14/Calculations!F$9</f>
        <v>0</v>
      </c>
      <c r="H9" s="658">
        <f>Calculations!G14/Calculations!G$9</f>
        <v>0</v>
      </c>
      <c r="I9" s="658">
        <f>Calculations!H14/Calculations!H$9</f>
        <v>0</v>
      </c>
      <c r="J9" s="658">
        <f>Calculations!I14/Calculations!I$9</f>
        <v>0</v>
      </c>
      <c r="K9" s="658">
        <f>Calculations!J14/Calculations!J$9</f>
        <v>0</v>
      </c>
      <c r="L9" s="658">
        <f>Calculations!K14/Calculations!K$9</f>
        <v>0</v>
      </c>
      <c r="M9" s="658">
        <f>Calculations!L14/Calculations!L$9</f>
        <v>0</v>
      </c>
      <c r="N9" s="658">
        <f>Calculations!M14/Calculations!M$9</f>
        <v>0</v>
      </c>
      <c r="O9" s="658">
        <f>Calculations!N14/Calculations!N$9</f>
        <v>0</v>
      </c>
      <c r="P9" s="658">
        <f>Calculations!O14/Calculations!O$9</f>
        <v>0</v>
      </c>
      <c r="Q9" s="658">
        <f>Calculations!P14/Calculations!P$9</f>
        <v>0</v>
      </c>
      <c r="R9" s="658">
        <f>Calculations!Q14/Calculations!Q$9</f>
        <v>0</v>
      </c>
      <c r="S9" s="658">
        <f>Calculations!R14/Calculations!R$9</f>
        <v>0</v>
      </c>
      <c r="T9" s="658">
        <f>Calculations!S14/Calculations!S$9</f>
        <v>0</v>
      </c>
      <c r="U9" s="658">
        <f>Calculations!T14/Calculations!T$9</f>
        <v>0</v>
      </c>
      <c r="V9" s="658">
        <f>Calculations!U14/Calculations!U$9</f>
        <v>0</v>
      </c>
      <c r="W9" s="658">
        <f>Calculations!V14/Calculations!V$9</f>
        <v>0</v>
      </c>
      <c r="X9" s="658">
        <f>Calculations!W14/Calculations!W$9</f>
        <v>0</v>
      </c>
      <c r="Y9" s="658">
        <f>Calculations!X14/Calculations!X$9</f>
        <v>0</v>
      </c>
      <c r="Z9" s="658">
        <f>Calculations!Y14/Calculations!Y$9</f>
        <v>0</v>
      </c>
    </row>
    <row r="10" spans="3:45" ht="16.5" customHeight="1" x14ac:dyDescent="0.2">
      <c r="C10" s="512"/>
      <c r="D10" s="655" t="str">
        <f>Calculations!C15</f>
        <v>Maintenance Costs</v>
      </c>
      <c r="E10" s="656">
        <f>SUM(F10:Z10)</f>
        <v>0</v>
      </c>
      <c r="F10" s="658">
        <f>Calculations!E15/Calculations!E$9</f>
        <v>0</v>
      </c>
      <c r="G10" s="658">
        <f>Calculations!F15/Calculations!F$9</f>
        <v>0</v>
      </c>
      <c r="H10" s="658">
        <f>Calculations!G15/Calculations!G$9</f>
        <v>0</v>
      </c>
      <c r="I10" s="658">
        <f>Calculations!H15/Calculations!H$9</f>
        <v>0</v>
      </c>
      <c r="J10" s="658">
        <f>Calculations!I15/Calculations!I$9</f>
        <v>0</v>
      </c>
      <c r="K10" s="658">
        <f>Calculations!J15/Calculations!J$9</f>
        <v>0</v>
      </c>
      <c r="L10" s="658">
        <f>Calculations!K15/Calculations!K$9</f>
        <v>0</v>
      </c>
      <c r="M10" s="658">
        <f>Calculations!L15/Calculations!L$9</f>
        <v>0</v>
      </c>
      <c r="N10" s="658">
        <f>Calculations!M15/Calculations!M$9</f>
        <v>0</v>
      </c>
      <c r="O10" s="658">
        <f>Calculations!N15/Calculations!N$9</f>
        <v>0</v>
      </c>
      <c r="P10" s="658">
        <f>Calculations!O15/Calculations!O$9</f>
        <v>0</v>
      </c>
      <c r="Q10" s="658">
        <f>Calculations!P15/Calculations!P$9</f>
        <v>0</v>
      </c>
      <c r="R10" s="658">
        <f>Calculations!Q15/Calculations!Q$9</f>
        <v>0</v>
      </c>
      <c r="S10" s="658">
        <f>Calculations!R15/Calculations!R$9</f>
        <v>0</v>
      </c>
      <c r="T10" s="658">
        <f>Calculations!S15/Calculations!S$9</f>
        <v>0</v>
      </c>
      <c r="U10" s="658">
        <f>Calculations!T15/Calculations!T$9</f>
        <v>0</v>
      </c>
      <c r="V10" s="658">
        <f>Calculations!U15/Calculations!U$9</f>
        <v>0</v>
      </c>
      <c r="W10" s="658">
        <f>Calculations!V15/Calculations!V$9</f>
        <v>0</v>
      </c>
      <c r="X10" s="658">
        <f>Calculations!W15/Calculations!W$9</f>
        <v>0</v>
      </c>
      <c r="Y10" s="658">
        <f>Calculations!X15/Calculations!X$9</f>
        <v>0</v>
      </c>
      <c r="Z10" s="658">
        <f>Calculations!Y15/Calculations!Y$9</f>
        <v>0</v>
      </c>
    </row>
    <row r="11" spans="3:45" ht="16.5" customHeight="1" x14ac:dyDescent="0.2">
      <c r="C11" s="512"/>
      <c r="D11" s="655" t="str">
        <f>Calculations!C16</f>
        <v>Negative Impact on Revenue (STPIS)</v>
      </c>
      <c r="E11" s="656">
        <f>SUM(E12:E15)</f>
        <v>0</v>
      </c>
      <c r="F11" s="656">
        <f t="shared" ref="F11:Z11" si="1">SUM(F12:F15)</f>
        <v>0</v>
      </c>
      <c r="G11" s="656">
        <f t="shared" si="1"/>
        <v>0</v>
      </c>
      <c r="H11" s="656">
        <f t="shared" si="1"/>
        <v>0</v>
      </c>
      <c r="I11" s="656">
        <f t="shared" si="1"/>
        <v>0</v>
      </c>
      <c r="J11" s="656">
        <f t="shared" si="1"/>
        <v>0</v>
      </c>
      <c r="K11" s="656">
        <f t="shared" si="1"/>
        <v>0</v>
      </c>
      <c r="L11" s="656">
        <f t="shared" si="1"/>
        <v>0</v>
      </c>
      <c r="M11" s="656">
        <f t="shared" si="1"/>
        <v>0</v>
      </c>
      <c r="N11" s="656">
        <f t="shared" si="1"/>
        <v>0</v>
      </c>
      <c r="O11" s="656">
        <f t="shared" si="1"/>
        <v>0</v>
      </c>
      <c r="P11" s="656">
        <f t="shared" si="1"/>
        <v>0</v>
      </c>
      <c r="Q11" s="656">
        <f t="shared" si="1"/>
        <v>0</v>
      </c>
      <c r="R11" s="656">
        <f t="shared" si="1"/>
        <v>0</v>
      </c>
      <c r="S11" s="656">
        <f t="shared" si="1"/>
        <v>0</v>
      </c>
      <c r="T11" s="656">
        <f t="shared" si="1"/>
        <v>0</v>
      </c>
      <c r="U11" s="656">
        <f t="shared" si="1"/>
        <v>0</v>
      </c>
      <c r="V11" s="656">
        <f t="shared" si="1"/>
        <v>0</v>
      </c>
      <c r="W11" s="656">
        <f t="shared" si="1"/>
        <v>0</v>
      </c>
      <c r="X11" s="656">
        <f t="shared" si="1"/>
        <v>0</v>
      </c>
      <c r="Y11" s="656">
        <f t="shared" si="1"/>
        <v>0</v>
      </c>
      <c r="Z11" s="656">
        <f t="shared" si="1"/>
        <v>0</v>
      </c>
    </row>
    <row r="12" spans="3:45" ht="16.5" customHeight="1" x14ac:dyDescent="0.2">
      <c r="C12" s="512"/>
      <c r="D12" s="659" t="str">
        <f>Calculations!C17</f>
        <v xml:space="preserve">SAIFI sustained </v>
      </c>
      <c r="E12" s="656">
        <f t="shared" ref="E12:E27" si="2">SUM(F12:Z12)</f>
        <v>0</v>
      </c>
      <c r="F12" s="658">
        <f>Calculations!E17/Calculations!E$9</f>
        <v>0</v>
      </c>
      <c r="G12" s="658">
        <f>Calculations!F17/Calculations!F$9</f>
        <v>0</v>
      </c>
      <c r="H12" s="658">
        <f>Calculations!G17/Calculations!G$9</f>
        <v>0</v>
      </c>
      <c r="I12" s="658">
        <f>Calculations!H17/Calculations!H$9</f>
        <v>0</v>
      </c>
      <c r="J12" s="658">
        <f>Calculations!I17/Calculations!I$9</f>
        <v>0</v>
      </c>
      <c r="K12" s="658">
        <f>Calculations!J17/Calculations!J$9</f>
        <v>0</v>
      </c>
      <c r="L12" s="658">
        <f>Calculations!K17/Calculations!K$9</f>
        <v>0</v>
      </c>
      <c r="M12" s="658">
        <f>Calculations!L17/Calculations!L$9</f>
        <v>0</v>
      </c>
      <c r="N12" s="658">
        <f>Calculations!M17/Calculations!M$9</f>
        <v>0</v>
      </c>
      <c r="O12" s="658">
        <f>Calculations!N17/Calculations!N$9</f>
        <v>0</v>
      </c>
      <c r="P12" s="658">
        <f>Calculations!O17/Calculations!O$9</f>
        <v>0</v>
      </c>
      <c r="Q12" s="658">
        <f>Calculations!P17/Calculations!P$9</f>
        <v>0</v>
      </c>
      <c r="R12" s="658">
        <f>Calculations!Q17/Calculations!Q$9</f>
        <v>0</v>
      </c>
      <c r="S12" s="658">
        <f>Calculations!R17/Calculations!R$9</f>
        <v>0</v>
      </c>
      <c r="T12" s="658">
        <f>Calculations!S17/Calculations!S$9</f>
        <v>0</v>
      </c>
      <c r="U12" s="658">
        <f>Calculations!T17/Calculations!T$9</f>
        <v>0</v>
      </c>
      <c r="V12" s="658">
        <f>Calculations!U17/Calculations!U$9</f>
        <v>0</v>
      </c>
      <c r="W12" s="658">
        <f>Calculations!V17/Calculations!V$9</f>
        <v>0</v>
      </c>
      <c r="X12" s="658">
        <f>Calculations!W17/Calculations!W$9</f>
        <v>0</v>
      </c>
      <c r="Y12" s="658">
        <f>Calculations!X17/Calculations!X$9</f>
        <v>0</v>
      </c>
      <c r="Z12" s="658">
        <f>Calculations!Y17/Calculations!Y$9</f>
        <v>0</v>
      </c>
    </row>
    <row r="13" spans="3:45" ht="16.5" customHeight="1" x14ac:dyDescent="0.2">
      <c r="C13" s="512"/>
      <c r="D13" s="659" t="str">
        <f>Calculations!C18</f>
        <v xml:space="preserve">SAIDI accidental </v>
      </c>
      <c r="E13" s="656">
        <f t="shared" si="2"/>
        <v>0</v>
      </c>
      <c r="F13" s="658">
        <f>Calculations!E18/Calculations!E$9</f>
        <v>0</v>
      </c>
      <c r="G13" s="658">
        <f>Calculations!F18/Calculations!F$9</f>
        <v>0</v>
      </c>
      <c r="H13" s="658">
        <f>Calculations!G18/Calculations!G$9</f>
        <v>0</v>
      </c>
      <c r="I13" s="658">
        <f>Calculations!H18/Calculations!H$9</f>
        <v>0</v>
      </c>
      <c r="J13" s="658">
        <f>Calculations!I18/Calculations!I$9</f>
        <v>0</v>
      </c>
      <c r="K13" s="658">
        <f>Calculations!J18/Calculations!J$9</f>
        <v>0</v>
      </c>
      <c r="L13" s="658">
        <f>Calculations!K18/Calculations!K$9</f>
        <v>0</v>
      </c>
      <c r="M13" s="658">
        <f>Calculations!L18/Calculations!L$9</f>
        <v>0</v>
      </c>
      <c r="N13" s="658">
        <f>Calculations!M18/Calculations!M$9</f>
        <v>0</v>
      </c>
      <c r="O13" s="658">
        <f>Calculations!N18/Calculations!N$9</f>
        <v>0</v>
      </c>
      <c r="P13" s="658">
        <f>Calculations!O18/Calculations!O$9</f>
        <v>0</v>
      </c>
      <c r="Q13" s="658">
        <f>Calculations!P18/Calculations!P$9</f>
        <v>0</v>
      </c>
      <c r="R13" s="658">
        <f>Calculations!Q18/Calculations!Q$9</f>
        <v>0</v>
      </c>
      <c r="S13" s="658">
        <f>Calculations!R18/Calculations!R$9</f>
        <v>0</v>
      </c>
      <c r="T13" s="658">
        <f>Calculations!S18/Calculations!S$9</f>
        <v>0</v>
      </c>
      <c r="U13" s="658">
        <f>Calculations!T18/Calculations!T$9</f>
        <v>0</v>
      </c>
      <c r="V13" s="658">
        <f>Calculations!U18/Calculations!U$9</f>
        <v>0</v>
      </c>
      <c r="W13" s="658">
        <f>Calculations!V18/Calculations!V$9</f>
        <v>0</v>
      </c>
      <c r="X13" s="658">
        <f>Calculations!W18/Calculations!W$9</f>
        <v>0</v>
      </c>
      <c r="Y13" s="658">
        <f>Calculations!X18/Calculations!X$9</f>
        <v>0</v>
      </c>
      <c r="Z13" s="658">
        <f>Calculations!Y18/Calculations!Y$9</f>
        <v>0</v>
      </c>
    </row>
    <row r="14" spans="3:45" ht="16.5" customHeight="1" x14ac:dyDescent="0.2">
      <c r="C14" s="512"/>
      <c r="D14" s="659" t="str">
        <f>Calculations!C19</f>
        <v xml:space="preserve">MAIFI momentary </v>
      </c>
      <c r="E14" s="656">
        <f t="shared" si="2"/>
        <v>0</v>
      </c>
      <c r="F14" s="658">
        <f>Calculations!E19/Calculations!E$9</f>
        <v>0</v>
      </c>
      <c r="G14" s="658">
        <f>Calculations!F19/Calculations!F$9</f>
        <v>0</v>
      </c>
      <c r="H14" s="658">
        <f>Calculations!G19/Calculations!G$9</f>
        <v>0</v>
      </c>
      <c r="I14" s="658">
        <f>Calculations!H19/Calculations!H$9</f>
        <v>0</v>
      </c>
      <c r="J14" s="658">
        <f>Calculations!I19/Calculations!I$9</f>
        <v>0</v>
      </c>
      <c r="K14" s="658">
        <f>Calculations!J19/Calculations!J$9</f>
        <v>0</v>
      </c>
      <c r="L14" s="658">
        <f>Calculations!K19/Calculations!K$9</f>
        <v>0</v>
      </c>
      <c r="M14" s="658">
        <f>Calculations!L19/Calculations!L$9</f>
        <v>0</v>
      </c>
      <c r="N14" s="658">
        <f>Calculations!M19/Calculations!M$9</f>
        <v>0</v>
      </c>
      <c r="O14" s="658">
        <f>Calculations!N19/Calculations!N$9</f>
        <v>0</v>
      </c>
      <c r="P14" s="658">
        <f>Calculations!O19/Calculations!O$9</f>
        <v>0</v>
      </c>
      <c r="Q14" s="658">
        <f>Calculations!P19/Calculations!P$9</f>
        <v>0</v>
      </c>
      <c r="R14" s="658">
        <f>Calculations!Q19/Calculations!Q$9</f>
        <v>0</v>
      </c>
      <c r="S14" s="658">
        <f>Calculations!R19/Calculations!R$9</f>
        <v>0</v>
      </c>
      <c r="T14" s="658">
        <f>Calculations!S19/Calculations!S$9</f>
        <v>0</v>
      </c>
      <c r="U14" s="658">
        <f>Calculations!T19/Calculations!T$9</f>
        <v>0</v>
      </c>
      <c r="V14" s="658">
        <f>Calculations!U19/Calculations!U$9</f>
        <v>0</v>
      </c>
      <c r="W14" s="658">
        <f>Calculations!V19/Calculations!V$9</f>
        <v>0</v>
      </c>
      <c r="X14" s="658">
        <f>Calculations!W19/Calculations!W$9</f>
        <v>0</v>
      </c>
      <c r="Y14" s="658">
        <f>Calculations!X19/Calculations!X$9</f>
        <v>0</v>
      </c>
      <c r="Z14" s="658">
        <f>Calculations!Y19/Calculations!Y$9</f>
        <v>0</v>
      </c>
    </row>
    <row r="15" spans="3:45" ht="16.5" customHeight="1" x14ac:dyDescent="0.2">
      <c r="C15" s="512"/>
      <c r="D15" s="659" t="str">
        <f>Calculations!C20</f>
        <v xml:space="preserve">Call centre response </v>
      </c>
      <c r="E15" s="656">
        <f t="shared" si="2"/>
        <v>0</v>
      </c>
      <c r="F15" s="658">
        <f>Calculations!E20/Calculations!E$9</f>
        <v>0</v>
      </c>
      <c r="G15" s="658">
        <f>Calculations!F20/Calculations!F$9</f>
        <v>0</v>
      </c>
      <c r="H15" s="658">
        <f>Calculations!G20/Calculations!G$9</f>
        <v>0</v>
      </c>
      <c r="I15" s="658">
        <f>Calculations!H20/Calculations!H$9</f>
        <v>0</v>
      </c>
      <c r="J15" s="658">
        <f>Calculations!I20/Calculations!I$9</f>
        <v>0</v>
      </c>
      <c r="K15" s="658">
        <f>Calculations!J20/Calculations!J$9</f>
        <v>0</v>
      </c>
      <c r="L15" s="658">
        <f>Calculations!K20/Calculations!K$9</f>
        <v>0</v>
      </c>
      <c r="M15" s="658">
        <f>Calculations!L20/Calculations!L$9</f>
        <v>0</v>
      </c>
      <c r="N15" s="658">
        <f>Calculations!M20/Calculations!M$9</f>
        <v>0</v>
      </c>
      <c r="O15" s="658">
        <f>Calculations!N20/Calculations!N$9</f>
        <v>0</v>
      </c>
      <c r="P15" s="658">
        <f>Calculations!O20/Calculations!O$9</f>
        <v>0</v>
      </c>
      <c r="Q15" s="658">
        <f>Calculations!P20/Calculations!P$9</f>
        <v>0</v>
      </c>
      <c r="R15" s="658">
        <f>Calculations!Q20/Calculations!Q$9</f>
        <v>0</v>
      </c>
      <c r="S15" s="658">
        <f>Calculations!R20/Calculations!R$9</f>
        <v>0</v>
      </c>
      <c r="T15" s="658">
        <f>Calculations!S20/Calculations!S$9</f>
        <v>0</v>
      </c>
      <c r="U15" s="658">
        <f>Calculations!T20/Calculations!T$9</f>
        <v>0</v>
      </c>
      <c r="V15" s="658">
        <f>Calculations!U20/Calculations!U$9</f>
        <v>0</v>
      </c>
      <c r="W15" s="658">
        <f>Calculations!V20/Calculations!V$9</f>
        <v>0</v>
      </c>
      <c r="X15" s="658">
        <f>Calculations!W20/Calculations!W$9</f>
        <v>0</v>
      </c>
      <c r="Y15" s="658">
        <f>Calculations!X20/Calculations!X$9</f>
        <v>0</v>
      </c>
      <c r="Z15" s="658">
        <f>Calculations!Y20/Calculations!Y$9</f>
        <v>0</v>
      </c>
    </row>
    <row r="16" spans="3:45" ht="16.5" customHeight="1" x14ac:dyDescent="0.2">
      <c r="C16" s="512"/>
      <c r="D16" s="655" t="str">
        <f>Calculations!C21</f>
        <v>Network Outage Costs</v>
      </c>
      <c r="E16" s="656">
        <f t="shared" si="2"/>
        <v>0</v>
      </c>
      <c r="F16" s="658">
        <f>Calculations!E21/Calculations!E$9</f>
        <v>0</v>
      </c>
      <c r="G16" s="658">
        <f>Calculations!F21/Calculations!F$9</f>
        <v>0</v>
      </c>
      <c r="H16" s="658">
        <f>Calculations!G21/Calculations!G$9</f>
        <v>0</v>
      </c>
      <c r="I16" s="658">
        <f>Calculations!H21/Calculations!H$9</f>
        <v>0</v>
      </c>
      <c r="J16" s="658">
        <f>Calculations!I21/Calculations!I$9</f>
        <v>0</v>
      </c>
      <c r="K16" s="658">
        <f>Calculations!J21/Calculations!J$9</f>
        <v>0</v>
      </c>
      <c r="L16" s="658">
        <f>Calculations!K21/Calculations!K$9</f>
        <v>0</v>
      </c>
      <c r="M16" s="658">
        <f>Calculations!L21/Calculations!L$9</f>
        <v>0</v>
      </c>
      <c r="N16" s="658">
        <f>Calculations!M21/Calculations!M$9</f>
        <v>0</v>
      </c>
      <c r="O16" s="658">
        <f>Calculations!N21/Calculations!N$9</f>
        <v>0</v>
      </c>
      <c r="P16" s="658">
        <f>Calculations!O21/Calculations!O$9</f>
        <v>0</v>
      </c>
      <c r="Q16" s="658">
        <f>Calculations!P21/Calculations!P$9</f>
        <v>0</v>
      </c>
      <c r="R16" s="658">
        <f>Calculations!Q21/Calculations!Q$9</f>
        <v>0</v>
      </c>
      <c r="S16" s="658">
        <f>Calculations!R21/Calculations!R$9</f>
        <v>0</v>
      </c>
      <c r="T16" s="658">
        <f>Calculations!S21/Calculations!S$9</f>
        <v>0</v>
      </c>
      <c r="U16" s="658">
        <f>Calculations!T21/Calculations!T$9</f>
        <v>0</v>
      </c>
      <c r="V16" s="658">
        <f>Calculations!U21/Calculations!U$9</f>
        <v>0</v>
      </c>
      <c r="W16" s="658">
        <f>Calculations!V21/Calculations!V$9</f>
        <v>0</v>
      </c>
      <c r="X16" s="658">
        <f>Calculations!W21/Calculations!W$9</f>
        <v>0</v>
      </c>
      <c r="Y16" s="658">
        <f>Calculations!X21/Calculations!X$9</f>
        <v>0</v>
      </c>
      <c r="Z16" s="658">
        <f>Calculations!Y21/Calculations!Y$9</f>
        <v>0</v>
      </c>
    </row>
    <row r="17" spans="3:26" ht="16.5" customHeight="1" x14ac:dyDescent="0.2">
      <c r="C17" s="512"/>
      <c r="D17" s="655" t="str">
        <f>Calculations!C22</f>
        <v>Loss of F Factor Benefit</v>
      </c>
      <c r="E17" s="656">
        <f t="shared" si="2"/>
        <v>0</v>
      </c>
      <c r="F17" s="658">
        <f>Calculations!E22/Calculations!E$9</f>
        <v>0</v>
      </c>
      <c r="G17" s="658">
        <f>Calculations!F22/Calculations!F$9</f>
        <v>0</v>
      </c>
      <c r="H17" s="658">
        <f>Calculations!G22/Calculations!G$9</f>
        <v>0</v>
      </c>
      <c r="I17" s="658">
        <f>Calculations!H22/Calculations!H$9</f>
        <v>0</v>
      </c>
      <c r="J17" s="658">
        <f>Calculations!I22/Calculations!I$9</f>
        <v>0</v>
      </c>
      <c r="K17" s="658">
        <f>Calculations!J22/Calculations!J$9</f>
        <v>0</v>
      </c>
      <c r="L17" s="658">
        <f>Calculations!K22/Calculations!K$9</f>
        <v>0</v>
      </c>
      <c r="M17" s="658">
        <f>Calculations!L22/Calculations!L$9</f>
        <v>0</v>
      </c>
      <c r="N17" s="658">
        <f>Calculations!M22/Calculations!M$9</f>
        <v>0</v>
      </c>
      <c r="O17" s="658">
        <f>Calculations!N22/Calculations!N$9</f>
        <v>0</v>
      </c>
      <c r="P17" s="658">
        <f>Calculations!O22/Calculations!O$9</f>
        <v>0</v>
      </c>
      <c r="Q17" s="658">
        <f>Calculations!P22/Calculations!P$9</f>
        <v>0</v>
      </c>
      <c r="R17" s="658">
        <f>Calculations!Q22/Calculations!Q$9</f>
        <v>0</v>
      </c>
      <c r="S17" s="658">
        <f>Calculations!R22/Calculations!R$9</f>
        <v>0</v>
      </c>
      <c r="T17" s="658">
        <f>Calculations!S22/Calculations!S$9</f>
        <v>0</v>
      </c>
      <c r="U17" s="658">
        <f>Calculations!T22/Calculations!T$9</f>
        <v>0</v>
      </c>
      <c r="V17" s="658">
        <f>Calculations!U22/Calculations!U$9</f>
        <v>0</v>
      </c>
      <c r="W17" s="658">
        <f>Calculations!V22/Calculations!V$9</f>
        <v>0</v>
      </c>
      <c r="X17" s="658">
        <f>Calculations!W22/Calculations!W$9</f>
        <v>0</v>
      </c>
      <c r="Y17" s="658">
        <f>Calculations!X22/Calculations!X$9</f>
        <v>0</v>
      </c>
      <c r="Z17" s="658">
        <f>Calculations!Y22/Calculations!Y$9</f>
        <v>0</v>
      </c>
    </row>
    <row r="18" spans="3:26" ht="16.5" customHeight="1" x14ac:dyDescent="0.2">
      <c r="C18" s="512"/>
      <c r="D18" s="655" t="str">
        <f>Calculations!C23</f>
        <v>Cost 1</v>
      </c>
      <c r="E18" s="656">
        <f t="shared" si="2"/>
        <v>0</v>
      </c>
      <c r="F18" s="658">
        <f>Calculations!E23/Calculations!E$9</f>
        <v>0</v>
      </c>
      <c r="G18" s="658">
        <f>Calculations!F23/Calculations!F$9</f>
        <v>0</v>
      </c>
      <c r="H18" s="658">
        <f>Calculations!G23/Calculations!G$9</f>
        <v>0</v>
      </c>
      <c r="I18" s="658">
        <f>Calculations!H23/Calculations!H$9</f>
        <v>0</v>
      </c>
      <c r="J18" s="658">
        <f>Calculations!I23/Calculations!I$9</f>
        <v>0</v>
      </c>
      <c r="K18" s="658">
        <f>Calculations!J23/Calculations!J$9</f>
        <v>0</v>
      </c>
      <c r="L18" s="658">
        <f>Calculations!K23/Calculations!K$9</f>
        <v>0</v>
      </c>
      <c r="M18" s="658">
        <f>Calculations!L23/Calculations!L$9</f>
        <v>0</v>
      </c>
      <c r="N18" s="658">
        <f>Calculations!M23/Calculations!M$9</f>
        <v>0</v>
      </c>
      <c r="O18" s="658">
        <f>Calculations!N23/Calculations!N$9</f>
        <v>0</v>
      </c>
      <c r="P18" s="658">
        <f>Calculations!O23/Calculations!O$9</f>
        <v>0</v>
      </c>
      <c r="Q18" s="658">
        <f>Calculations!P23/Calculations!P$9</f>
        <v>0</v>
      </c>
      <c r="R18" s="658">
        <f>Calculations!Q23/Calculations!Q$9</f>
        <v>0</v>
      </c>
      <c r="S18" s="658">
        <f>Calculations!R23/Calculations!R$9</f>
        <v>0</v>
      </c>
      <c r="T18" s="658">
        <f>Calculations!S23/Calculations!S$9</f>
        <v>0</v>
      </c>
      <c r="U18" s="658">
        <f>Calculations!T23/Calculations!T$9</f>
        <v>0</v>
      </c>
      <c r="V18" s="658">
        <f>Calculations!U23/Calculations!U$9</f>
        <v>0</v>
      </c>
      <c r="W18" s="658">
        <f>Calculations!V23/Calculations!V$9</f>
        <v>0</v>
      </c>
      <c r="X18" s="658">
        <f>Calculations!W23/Calculations!W$9</f>
        <v>0</v>
      </c>
      <c r="Y18" s="658">
        <f>Calculations!X23/Calculations!X$9</f>
        <v>0</v>
      </c>
      <c r="Z18" s="658">
        <f>Calculations!Y23/Calculations!Y$9</f>
        <v>0</v>
      </c>
    </row>
    <row r="19" spans="3:26" ht="16.5" customHeight="1" x14ac:dyDescent="0.2">
      <c r="C19" s="512"/>
      <c r="D19" s="655" t="str">
        <f>Calculations!C24</f>
        <v>Cost 2</v>
      </c>
      <c r="E19" s="656">
        <f t="shared" si="2"/>
        <v>0</v>
      </c>
      <c r="F19" s="658">
        <f>Calculations!E24/Calculations!E$9</f>
        <v>0</v>
      </c>
      <c r="G19" s="658">
        <f>Calculations!F24/Calculations!F$9</f>
        <v>0</v>
      </c>
      <c r="H19" s="658">
        <f>Calculations!G24/Calculations!G$9</f>
        <v>0</v>
      </c>
      <c r="I19" s="658">
        <f>Calculations!H24/Calculations!H$9</f>
        <v>0</v>
      </c>
      <c r="J19" s="658">
        <f>Calculations!I24/Calculations!I$9</f>
        <v>0</v>
      </c>
      <c r="K19" s="658">
        <f>Calculations!J24/Calculations!J$9</f>
        <v>0</v>
      </c>
      <c r="L19" s="658">
        <f>Calculations!K24/Calculations!K$9</f>
        <v>0</v>
      </c>
      <c r="M19" s="658">
        <f>Calculations!L24/Calculations!L$9</f>
        <v>0</v>
      </c>
      <c r="N19" s="658">
        <f>Calculations!M24/Calculations!M$9</f>
        <v>0</v>
      </c>
      <c r="O19" s="658">
        <f>Calculations!N24/Calculations!N$9</f>
        <v>0</v>
      </c>
      <c r="P19" s="658">
        <f>Calculations!O24/Calculations!O$9</f>
        <v>0</v>
      </c>
      <c r="Q19" s="658">
        <f>Calculations!P24/Calculations!P$9</f>
        <v>0</v>
      </c>
      <c r="R19" s="658">
        <f>Calculations!Q24/Calculations!Q$9</f>
        <v>0</v>
      </c>
      <c r="S19" s="658">
        <f>Calculations!R24/Calculations!R$9</f>
        <v>0</v>
      </c>
      <c r="T19" s="658">
        <f>Calculations!S24/Calculations!S$9</f>
        <v>0</v>
      </c>
      <c r="U19" s="658">
        <f>Calculations!T24/Calculations!T$9</f>
        <v>0</v>
      </c>
      <c r="V19" s="658">
        <f>Calculations!U24/Calculations!U$9</f>
        <v>0</v>
      </c>
      <c r="W19" s="658">
        <f>Calculations!V24/Calculations!V$9</f>
        <v>0</v>
      </c>
      <c r="X19" s="658">
        <f>Calculations!W24/Calculations!W$9</f>
        <v>0</v>
      </c>
      <c r="Y19" s="658">
        <f>Calculations!X24/Calculations!X$9</f>
        <v>0</v>
      </c>
      <c r="Z19" s="658">
        <f>Calculations!Y24/Calculations!Y$9</f>
        <v>0</v>
      </c>
    </row>
    <row r="20" spans="3:26" ht="16.5" customHeight="1" x14ac:dyDescent="0.2">
      <c r="C20" s="512"/>
      <c r="D20" s="655" t="str">
        <f>Calculations!C25</f>
        <v>Cost 3</v>
      </c>
      <c r="E20" s="656">
        <f t="shared" si="2"/>
        <v>0</v>
      </c>
      <c r="F20" s="658">
        <f>Calculations!E25/Calculations!E$9</f>
        <v>0</v>
      </c>
      <c r="G20" s="658">
        <f>Calculations!F25/Calculations!F$9</f>
        <v>0</v>
      </c>
      <c r="H20" s="658">
        <f>Calculations!G25/Calculations!G$9</f>
        <v>0</v>
      </c>
      <c r="I20" s="658">
        <f>Calculations!H25/Calculations!H$9</f>
        <v>0</v>
      </c>
      <c r="J20" s="658">
        <f>Calculations!I25/Calculations!I$9</f>
        <v>0</v>
      </c>
      <c r="K20" s="658">
        <f>Calculations!J25/Calculations!J$9</f>
        <v>0</v>
      </c>
      <c r="L20" s="658">
        <f>Calculations!K25/Calculations!K$9</f>
        <v>0</v>
      </c>
      <c r="M20" s="658">
        <f>Calculations!L25/Calculations!L$9</f>
        <v>0</v>
      </c>
      <c r="N20" s="658">
        <f>Calculations!M25/Calculations!M$9</f>
        <v>0</v>
      </c>
      <c r="O20" s="658">
        <f>Calculations!N25/Calculations!N$9</f>
        <v>0</v>
      </c>
      <c r="P20" s="658">
        <f>Calculations!O25/Calculations!O$9</f>
        <v>0</v>
      </c>
      <c r="Q20" s="658">
        <f>Calculations!P25/Calculations!P$9</f>
        <v>0</v>
      </c>
      <c r="R20" s="658">
        <f>Calculations!Q25/Calculations!Q$9</f>
        <v>0</v>
      </c>
      <c r="S20" s="658">
        <f>Calculations!R25/Calculations!R$9</f>
        <v>0</v>
      </c>
      <c r="T20" s="658">
        <f>Calculations!S25/Calculations!S$9</f>
        <v>0</v>
      </c>
      <c r="U20" s="658">
        <f>Calculations!T25/Calculations!T$9</f>
        <v>0</v>
      </c>
      <c r="V20" s="658">
        <f>Calculations!U25/Calculations!U$9</f>
        <v>0</v>
      </c>
      <c r="W20" s="658">
        <f>Calculations!V25/Calculations!V$9</f>
        <v>0</v>
      </c>
      <c r="X20" s="658">
        <f>Calculations!W25/Calculations!W$9</f>
        <v>0</v>
      </c>
      <c r="Y20" s="658">
        <f>Calculations!X25/Calculations!X$9</f>
        <v>0</v>
      </c>
      <c r="Z20" s="658">
        <f>Calculations!Y25/Calculations!Y$9</f>
        <v>0</v>
      </c>
    </row>
    <row r="21" spans="3:26" ht="16.5" customHeight="1" x14ac:dyDescent="0.2">
      <c r="C21" s="512"/>
      <c r="D21" s="655" t="str">
        <f>Calculations!C26</f>
        <v>Cost 4</v>
      </c>
      <c r="E21" s="656">
        <f t="shared" si="2"/>
        <v>0</v>
      </c>
      <c r="F21" s="658">
        <f>Calculations!E26/Calculations!E$9</f>
        <v>0</v>
      </c>
      <c r="G21" s="658">
        <f>Calculations!F26/Calculations!F$9</f>
        <v>0</v>
      </c>
      <c r="H21" s="658">
        <f>Calculations!G26/Calculations!G$9</f>
        <v>0</v>
      </c>
      <c r="I21" s="658">
        <f>Calculations!H26/Calculations!H$9</f>
        <v>0</v>
      </c>
      <c r="J21" s="658">
        <f>Calculations!I26/Calculations!I$9</f>
        <v>0</v>
      </c>
      <c r="K21" s="658">
        <f>Calculations!J26/Calculations!J$9</f>
        <v>0</v>
      </c>
      <c r="L21" s="658">
        <f>Calculations!K26/Calculations!K$9</f>
        <v>0</v>
      </c>
      <c r="M21" s="658">
        <f>Calculations!L26/Calculations!L$9</f>
        <v>0</v>
      </c>
      <c r="N21" s="658">
        <f>Calculations!M26/Calculations!M$9</f>
        <v>0</v>
      </c>
      <c r="O21" s="658">
        <f>Calculations!N26/Calculations!N$9</f>
        <v>0</v>
      </c>
      <c r="P21" s="658">
        <f>Calculations!O26/Calculations!O$9</f>
        <v>0</v>
      </c>
      <c r="Q21" s="658">
        <f>Calculations!P26/Calculations!P$9</f>
        <v>0</v>
      </c>
      <c r="R21" s="658">
        <f>Calculations!Q26/Calculations!Q$9</f>
        <v>0</v>
      </c>
      <c r="S21" s="658">
        <f>Calculations!R26/Calculations!R$9</f>
        <v>0</v>
      </c>
      <c r="T21" s="658">
        <f>Calculations!S26/Calculations!S$9</f>
        <v>0</v>
      </c>
      <c r="U21" s="658">
        <f>Calculations!T26/Calculations!T$9</f>
        <v>0</v>
      </c>
      <c r="V21" s="658">
        <f>Calculations!U26/Calculations!U$9</f>
        <v>0</v>
      </c>
      <c r="W21" s="658">
        <f>Calculations!V26/Calculations!V$9</f>
        <v>0</v>
      </c>
      <c r="X21" s="658">
        <f>Calculations!W26/Calculations!W$9</f>
        <v>0</v>
      </c>
      <c r="Y21" s="658">
        <f>Calculations!X26/Calculations!X$9</f>
        <v>0</v>
      </c>
      <c r="Z21" s="658">
        <f>Calculations!Y26/Calculations!Y$9</f>
        <v>0</v>
      </c>
    </row>
    <row r="22" spans="3:26" ht="16.5" customHeight="1" x14ac:dyDescent="0.2">
      <c r="C22" s="512"/>
      <c r="D22" s="655" t="str">
        <f>Calculations!C27</f>
        <v>Cost 5</v>
      </c>
      <c r="E22" s="656">
        <f t="shared" si="2"/>
        <v>0</v>
      </c>
      <c r="F22" s="658">
        <f>Calculations!E27/Calculations!E$9</f>
        <v>0</v>
      </c>
      <c r="G22" s="658">
        <f>Calculations!F27/Calculations!F$9</f>
        <v>0</v>
      </c>
      <c r="H22" s="658">
        <f>Calculations!G27/Calculations!G$9</f>
        <v>0</v>
      </c>
      <c r="I22" s="658">
        <f>Calculations!H27/Calculations!H$9</f>
        <v>0</v>
      </c>
      <c r="J22" s="658">
        <f>Calculations!I27/Calculations!I$9</f>
        <v>0</v>
      </c>
      <c r="K22" s="658">
        <f>Calculations!J27/Calculations!J$9</f>
        <v>0</v>
      </c>
      <c r="L22" s="658">
        <f>Calculations!K27/Calculations!K$9</f>
        <v>0</v>
      </c>
      <c r="M22" s="658">
        <f>Calculations!L27/Calculations!L$9</f>
        <v>0</v>
      </c>
      <c r="N22" s="658">
        <f>Calculations!M27/Calculations!M$9</f>
        <v>0</v>
      </c>
      <c r="O22" s="658">
        <f>Calculations!N27/Calculations!N$9</f>
        <v>0</v>
      </c>
      <c r="P22" s="658">
        <f>Calculations!O27/Calculations!O$9</f>
        <v>0</v>
      </c>
      <c r="Q22" s="658">
        <f>Calculations!P27/Calculations!P$9</f>
        <v>0</v>
      </c>
      <c r="R22" s="658">
        <f>Calculations!Q27/Calculations!Q$9</f>
        <v>0</v>
      </c>
      <c r="S22" s="658">
        <f>Calculations!R27/Calculations!R$9</f>
        <v>0</v>
      </c>
      <c r="T22" s="658">
        <f>Calculations!S27/Calculations!S$9</f>
        <v>0</v>
      </c>
      <c r="U22" s="658">
        <f>Calculations!T27/Calculations!T$9</f>
        <v>0</v>
      </c>
      <c r="V22" s="658">
        <f>Calculations!U27/Calculations!U$9</f>
        <v>0</v>
      </c>
      <c r="W22" s="658">
        <f>Calculations!V27/Calculations!V$9</f>
        <v>0</v>
      </c>
      <c r="X22" s="658">
        <f>Calculations!W27/Calculations!W$9</f>
        <v>0</v>
      </c>
      <c r="Y22" s="658">
        <f>Calculations!X27/Calculations!X$9</f>
        <v>0</v>
      </c>
      <c r="Z22" s="658">
        <f>Calculations!Y27/Calculations!Y$9</f>
        <v>0</v>
      </c>
    </row>
    <row r="23" spans="3:26" ht="16.5" customHeight="1" x14ac:dyDescent="0.2">
      <c r="C23" s="512"/>
      <c r="D23" s="655" t="str">
        <f>Calculations!C28</f>
        <v>Risk 1</v>
      </c>
      <c r="E23" s="656">
        <f t="shared" si="2"/>
        <v>0</v>
      </c>
      <c r="F23" s="658">
        <f>Calculations!E28/Calculations!E$9</f>
        <v>0</v>
      </c>
      <c r="G23" s="658">
        <f>Calculations!F28/Calculations!F$9</f>
        <v>0</v>
      </c>
      <c r="H23" s="658">
        <f>Calculations!G28/Calculations!G$9</f>
        <v>0</v>
      </c>
      <c r="I23" s="658">
        <f>Calculations!H28/Calculations!H$9</f>
        <v>0</v>
      </c>
      <c r="J23" s="658">
        <f>Calculations!I28/Calculations!I$9</f>
        <v>0</v>
      </c>
      <c r="K23" s="658">
        <f>Calculations!J28/Calculations!J$9</f>
        <v>0</v>
      </c>
      <c r="L23" s="658">
        <f>Calculations!K28/Calculations!K$9</f>
        <v>0</v>
      </c>
      <c r="M23" s="658">
        <f>Calculations!L28/Calculations!L$9</f>
        <v>0</v>
      </c>
      <c r="N23" s="658">
        <f>Calculations!M28/Calculations!M$9</f>
        <v>0</v>
      </c>
      <c r="O23" s="658">
        <f>Calculations!N28/Calculations!N$9</f>
        <v>0</v>
      </c>
      <c r="P23" s="658">
        <f>Calculations!O28/Calculations!O$9</f>
        <v>0</v>
      </c>
      <c r="Q23" s="658">
        <f>Calculations!P28/Calculations!P$9</f>
        <v>0</v>
      </c>
      <c r="R23" s="658">
        <f>Calculations!Q28/Calculations!Q$9</f>
        <v>0</v>
      </c>
      <c r="S23" s="658">
        <f>Calculations!R28/Calculations!R$9</f>
        <v>0</v>
      </c>
      <c r="T23" s="658">
        <f>Calculations!S28/Calculations!S$9</f>
        <v>0</v>
      </c>
      <c r="U23" s="658">
        <f>Calculations!T28/Calculations!T$9</f>
        <v>0</v>
      </c>
      <c r="V23" s="658">
        <f>Calculations!U28/Calculations!U$9</f>
        <v>0</v>
      </c>
      <c r="W23" s="658">
        <f>Calculations!V28/Calculations!V$9</f>
        <v>0</v>
      </c>
      <c r="X23" s="658">
        <f>Calculations!W28/Calculations!W$9</f>
        <v>0</v>
      </c>
      <c r="Y23" s="658">
        <f>Calculations!X28/Calculations!X$9</f>
        <v>0</v>
      </c>
      <c r="Z23" s="658">
        <f>Calculations!Y28/Calculations!Y$9</f>
        <v>0</v>
      </c>
    </row>
    <row r="24" spans="3:26" ht="16.5" customHeight="1" x14ac:dyDescent="0.2">
      <c r="C24" s="512"/>
      <c r="D24" s="655" t="str">
        <f>Calculations!C29</f>
        <v>Risk 2</v>
      </c>
      <c r="E24" s="656">
        <f t="shared" si="2"/>
        <v>0</v>
      </c>
      <c r="F24" s="658">
        <f>Calculations!E29/Calculations!E$9</f>
        <v>0</v>
      </c>
      <c r="G24" s="658">
        <f>Calculations!F29/Calculations!F$9</f>
        <v>0</v>
      </c>
      <c r="H24" s="658">
        <f>Calculations!G29/Calculations!G$9</f>
        <v>0</v>
      </c>
      <c r="I24" s="658">
        <f>Calculations!H29/Calculations!H$9</f>
        <v>0</v>
      </c>
      <c r="J24" s="658">
        <f>Calculations!I29/Calculations!I$9</f>
        <v>0</v>
      </c>
      <c r="K24" s="658">
        <f>Calculations!J29/Calculations!J$9</f>
        <v>0</v>
      </c>
      <c r="L24" s="658">
        <f>Calculations!K29/Calculations!K$9</f>
        <v>0</v>
      </c>
      <c r="M24" s="658">
        <f>Calculations!L29/Calculations!L$9</f>
        <v>0</v>
      </c>
      <c r="N24" s="658">
        <f>Calculations!M29/Calculations!M$9</f>
        <v>0</v>
      </c>
      <c r="O24" s="658">
        <f>Calculations!N29/Calculations!N$9</f>
        <v>0</v>
      </c>
      <c r="P24" s="658">
        <f>Calculations!O29/Calculations!O$9</f>
        <v>0</v>
      </c>
      <c r="Q24" s="658">
        <f>Calculations!P29/Calculations!P$9</f>
        <v>0</v>
      </c>
      <c r="R24" s="658">
        <f>Calculations!Q29/Calculations!Q$9</f>
        <v>0</v>
      </c>
      <c r="S24" s="658">
        <f>Calculations!R29/Calculations!R$9</f>
        <v>0</v>
      </c>
      <c r="T24" s="658">
        <f>Calculations!S29/Calculations!S$9</f>
        <v>0</v>
      </c>
      <c r="U24" s="658">
        <f>Calculations!T29/Calculations!T$9</f>
        <v>0</v>
      </c>
      <c r="V24" s="658">
        <f>Calculations!U29/Calculations!U$9</f>
        <v>0</v>
      </c>
      <c r="W24" s="658">
        <f>Calculations!V29/Calculations!V$9</f>
        <v>0</v>
      </c>
      <c r="X24" s="658">
        <f>Calculations!W29/Calculations!W$9</f>
        <v>0</v>
      </c>
      <c r="Y24" s="658">
        <f>Calculations!X29/Calculations!X$9</f>
        <v>0</v>
      </c>
      <c r="Z24" s="658">
        <f>Calculations!Y29/Calculations!Y$9</f>
        <v>0</v>
      </c>
    </row>
    <row r="25" spans="3:26" ht="16.5" customHeight="1" x14ac:dyDescent="0.2">
      <c r="C25" s="512"/>
      <c r="D25" s="655" t="str">
        <f>Calculations!C30</f>
        <v>Risk 3</v>
      </c>
      <c r="E25" s="656">
        <f t="shared" si="2"/>
        <v>0</v>
      </c>
      <c r="F25" s="658">
        <f>Calculations!E30/Calculations!E$9</f>
        <v>0</v>
      </c>
      <c r="G25" s="658">
        <f>Calculations!F30/Calculations!F$9</f>
        <v>0</v>
      </c>
      <c r="H25" s="658">
        <f>Calculations!G30/Calculations!G$9</f>
        <v>0</v>
      </c>
      <c r="I25" s="658">
        <f>Calculations!H30/Calculations!H$9</f>
        <v>0</v>
      </c>
      <c r="J25" s="658">
        <f>Calculations!I30/Calculations!I$9</f>
        <v>0</v>
      </c>
      <c r="K25" s="658">
        <f>Calculations!J30/Calculations!J$9</f>
        <v>0</v>
      </c>
      <c r="L25" s="658">
        <f>Calculations!K30/Calculations!K$9</f>
        <v>0</v>
      </c>
      <c r="M25" s="658">
        <f>Calculations!L30/Calculations!L$9</f>
        <v>0</v>
      </c>
      <c r="N25" s="658">
        <f>Calculations!M30/Calculations!M$9</f>
        <v>0</v>
      </c>
      <c r="O25" s="658">
        <f>Calculations!N30/Calculations!N$9</f>
        <v>0</v>
      </c>
      <c r="P25" s="658">
        <f>Calculations!O30/Calculations!O$9</f>
        <v>0</v>
      </c>
      <c r="Q25" s="658">
        <f>Calculations!P30/Calculations!P$9</f>
        <v>0</v>
      </c>
      <c r="R25" s="658">
        <f>Calculations!Q30/Calculations!Q$9</f>
        <v>0</v>
      </c>
      <c r="S25" s="658">
        <f>Calculations!R30/Calculations!R$9</f>
        <v>0</v>
      </c>
      <c r="T25" s="658">
        <f>Calculations!S30/Calculations!S$9</f>
        <v>0</v>
      </c>
      <c r="U25" s="658">
        <f>Calculations!T30/Calculations!T$9</f>
        <v>0</v>
      </c>
      <c r="V25" s="658">
        <f>Calculations!U30/Calculations!U$9</f>
        <v>0</v>
      </c>
      <c r="W25" s="658">
        <f>Calculations!V30/Calculations!V$9</f>
        <v>0</v>
      </c>
      <c r="X25" s="658">
        <f>Calculations!W30/Calculations!W$9</f>
        <v>0</v>
      </c>
      <c r="Y25" s="658">
        <f>Calculations!X30/Calculations!X$9</f>
        <v>0</v>
      </c>
      <c r="Z25" s="658">
        <f>Calculations!Y30/Calculations!Y$9</f>
        <v>0</v>
      </c>
    </row>
    <row r="26" spans="3:26" ht="16.5" customHeight="1" x14ac:dyDescent="0.2">
      <c r="C26" s="512"/>
      <c r="D26" s="655" t="str">
        <f>Calculations!C31</f>
        <v>Risk 4</v>
      </c>
      <c r="E26" s="656">
        <f t="shared" si="2"/>
        <v>0</v>
      </c>
      <c r="F26" s="658">
        <f>Calculations!E31/Calculations!E$9</f>
        <v>0</v>
      </c>
      <c r="G26" s="658">
        <f>Calculations!F31/Calculations!F$9</f>
        <v>0</v>
      </c>
      <c r="H26" s="658">
        <f>Calculations!G31/Calculations!G$9</f>
        <v>0</v>
      </c>
      <c r="I26" s="658">
        <f>Calculations!H31/Calculations!H$9</f>
        <v>0</v>
      </c>
      <c r="J26" s="658">
        <f>Calculations!I31/Calculations!I$9</f>
        <v>0</v>
      </c>
      <c r="K26" s="658">
        <f>Calculations!J31/Calculations!J$9</f>
        <v>0</v>
      </c>
      <c r="L26" s="658">
        <f>Calculations!K31/Calculations!K$9</f>
        <v>0</v>
      </c>
      <c r="M26" s="658">
        <f>Calculations!L31/Calculations!L$9</f>
        <v>0</v>
      </c>
      <c r="N26" s="658">
        <f>Calculations!M31/Calculations!M$9</f>
        <v>0</v>
      </c>
      <c r="O26" s="658">
        <f>Calculations!N31/Calculations!N$9</f>
        <v>0</v>
      </c>
      <c r="P26" s="658">
        <f>Calculations!O31/Calculations!O$9</f>
        <v>0</v>
      </c>
      <c r="Q26" s="658">
        <f>Calculations!P31/Calculations!P$9</f>
        <v>0</v>
      </c>
      <c r="R26" s="658">
        <f>Calculations!Q31/Calculations!Q$9</f>
        <v>0</v>
      </c>
      <c r="S26" s="658">
        <f>Calculations!R31/Calculations!R$9</f>
        <v>0</v>
      </c>
      <c r="T26" s="658">
        <f>Calculations!S31/Calculations!S$9</f>
        <v>0</v>
      </c>
      <c r="U26" s="658">
        <f>Calculations!T31/Calculations!T$9</f>
        <v>0</v>
      </c>
      <c r="V26" s="658">
        <f>Calculations!U31/Calculations!U$9</f>
        <v>0</v>
      </c>
      <c r="W26" s="658">
        <f>Calculations!V31/Calculations!V$9</f>
        <v>0</v>
      </c>
      <c r="X26" s="658">
        <f>Calculations!W31/Calculations!W$9</f>
        <v>0</v>
      </c>
      <c r="Y26" s="658">
        <f>Calculations!X31/Calculations!X$9</f>
        <v>0</v>
      </c>
      <c r="Z26" s="658">
        <f>Calculations!Y31/Calculations!Y$9</f>
        <v>0</v>
      </c>
    </row>
    <row r="27" spans="3:26" ht="16.5" customHeight="1" x14ac:dyDescent="0.2">
      <c r="C27" s="512"/>
      <c r="D27" s="655" t="str">
        <f>Calculations!C32</f>
        <v>Risk 5</v>
      </c>
      <c r="E27" s="656">
        <f t="shared" si="2"/>
        <v>0</v>
      </c>
      <c r="F27" s="658">
        <f>Calculations!E32/Calculations!E$9</f>
        <v>0</v>
      </c>
      <c r="G27" s="658">
        <f>Calculations!F32/Calculations!F$9</f>
        <v>0</v>
      </c>
      <c r="H27" s="658">
        <f>Calculations!G32/Calculations!G$9</f>
        <v>0</v>
      </c>
      <c r="I27" s="658">
        <f>Calculations!H32/Calculations!H$9</f>
        <v>0</v>
      </c>
      <c r="J27" s="658">
        <f>Calculations!I32/Calculations!I$9</f>
        <v>0</v>
      </c>
      <c r="K27" s="658">
        <f>Calculations!J32/Calculations!J$9</f>
        <v>0</v>
      </c>
      <c r="L27" s="658">
        <f>Calculations!K32/Calculations!K$9</f>
        <v>0</v>
      </c>
      <c r="M27" s="658">
        <f>Calculations!L32/Calculations!L$9</f>
        <v>0</v>
      </c>
      <c r="N27" s="658">
        <f>Calculations!M32/Calculations!M$9</f>
        <v>0</v>
      </c>
      <c r="O27" s="658">
        <f>Calculations!N32/Calculations!N$9</f>
        <v>0</v>
      </c>
      <c r="P27" s="658">
        <f>Calculations!O32/Calculations!O$9</f>
        <v>0</v>
      </c>
      <c r="Q27" s="658">
        <f>Calculations!P32/Calculations!P$9</f>
        <v>0</v>
      </c>
      <c r="R27" s="658">
        <f>Calculations!Q32/Calculations!Q$9</f>
        <v>0</v>
      </c>
      <c r="S27" s="658">
        <f>Calculations!R32/Calculations!R$9</f>
        <v>0</v>
      </c>
      <c r="T27" s="658">
        <f>Calculations!S32/Calculations!S$9</f>
        <v>0</v>
      </c>
      <c r="U27" s="658">
        <f>Calculations!T32/Calculations!T$9</f>
        <v>0</v>
      </c>
      <c r="V27" s="658">
        <f>Calculations!U32/Calculations!U$9</f>
        <v>0</v>
      </c>
      <c r="W27" s="658">
        <f>Calculations!V32/Calculations!V$9</f>
        <v>0</v>
      </c>
      <c r="X27" s="658">
        <f>Calculations!W32/Calculations!W$9</f>
        <v>0</v>
      </c>
      <c r="Y27" s="658">
        <f>Calculations!X32/Calculations!X$9</f>
        <v>0</v>
      </c>
      <c r="Z27" s="658">
        <f>Calculations!Y32/Calculations!Y$9</f>
        <v>0</v>
      </c>
    </row>
    <row r="28" spans="3:26" ht="16.5" customHeight="1" x14ac:dyDescent="0.2">
      <c r="C28" s="512"/>
      <c r="D28" s="655" t="s">
        <v>254</v>
      </c>
      <c r="E28" s="656">
        <f>SUM(E9:E27)-E11</f>
        <v>0</v>
      </c>
      <c r="F28" s="656">
        <f t="shared" ref="F28:Z28" si="3">SUM(F9:F27)-F11</f>
        <v>0</v>
      </c>
      <c r="G28" s="656">
        <f t="shared" si="3"/>
        <v>0</v>
      </c>
      <c r="H28" s="656">
        <f t="shared" si="3"/>
        <v>0</v>
      </c>
      <c r="I28" s="656">
        <f t="shared" si="3"/>
        <v>0</v>
      </c>
      <c r="J28" s="656">
        <f t="shared" si="3"/>
        <v>0</v>
      </c>
      <c r="K28" s="656">
        <f t="shared" si="3"/>
        <v>0</v>
      </c>
      <c r="L28" s="656">
        <f t="shared" si="3"/>
        <v>0</v>
      </c>
      <c r="M28" s="656">
        <f t="shared" si="3"/>
        <v>0</v>
      </c>
      <c r="N28" s="656">
        <f t="shared" si="3"/>
        <v>0</v>
      </c>
      <c r="O28" s="656">
        <f t="shared" si="3"/>
        <v>0</v>
      </c>
      <c r="P28" s="656">
        <f t="shared" si="3"/>
        <v>0</v>
      </c>
      <c r="Q28" s="656">
        <f t="shared" si="3"/>
        <v>0</v>
      </c>
      <c r="R28" s="656">
        <f t="shared" si="3"/>
        <v>0</v>
      </c>
      <c r="S28" s="656">
        <f t="shared" si="3"/>
        <v>0</v>
      </c>
      <c r="T28" s="656">
        <f t="shared" si="3"/>
        <v>0</v>
      </c>
      <c r="U28" s="656">
        <f t="shared" si="3"/>
        <v>0</v>
      </c>
      <c r="V28" s="656">
        <f t="shared" si="3"/>
        <v>0</v>
      </c>
      <c r="W28" s="656">
        <f t="shared" si="3"/>
        <v>0</v>
      </c>
      <c r="X28" s="656">
        <f t="shared" si="3"/>
        <v>0</v>
      </c>
      <c r="Y28" s="656">
        <f t="shared" si="3"/>
        <v>0</v>
      </c>
      <c r="Z28" s="656">
        <f t="shared" si="3"/>
        <v>0</v>
      </c>
    </row>
    <row r="29" spans="3:26" ht="16.5" customHeight="1" x14ac:dyDescent="0.2">
      <c r="C29" s="512"/>
      <c r="D29" s="65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</row>
    <row r="30" spans="3:26" ht="16.5" customHeight="1" x14ac:dyDescent="0.25">
      <c r="C30" s="512"/>
      <c r="D30" s="650" t="str">
        <f>'User Input'!D53</f>
        <v>Option 1: Perform Manual Neutral Integrity where UE Meters are Removed</v>
      </c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</row>
    <row r="31" spans="3:26" ht="16.5" customHeight="1" x14ac:dyDescent="0.25">
      <c r="C31" s="512"/>
      <c r="D31" s="498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</row>
    <row r="32" spans="3:26" ht="16.5" customHeight="1" x14ac:dyDescent="0.25">
      <c r="C32" s="512"/>
      <c r="D32" s="653"/>
      <c r="E32" s="716"/>
      <c r="F32" s="716"/>
      <c r="G32" s="716"/>
      <c r="H32" s="716"/>
      <c r="I32" s="716"/>
      <c r="J32" s="716"/>
      <c r="K32" s="716"/>
      <c r="L32" s="716"/>
      <c r="M32" s="716"/>
      <c r="N32" s="716"/>
      <c r="O32" s="716"/>
      <c r="P32" s="716"/>
      <c r="Q32" s="716"/>
      <c r="R32" s="716"/>
      <c r="S32" s="716"/>
      <c r="T32" s="716"/>
      <c r="U32" s="716"/>
      <c r="V32" s="716"/>
      <c r="W32" s="716"/>
      <c r="X32" s="716"/>
      <c r="Y32" s="716"/>
      <c r="Z32" s="716"/>
    </row>
    <row r="33" spans="3:26" ht="16.5" customHeight="1" x14ac:dyDescent="0.25">
      <c r="C33" s="512"/>
      <c r="D33" s="653"/>
      <c r="E33" s="654" t="s">
        <v>254</v>
      </c>
      <c r="F33" s="654">
        <f>'User Input'!$E$6</f>
        <v>2017</v>
      </c>
      <c r="G33" s="654">
        <f>F33+1</f>
        <v>2018</v>
      </c>
      <c r="H33" s="654">
        <f t="shared" ref="H33:Z33" si="4">G33+1</f>
        <v>2019</v>
      </c>
      <c r="I33" s="654">
        <f t="shared" si="4"/>
        <v>2020</v>
      </c>
      <c r="J33" s="654">
        <f t="shared" si="4"/>
        <v>2021</v>
      </c>
      <c r="K33" s="654">
        <f t="shared" si="4"/>
        <v>2022</v>
      </c>
      <c r="L33" s="654">
        <f t="shared" si="4"/>
        <v>2023</v>
      </c>
      <c r="M33" s="654">
        <f t="shared" si="4"/>
        <v>2024</v>
      </c>
      <c r="N33" s="654">
        <f t="shared" si="4"/>
        <v>2025</v>
      </c>
      <c r="O33" s="654">
        <f t="shared" si="4"/>
        <v>2026</v>
      </c>
      <c r="P33" s="654">
        <f t="shared" si="4"/>
        <v>2027</v>
      </c>
      <c r="Q33" s="654">
        <f t="shared" si="4"/>
        <v>2028</v>
      </c>
      <c r="R33" s="654">
        <f t="shared" si="4"/>
        <v>2029</v>
      </c>
      <c r="S33" s="654">
        <f t="shared" si="4"/>
        <v>2030</v>
      </c>
      <c r="T33" s="654">
        <f t="shared" si="4"/>
        <v>2031</v>
      </c>
      <c r="U33" s="654">
        <f t="shared" si="4"/>
        <v>2032</v>
      </c>
      <c r="V33" s="654">
        <f t="shared" si="4"/>
        <v>2033</v>
      </c>
      <c r="W33" s="654">
        <f t="shared" si="4"/>
        <v>2034</v>
      </c>
      <c r="X33" s="654">
        <f t="shared" si="4"/>
        <v>2035</v>
      </c>
      <c r="Y33" s="654">
        <f t="shared" si="4"/>
        <v>2036</v>
      </c>
      <c r="Z33" s="654">
        <f t="shared" si="4"/>
        <v>2037</v>
      </c>
    </row>
    <row r="34" spans="3:26" ht="16.5" customHeight="1" x14ac:dyDescent="0.2">
      <c r="C34" s="512"/>
      <c r="D34" s="655" t="str">
        <f>Calculations!C38</f>
        <v>Capital Costs</v>
      </c>
      <c r="E34" s="656">
        <f>SUM(F34:Z34)</f>
        <v>1676.4331411179169</v>
      </c>
      <c r="F34" s="658">
        <f>Calculations!E38/Calculations!E$9</f>
        <v>0</v>
      </c>
      <c r="G34" s="658">
        <f>Calculations!F38/Calculations!F$9</f>
        <v>82.547682782482241</v>
      </c>
      <c r="H34" s="658">
        <f>Calculations!G38/Calculations!G$9</f>
        <v>85.178999366254374</v>
      </c>
      <c r="I34" s="658">
        <f>Calculations!H38/Calculations!H$9</f>
        <v>87.167794360534103</v>
      </c>
      <c r="J34" s="658">
        <f>Calculations!I38/Calculations!I$9</f>
        <v>88.583559125845071</v>
      </c>
      <c r="K34" s="658">
        <f>Calculations!J38/Calculations!J$9</f>
        <v>89.48964206527954</v>
      </c>
      <c r="L34" s="658">
        <f>Calculations!K38/Calculations!K$9</f>
        <v>89.94374297152514</v>
      </c>
      <c r="M34" s="658">
        <f>Calculations!L38/Calculations!L$9</f>
        <v>89.998369704166365</v>
      </c>
      <c r="N34" s="658">
        <f>Calculations!M38/Calculations!M$9</f>
        <v>89.701259967059812</v>
      </c>
      <c r="O34" s="658">
        <f>Calculations!N38/Calculations!N$9</f>
        <v>89.095770756990873</v>
      </c>
      <c r="P34" s="658">
        <f>Calculations!O38/Calculations!O$9</f>
        <v>88.22123787020098</v>
      </c>
      <c r="Q34" s="658">
        <f>Calculations!P38/Calculations!P$9</f>
        <v>87.113307681762635</v>
      </c>
      <c r="R34" s="658">
        <f>Calculations!Q38/Calculations!Q$9</f>
        <v>85.804243253269789</v>
      </c>
      <c r="S34" s="658">
        <f>Calculations!R38/Calculations!R$9</f>
        <v>84.323206676062966</v>
      </c>
      <c r="T34" s="658">
        <f>Calculations!S38/Calculations!S$9</f>
        <v>82.696519419439497</v>
      </c>
      <c r="U34" s="658">
        <f>Calculations!T38/Calculations!T$9</f>
        <v>80.947902325278321</v>
      </c>
      <c r="V34" s="658">
        <f>Calculations!U38/Calculations!U$9</f>
        <v>79.098696771560611</v>
      </c>
      <c r="W34" s="658">
        <f>Calculations!V38/Calculations!V$9</f>
        <v>77.168068416753499</v>
      </c>
      <c r="X34" s="658">
        <f>Calculations!W38/Calculations!W$9</f>
        <v>75.173194834362306</v>
      </c>
      <c r="Y34" s="658">
        <f>Calculations!X38/Calculations!X$9</f>
        <v>73.129438251593186</v>
      </c>
      <c r="Z34" s="658">
        <f>Calculations!Y38/Calculations!Y$9</f>
        <v>71.050504517495597</v>
      </c>
    </row>
    <row r="35" spans="3:26" ht="16.5" customHeight="1" x14ac:dyDescent="0.2">
      <c r="C35" s="512"/>
      <c r="D35" s="655" t="str">
        <f>Calculations!C39</f>
        <v>Maintenance Costs</v>
      </c>
      <c r="E35" s="656">
        <f>SUM(F35:Z35)</f>
        <v>0</v>
      </c>
      <c r="F35" s="658">
        <f>Calculations!E39/Calculations!E$9</f>
        <v>0</v>
      </c>
      <c r="G35" s="658">
        <f>Calculations!F39/Calculations!F$9</f>
        <v>0</v>
      </c>
      <c r="H35" s="658">
        <f>Calculations!G39/Calculations!G$9</f>
        <v>0</v>
      </c>
      <c r="I35" s="658">
        <f>Calculations!H39/Calculations!H$9</f>
        <v>0</v>
      </c>
      <c r="J35" s="658">
        <f>Calculations!I39/Calculations!I$9</f>
        <v>0</v>
      </c>
      <c r="K35" s="658">
        <f>Calculations!J39/Calculations!J$9</f>
        <v>0</v>
      </c>
      <c r="L35" s="658">
        <f>Calculations!K39/Calculations!K$9</f>
        <v>0</v>
      </c>
      <c r="M35" s="658">
        <f>Calculations!L39/Calculations!L$9</f>
        <v>0</v>
      </c>
      <c r="N35" s="658">
        <f>Calculations!M39/Calculations!M$9</f>
        <v>0</v>
      </c>
      <c r="O35" s="658">
        <f>Calculations!N39/Calculations!N$9</f>
        <v>0</v>
      </c>
      <c r="P35" s="658">
        <f>Calculations!O39/Calculations!O$9</f>
        <v>0</v>
      </c>
      <c r="Q35" s="658">
        <f>Calculations!P39/Calculations!P$9</f>
        <v>0</v>
      </c>
      <c r="R35" s="658">
        <f>Calculations!Q39/Calculations!Q$9</f>
        <v>0</v>
      </c>
      <c r="S35" s="658">
        <f>Calculations!R39/Calculations!R$9</f>
        <v>0</v>
      </c>
      <c r="T35" s="658">
        <f>Calculations!S39/Calculations!S$9</f>
        <v>0</v>
      </c>
      <c r="U35" s="658">
        <f>Calculations!T39/Calculations!T$9</f>
        <v>0</v>
      </c>
      <c r="V35" s="658">
        <f>Calculations!U39/Calculations!U$9</f>
        <v>0</v>
      </c>
      <c r="W35" s="658">
        <f>Calculations!V39/Calculations!V$9</f>
        <v>0</v>
      </c>
      <c r="X35" s="658">
        <f>Calculations!W39/Calculations!W$9</f>
        <v>0</v>
      </c>
      <c r="Y35" s="658">
        <f>Calculations!X39/Calculations!X$9</f>
        <v>0</v>
      </c>
      <c r="Z35" s="658">
        <f>Calculations!Y39/Calculations!Y$9</f>
        <v>0</v>
      </c>
    </row>
    <row r="36" spans="3:26" ht="16.5" customHeight="1" x14ac:dyDescent="0.2">
      <c r="C36" s="512"/>
      <c r="D36" s="655" t="str">
        <f>Calculations!C40</f>
        <v>Negative Impact on Revenue (STPIS)</v>
      </c>
      <c r="E36" s="656">
        <f t="shared" ref="E36:Z36" si="5">SUM(E37:E40)</f>
        <v>0</v>
      </c>
      <c r="F36" s="656">
        <f t="shared" si="5"/>
        <v>0</v>
      </c>
      <c r="G36" s="656">
        <f t="shared" si="5"/>
        <v>0</v>
      </c>
      <c r="H36" s="656">
        <f t="shared" si="5"/>
        <v>0</v>
      </c>
      <c r="I36" s="656">
        <f t="shared" si="5"/>
        <v>0</v>
      </c>
      <c r="J36" s="656">
        <f t="shared" si="5"/>
        <v>0</v>
      </c>
      <c r="K36" s="656">
        <f t="shared" si="5"/>
        <v>0</v>
      </c>
      <c r="L36" s="656">
        <f t="shared" si="5"/>
        <v>0</v>
      </c>
      <c r="M36" s="656">
        <f t="shared" si="5"/>
        <v>0</v>
      </c>
      <c r="N36" s="656">
        <f t="shared" si="5"/>
        <v>0</v>
      </c>
      <c r="O36" s="656">
        <f t="shared" si="5"/>
        <v>0</v>
      </c>
      <c r="P36" s="656">
        <f t="shared" si="5"/>
        <v>0</v>
      </c>
      <c r="Q36" s="656">
        <f t="shared" si="5"/>
        <v>0</v>
      </c>
      <c r="R36" s="656">
        <f t="shared" si="5"/>
        <v>0</v>
      </c>
      <c r="S36" s="656">
        <f t="shared" si="5"/>
        <v>0</v>
      </c>
      <c r="T36" s="656">
        <f t="shared" si="5"/>
        <v>0</v>
      </c>
      <c r="U36" s="656">
        <f t="shared" si="5"/>
        <v>0</v>
      </c>
      <c r="V36" s="656">
        <f t="shared" si="5"/>
        <v>0</v>
      </c>
      <c r="W36" s="656">
        <f t="shared" si="5"/>
        <v>0</v>
      </c>
      <c r="X36" s="656">
        <f t="shared" si="5"/>
        <v>0</v>
      </c>
      <c r="Y36" s="656">
        <f t="shared" si="5"/>
        <v>0</v>
      </c>
      <c r="Z36" s="656">
        <f t="shared" si="5"/>
        <v>0</v>
      </c>
    </row>
    <row r="37" spans="3:26" ht="16.5" customHeight="1" x14ac:dyDescent="0.2">
      <c r="C37" s="512"/>
      <c r="D37" s="659" t="str">
        <f>Calculations!C41</f>
        <v>SAIFI sustained</v>
      </c>
      <c r="E37" s="656">
        <f t="shared" ref="E37:E52" si="6">SUM(F37:Z37)</f>
        <v>0</v>
      </c>
      <c r="F37" s="658">
        <f>Calculations!E41/Calculations!E$9</f>
        <v>0</v>
      </c>
      <c r="G37" s="658">
        <f>Calculations!F41/Calculations!F$9</f>
        <v>0</v>
      </c>
      <c r="H37" s="658">
        <f>Calculations!G41/Calculations!G$9</f>
        <v>0</v>
      </c>
      <c r="I37" s="658">
        <f>Calculations!H41/Calculations!H$9</f>
        <v>0</v>
      </c>
      <c r="J37" s="658">
        <f>Calculations!I41/Calculations!I$9</f>
        <v>0</v>
      </c>
      <c r="K37" s="658">
        <f>Calculations!J41/Calculations!J$9</f>
        <v>0</v>
      </c>
      <c r="L37" s="658">
        <f>Calculations!K41/Calculations!K$9</f>
        <v>0</v>
      </c>
      <c r="M37" s="658">
        <f>Calculations!L41/Calculations!L$9</f>
        <v>0</v>
      </c>
      <c r="N37" s="658">
        <f>Calculations!M41/Calculations!M$9</f>
        <v>0</v>
      </c>
      <c r="O37" s="658">
        <f>Calculations!N41/Calculations!N$9</f>
        <v>0</v>
      </c>
      <c r="P37" s="658">
        <f>Calculations!O41/Calculations!O$9</f>
        <v>0</v>
      </c>
      <c r="Q37" s="658">
        <f>Calculations!P41/Calculations!P$9</f>
        <v>0</v>
      </c>
      <c r="R37" s="658">
        <f>Calculations!Q41/Calculations!Q$9</f>
        <v>0</v>
      </c>
      <c r="S37" s="658">
        <f>Calculations!R41/Calculations!R$9</f>
        <v>0</v>
      </c>
      <c r="T37" s="658">
        <f>Calculations!S41/Calculations!S$9</f>
        <v>0</v>
      </c>
      <c r="U37" s="658">
        <f>Calculations!T41/Calculations!T$9</f>
        <v>0</v>
      </c>
      <c r="V37" s="658">
        <f>Calculations!U41/Calculations!U$9</f>
        <v>0</v>
      </c>
      <c r="W37" s="658">
        <f>Calculations!V41/Calculations!V$9</f>
        <v>0</v>
      </c>
      <c r="X37" s="658">
        <f>Calculations!W41/Calculations!W$9</f>
        <v>0</v>
      </c>
      <c r="Y37" s="658">
        <f>Calculations!X41/Calculations!X$9</f>
        <v>0</v>
      </c>
      <c r="Z37" s="658">
        <f>Calculations!Y41/Calculations!Y$9</f>
        <v>0</v>
      </c>
    </row>
    <row r="38" spans="3:26" ht="16.5" customHeight="1" x14ac:dyDescent="0.2">
      <c r="C38" s="512"/>
      <c r="D38" s="659" t="str">
        <f>Calculations!C42</f>
        <v>SAIDI accidental</v>
      </c>
      <c r="E38" s="656">
        <f t="shared" si="6"/>
        <v>0</v>
      </c>
      <c r="F38" s="658">
        <f>Calculations!E42/Calculations!E$9</f>
        <v>0</v>
      </c>
      <c r="G38" s="658">
        <f>Calculations!F42/Calculations!F$9</f>
        <v>0</v>
      </c>
      <c r="H38" s="658">
        <f>Calculations!G42/Calculations!G$9</f>
        <v>0</v>
      </c>
      <c r="I38" s="658">
        <f>Calculations!H42/Calculations!H$9</f>
        <v>0</v>
      </c>
      <c r="J38" s="658">
        <f>Calculations!I42/Calculations!I$9</f>
        <v>0</v>
      </c>
      <c r="K38" s="658">
        <f>Calculations!J42/Calculations!J$9</f>
        <v>0</v>
      </c>
      <c r="L38" s="658">
        <f>Calculations!K42/Calculations!K$9</f>
        <v>0</v>
      </c>
      <c r="M38" s="658">
        <f>Calculations!L42/Calculations!L$9</f>
        <v>0</v>
      </c>
      <c r="N38" s="658">
        <f>Calculations!M42/Calculations!M$9</f>
        <v>0</v>
      </c>
      <c r="O38" s="658">
        <f>Calculations!N42/Calculations!N$9</f>
        <v>0</v>
      </c>
      <c r="P38" s="658">
        <f>Calculations!O42/Calculations!O$9</f>
        <v>0</v>
      </c>
      <c r="Q38" s="658">
        <f>Calculations!P42/Calculations!P$9</f>
        <v>0</v>
      </c>
      <c r="R38" s="658">
        <f>Calculations!Q42/Calculations!Q$9</f>
        <v>0</v>
      </c>
      <c r="S38" s="658">
        <f>Calculations!R42/Calculations!R$9</f>
        <v>0</v>
      </c>
      <c r="T38" s="658">
        <f>Calculations!S42/Calculations!S$9</f>
        <v>0</v>
      </c>
      <c r="U38" s="658">
        <f>Calculations!T42/Calculations!T$9</f>
        <v>0</v>
      </c>
      <c r="V38" s="658">
        <f>Calculations!U42/Calculations!U$9</f>
        <v>0</v>
      </c>
      <c r="W38" s="658">
        <f>Calculations!V42/Calculations!V$9</f>
        <v>0</v>
      </c>
      <c r="X38" s="658">
        <f>Calculations!W42/Calculations!W$9</f>
        <v>0</v>
      </c>
      <c r="Y38" s="658">
        <f>Calculations!X42/Calculations!X$9</f>
        <v>0</v>
      </c>
      <c r="Z38" s="658">
        <f>Calculations!Y42/Calculations!Y$9</f>
        <v>0</v>
      </c>
    </row>
    <row r="39" spans="3:26" ht="16.5" customHeight="1" x14ac:dyDescent="0.2">
      <c r="C39" s="512"/>
      <c r="D39" s="659" t="str">
        <f>Calculations!C43</f>
        <v>MAIFI momentary</v>
      </c>
      <c r="E39" s="656">
        <f t="shared" si="6"/>
        <v>0</v>
      </c>
      <c r="F39" s="658">
        <f>Calculations!E43/Calculations!E$9</f>
        <v>0</v>
      </c>
      <c r="G39" s="658">
        <f>Calculations!F43/Calculations!F$9</f>
        <v>0</v>
      </c>
      <c r="H39" s="658">
        <f>Calculations!G43/Calculations!G$9</f>
        <v>0</v>
      </c>
      <c r="I39" s="658">
        <f>Calculations!H43/Calculations!H$9</f>
        <v>0</v>
      </c>
      <c r="J39" s="658">
        <f>Calculations!I43/Calculations!I$9</f>
        <v>0</v>
      </c>
      <c r="K39" s="658">
        <f>Calculations!J43/Calculations!J$9</f>
        <v>0</v>
      </c>
      <c r="L39" s="658">
        <f>Calculations!K43/Calculations!K$9</f>
        <v>0</v>
      </c>
      <c r="M39" s="658">
        <f>Calculations!L43/Calculations!L$9</f>
        <v>0</v>
      </c>
      <c r="N39" s="658">
        <f>Calculations!M43/Calculations!M$9</f>
        <v>0</v>
      </c>
      <c r="O39" s="658">
        <f>Calculations!N43/Calculations!N$9</f>
        <v>0</v>
      </c>
      <c r="P39" s="658">
        <f>Calculations!O43/Calculations!O$9</f>
        <v>0</v>
      </c>
      <c r="Q39" s="658">
        <f>Calculations!P43/Calculations!P$9</f>
        <v>0</v>
      </c>
      <c r="R39" s="658">
        <f>Calculations!Q43/Calculations!Q$9</f>
        <v>0</v>
      </c>
      <c r="S39" s="658">
        <f>Calculations!R43/Calculations!R$9</f>
        <v>0</v>
      </c>
      <c r="T39" s="658">
        <f>Calculations!S43/Calculations!S$9</f>
        <v>0</v>
      </c>
      <c r="U39" s="658">
        <f>Calculations!T43/Calculations!T$9</f>
        <v>0</v>
      </c>
      <c r="V39" s="658">
        <f>Calculations!U43/Calculations!U$9</f>
        <v>0</v>
      </c>
      <c r="W39" s="658">
        <f>Calculations!V43/Calculations!V$9</f>
        <v>0</v>
      </c>
      <c r="X39" s="658">
        <f>Calculations!W43/Calculations!W$9</f>
        <v>0</v>
      </c>
      <c r="Y39" s="658">
        <f>Calculations!X43/Calculations!X$9</f>
        <v>0</v>
      </c>
      <c r="Z39" s="658">
        <f>Calculations!Y43/Calculations!Y$9</f>
        <v>0</v>
      </c>
    </row>
    <row r="40" spans="3:26" ht="16.5" customHeight="1" x14ac:dyDescent="0.2">
      <c r="C40" s="512"/>
      <c r="D40" s="659" t="str">
        <f>Calculations!C44</f>
        <v>Call centre response</v>
      </c>
      <c r="E40" s="656">
        <f t="shared" si="6"/>
        <v>0</v>
      </c>
      <c r="F40" s="658">
        <f>Calculations!E44/Calculations!E$9</f>
        <v>0</v>
      </c>
      <c r="G40" s="658">
        <f>Calculations!F44/Calculations!F$9</f>
        <v>0</v>
      </c>
      <c r="H40" s="658">
        <f>Calculations!G44/Calculations!G$9</f>
        <v>0</v>
      </c>
      <c r="I40" s="658">
        <f>Calculations!H44/Calculations!H$9</f>
        <v>0</v>
      </c>
      <c r="J40" s="658">
        <f>Calculations!I44/Calculations!I$9</f>
        <v>0</v>
      </c>
      <c r="K40" s="658">
        <f>Calculations!J44/Calculations!J$9</f>
        <v>0</v>
      </c>
      <c r="L40" s="658">
        <f>Calculations!K44/Calculations!K$9</f>
        <v>0</v>
      </c>
      <c r="M40" s="658">
        <f>Calculations!L44/Calculations!L$9</f>
        <v>0</v>
      </c>
      <c r="N40" s="658">
        <f>Calculations!M44/Calculations!M$9</f>
        <v>0</v>
      </c>
      <c r="O40" s="658">
        <f>Calculations!N44/Calculations!N$9</f>
        <v>0</v>
      </c>
      <c r="P40" s="658">
        <f>Calculations!O44/Calculations!O$9</f>
        <v>0</v>
      </c>
      <c r="Q40" s="658">
        <f>Calculations!P44/Calculations!P$9</f>
        <v>0</v>
      </c>
      <c r="R40" s="658">
        <f>Calculations!Q44/Calculations!Q$9</f>
        <v>0</v>
      </c>
      <c r="S40" s="658">
        <f>Calculations!R44/Calculations!R$9</f>
        <v>0</v>
      </c>
      <c r="T40" s="658">
        <f>Calculations!S44/Calculations!S$9</f>
        <v>0</v>
      </c>
      <c r="U40" s="658">
        <f>Calculations!T44/Calculations!T$9</f>
        <v>0</v>
      </c>
      <c r="V40" s="658">
        <f>Calculations!U44/Calculations!U$9</f>
        <v>0</v>
      </c>
      <c r="W40" s="658">
        <f>Calculations!V44/Calculations!V$9</f>
        <v>0</v>
      </c>
      <c r="X40" s="658">
        <f>Calculations!W44/Calculations!W$9</f>
        <v>0</v>
      </c>
      <c r="Y40" s="658">
        <f>Calculations!X44/Calculations!X$9</f>
        <v>0</v>
      </c>
      <c r="Z40" s="658">
        <f>Calculations!Y44/Calculations!Y$9</f>
        <v>0</v>
      </c>
    </row>
    <row r="41" spans="3:26" ht="16.5" customHeight="1" x14ac:dyDescent="0.2">
      <c r="C41" s="512"/>
      <c r="D41" s="655" t="str">
        <f>Calculations!C45</f>
        <v>Network Outage Costs</v>
      </c>
      <c r="E41" s="656">
        <f t="shared" si="6"/>
        <v>0</v>
      </c>
      <c r="F41" s="658">
        <f>Calculations!E45/Calculations!E$9</f>
        <v>0</v>
      </c>
      <c r="G41" s="658">
        <f>Calculations!F45/Calculations!F$9</f>
        <v>0</v>
      </c>
      <c r="H41" s="658">
        <f>Calculations!G45/Calculations!G$9</f>
        <v>0</v>
      </c>
      <c r="I41" s="658">
        <f>Calculations!H45/Calculations!H$9</f>
        <v>0</v>
      </c>
      <c r="J41" s="658">
        <f>Calculations!I45/Calculations!I$9</f>
        <v>0</v>
      </c>
      <c r="K41" s="658">
        <f>Calculations!J45/Calculations!J$9</f>
        <v>0</v>
      </c>
      <c r="L41" s="658">
        <f>Calculations!K45/Calculations!K$9</f>
        <v>0</v>
      </c>
      <c r="M41" s="658">
        <f>Calculations!L45/Calculations!L$9</f>
        <v>0</v>
      </c>
      <c r="N41" s="658">
        <f>Calculations!M45/Calculations!M$9</f>
        <v>0</v>
      </c>
      <c r="O41" s="658">
        <f>Calculations!N45/Calculations!N$9</f>
        <v>0</v>
      </c>
      <c r="P41" s="658">
        <f>Calculations!O45/Calculations!O$9</f>
        <v>0</v>
      </c>
      <c r="Q41" s="658">
        <f>Calculations!P45/Calculations!P$9</f>
        <v>0</v>
      </c>
      <c r="R41" s="658">
        <f>Calculations!Q45/Calculations!Q$9</f>
        <v>0</v>
      </c>
      <c r="S41" s="658">
        <f>Calculations!R45/Calculations!R$9</f>
        <v>0</v>
      </c>
      <c r="T41" s="658">
        <f>Calculations!S45/Calculations!S$9</f>
        <v>0</v>
      </c>
      <c r="U41" s="658">
        <f>Calculations!T45/Calculations!T$9</f>
        <v>0</v>
      </c>
      <c r="V41" s="658">
        <f>Calculations!U45/Calculations!U$9</f>
        <v>0</v>
      </c>
      <c r="W41" s="658">
        <f>Calculations!V45/Calculations!V$9</f>
        <v>0</v>
      </c>
      <c r="X41" s="658">
        <f>Calculations!W45/Calculations!W$9</f>
        <v>0</v>
      </c>
      <c r="Y41" s="658">
        <f>Calculations!X45/Calculations!X$9</f>
        <v>0</v>
      </c>
      <c r="Z41" s="658">
        <f>Calculations!Y45/Calculations!Y$9</f>
        <v>0</v>
      </c>
    </row>
    <row r="42" spans="3:26" ht="16.5" customHeight="1" x14ac:dyDescent="0.2">
      <c r="C42" s="512"/>
      <c r="D42" s="655" t="str">
        <f>Calculations!C46</f>
        <v>Loss of F Factor Benefit</v>
      </c>
      <c r="E42" s="656">
        <f t="shared" si="6"/>
        <v>0</v>
      </c>
      <c r="F42" s="658">
        <f>Calculations!E46/Calculations!E$9</f>
        <v>0</v>
      </c>
      <c r="G42" s="658">
        <f>Calculations!F46/Calculations!F$9</f>
        <v>0</v>
      </c>
      <c r="H42" s="658">
        <f>Calculations!G46/Calculations!G$9</f>
        <v>0</v>
      </c>
      <c r="I42" s="658">
        <f>Calculations!H46/Calculations!H$9</f>
        <v>0</v>
      </c>
      <c r="J42" s="658">
        <f>Calculations!I46/Calculations!I$9</f>
        <v>0</v>
      </c>
      <c r="K42" s="658">
        <f>Calculations!J46/Calculations!J$9</f>
        <v>0</v>
      </c>
      <c r="L42" s="658">
        <f>Calculations!K46/Calculations!K$9</f>
        <v>0</v>
      </c>
      <c r="M42" s="658">
        <f>Calculations!L46/Calculations!L$9</f>
        <v>0</v>
      </c>
      <c r="N42" s="658">
        <f>Calculations!M46/Calculations!M$9</f>
        <v>0</v>
      </c>
      <c r="O42" s="658">
        <f>Calculations!N46/Calculations!N$9</f>
        <v>0</v>
      </c>
      <c r="P42" s="658">
        <f>Calculations!O46/Calculations!O$9</f>
        <v>0</v>
      </c>
      <c r="Q42" s="658">
        <f>Calculations!P46/Calculations!P$9</f>
        <v>0</v>
      </c>
      <c r="R42" s="658">
        <f>Calculations!Q46/Calculations!Q$9</f>
        <v>0</v>
      </c>
      <c r="S42" s="658">
        <f>Calculations!R46/Calculations!R$9</f>
        <v>0</v>
      </c>
      <c r="T42" s="658">
        <f>Calculations!S46/Calculations!S$9</f>
        <v>0</v>
      </c>
      <c r="U42" s="658">
        <f>Calculations!T46/Calculations!T$9</f>
        <v>0</v>
      </c>
      <c r="V42" s="658">
        <f>Calculations!U46/Calculations!U$9</f>
        <v>0</v>
      </c>
      <c r="W42" s="658">
        <f>Calculations!V46/Calculations!V$9</f>
        <v>0</v>
      </c>
      <c r="X42" s="658">
        <f>Calculations!W46/Calculations!W$9</f>
        <v>0</v>
      </c>
      <c r="Y42" s="658">
        <f>Calculations!X46/Calculations!X$9</f>
        <v>0</v>
      </c>
      <c r="Z42" s="658">
        <f>Calculations!Y46/Calculations!Y$9</f>
        <v>0</v>
      </c>
    </row>
    <row r="43" spans="3:26" ht="16.5" customHeight="1" x14ac:dyDescent="0.2">
      <c r="C43" s="512"/>
      <c r="D43" s="655" t="str">
        <f>Calculations!C47</f>
        <v>Neutral integrity Testing (NIT) reverted to Manual Testing 10 years after 1 December 2017 - Assume  start manual NIT in 2027.</v>
      </c>
      <c r="E43" s="656">
        <f t="shared" si="6"/>
        <v>4253.6549638685474</v>
      </c>
      <c r="F43" s="658">
        <f>Calculations!E47/Calculations!E$9</f>
        <v>0</v>
      </c>
      <c r="G43" s="658">
        <f>Calculations!F47/Calculations!F$9</f>
        <v>0</v>
      </c>
      <c r="H43" s="658">
        <f>Calculations!G47/Calculations!G$9</f>
        <v>0</v>
      </c>
      <c r="I43" s="658">
        <f>Calculations!H47/Calculations!H$9</f>
        <v>0</v>
      </c>
      <c r="J43" s="658">
        <f>Calculations!I47/Calculations!I$9</f>
        <v>0</v>
      </c>
      <c r="K43" s="658">
        <f>Calculations!J47/Calculations!J$9</f>
        <v>0</v>
      </c>
      <c r="L43" s="658">
        <f>Calculations!K47/Calculations!K$9</f>
        <v>0</v>
      </c>
      <c r="M43" s="658">
        <f>Calculations!L47/Calculations!L$9</f>
        <v>0</v>
      </c>
      <c r="N43" s="658">
        <f>Calculations!M47/Calculations!M$9</f>
        <v>0</v>
      </c>
      <c r="O43" s="658">
        <f>Calculations!N47/Calculations!N$9</f>
        <v>0</v>
      </c>
      <c r="P43" s="658">
        <f>Calculations!O47/Calculations!O$9</f>
        <v>46.354843407237183</v>
      </c>
      <c r="Q43" s="658">
        <f>Calculations!P47/Calculations!P$9</f>
        <v>521.62222156031805</v>
      </c>
      <c r="R43" s="658">
        <f>Calculations!Q47/Calculations!Q$9</f>
        <v>495.01169834672072</v>
      </c>
      <c r="S43" s="658">
        <f>Calculations!R47/Calculations!R$9</f>
        <v>469.92541945973551</v>
      </c>
      <c r="T43" s="658">
        <f>Calculations!S47/Calculations!S$9</f>
        <v>446.28781021799421</v>
      </c>
      <c r="U43" s="658">
        <f>Calculations!T47/Calculations!T$9</f>
        <v>423.97800162154647</v>
      </c>
      <c r="V43" s="658">
        <f>Calculations!U47/Calculations!U$9</f>
        <v>402.90965747775931</v>
      </c>
      <c r="W43" s="658">
        <f>Calculations!V47/Calculations!V$9</f>
        <v>383.00281882219099</v>
      </c>
      <c r="X43" s="658">
        <f>Calculations!W47/Calculations!W$9</f>
        <v>364.18339709255213</v>
      </c>
      <c r="Y43" s="658">
        <f>Calculations!X47/Calculations!X$9</f>
        <v>346.38270859645536</v>
      </c>
      <c r="Z43" s="658">
        <f>Calculations!Y47/Calculations!Y$9</f>
        <v>353.99638726603808</v>
      </c>
    </row>
    <row r="44" spans="3:26" ht="16.5" customHeight="1" x14ac:dyDescent="0.2">
      <c r="C44" s="512"/>
      <c r="D44" s="655" t="str">
        <f>Calculations!C48</f>
        <v>Ping Real Time confirmation Customer Power is on/off - Avoided LV Truck Roll Outs = $20M over 10 years, Therefore $2M p.a. Therefore utilise % to work out cost e.g. 2017 implies 499 * 2000/ (650,000 + 499).</v>
      </c>
      <c r="E44" s="656">
        <f t="shared" si="6"/>
        <v>1360.8439645023861</v>
      </c>
      <c r="F44" s="658">
        <f>Calculations!E48/Calculations!E$9</f>
        <v>0</v>
      </c>
      <c r="G44" s="658">
        <f>Calculations!F48/Calculations!F$9</f>
        <v>15.997740923245056</v>
      </c>
      <c r="H44" s="658">
        <f>Calculations!G48/Calculations!G$9</f>
        <v>28.759527604206248</v>
      </c>
      <c r="I44" s="658">
        <f>Calculations!H48/Calculations!H$9</f>
        <v>39.799362108447198</v>
      </c>
      <c r="J44" s="658">
        <f>Calculations!I48/Calculations!I$9</f>
        <v>49.157061194911257</v>
      </c>
      <c r="K44" s="658">
        <f>Calculations!J48/Calculations!J$9</f>
        <v>57.00708718960454</v>
      </c>
      <c r="L44" s="658">
        <f>Calculations!K48/Calculations!K$9</f>
        <v>63.524162870905471</v>
      </c>
      <c r="M44" s="658">
        <f>Calculations!L48/Calculations!L$9</f>
        <v>68.855998296798376</v>
      </c>
      <c r="N44" s="658">
        <f>Calculations!M48/Calculations!M$9</f>
        <v>73.138031359937415</v>
      </c>
      <c r="O44" s="658">
        <f>Calculations!N48/Calculations!N$9</f>
        <v>76.492276481710164</v>
      </c>
      <c r="P44" s="658">
        <f>Calculations!O48/Calculations!O$9</f>
        <v>79.028575182562065</v>
      </c>
      <c r="Q44" s="658">
        <f>Calculations!P48/Calculations!P$9</f>
        <v>80.845733299923324</v>
      </c>
      <c r="R44" s="658">
        <f>Calculations!Q48/Calculations!Q$9</f>
        <v>82.032555046214384</v>
      </c>
      <c r="S44" s="658">
        <f>Calculations!R48/Calculations!R$9</f>
        <v>82.668783178062398</v>
      </c>
      <c r="T44" s="658">
        <f>Calculations!S48/Calculations!S$9</f>
        <v>82.825953711113016</v>
      </c>
      <c r="U44" s="658">
        <f>Calculations!T48/Calculations!T$9</f>
        <v>82.568172854712657</v>
      </c>
      <c r="V44" s="658">
        <f>Calculations!U48/Calculations!U$9</f>
        <v>81.95282315007853</v>
      </c>
      <c r="W44" s="658">
        <f>Calculations!V48/Calculations!V$9</f>
        <v>81.031205167875569</v>
      </c>
      <c r="X44" s="658">
        <f>Calculations!W48/Calculations!W$9</f>
        <v>79.849120550517824</v>
      </c>
      <c r="Y44" s="658">
        <f>Calculations!X48/Calculations!X$9</f>
        <v>78.447401665701221</v>
      </c>
      <c r="Z44" s="658">
        <f>Calculations!Y48/Calculations!Y$9</f>
        <v>76.862392665859176</v>
      </c>
    </row>
    <row r="45" spans="3:26" ht="16.5" customHeight="1" x14ac:dyDescent="0.2">
      <c r="C45" s="512"/>
      <c r="D45" s="655" t="str">
        <f>Calculations!C49</f>
        <v>Cost 3</v>
      </c>
      <c r="E45" s="656">
        <f t="shared" si="6"/>
        <v>0</v>
      </c>
      <c r="F45" s="658">
        <f>Calculations!E49/Calculations!E$9</f>
        <v>0</v>
      </c>
      <c r="G45" s="658">
        <f>Calculations!F49/Calculations!F$9</f>
        <v>0</v>
      </c>
      <c r="H45" s="658">
        <f>Calculations!G49/Calculations!G$9</f>
        <v>0</v>
      </c>
      <c r="I45" s="658">
        <f>Calculations!H49/Calculations!H$9</f>
        <v>0</v>
      </c>
      <c r="J45" s="658">
        <f>Calculations!I49/Calculations!I$9</f>
        <v>0</v>
      </c>
      <c r="K45" s="658">
        <f>Calculations!J49/Calculations!J$9</f>
        <v>0</v>
      </c>
      <c r="L45" s="658">
        <f>Calculations!K49/Calculations!K$9</f>
        <v>0</v>
      </c>
      <c r="M45" s="658">
        <f>Calculations!L49/Calculations!L$9</f>
        <v>0</v>
      </c>
      <c r="N45" s="658">
        <f>Calculations!M49/Calculations!M$9</f>
        <v>0</v>
      </c>
      <c r="O45" s="658">
        <f>Calculations!N49/Calculations!N$9</f>
        <v>0</v>
      </c>
      <c r="P45" s="658">
        <f>Calculations!O49/Calculations!O$9</f>
        <v>0</v>
      </c>
      <c r="Q45" s="658">
        <f>Calculations!P49/Calculations!P$9</f>
        <v>0</v>
      </c>
      <c r="R45" s="658">
        <f>Calculations!Q49/Calculations!Q$9</f>
        <v>0</v>
      </c>
      <c r="S45" s="658">
        <f>Calculations!R49/Calculations!R$9</f>
        <v>0</v>
      </c>
      <c r="T45" s="658">
        <f>Calculations!S49/Calculations!S$9</f>
        <v>0</v>
      </c>
      <c r="U45" s="658">
        <f>Calculations!T49/Calculations!T$9</f>
        <v>0</v>
      </c>
      <c r="V45" s="658">
        <f>Calculations!U49/Calculations!U$9</f>
        <v>0</v>
      </c>
      <c r="W45" s="658">
        <f>Calculations!V49/Calculations!V$9</f>
        <v>0</v>
      </c>
      <c r="X45" s="658">
        <f>Calculations!W49/Calculations!W$9</f>
        <v>0</v>
      </c>
      <c r="Y45" s="658">
        <f>Calculations!X49/Calculations!X$9</f>
        <v>0</v>
      </c>
      <c r="Z45" s="658">
        <f>Calculations!Y49/Calculations!Y$9</f>
        <v>0</v>
      </c>
    </row>
    <row r="46" spans="3:26" ht="16.5" customHeight="1" x14ac:dyDescent="0.2">
      <c r="C46" s="512"/>
      <c r="D46" s="655" t="str">
        <f>Calculations!C50</f>
        <v>Cost 4</v>
      </c>
      <c r="E46" s="656">
        <f t="shared" si="6"/>
        <v>0</v>
      </c>
      <c r="F46" s="658">
        <f>Calculations!E50/Calculations!E$9</f>
        <v>0</v>
      </c>
      <c r="G46" s="658">
        <f>Calculations!F50/Calculations!F$9</f>
        <v>0</v>
      </c>
      <c r="H46" s="658">
        <f>Calculations!G50/Calculations!G$9</f>
        <v>0</v>
      </c>
      <c r="I46" s="658">
        <f>Calculations!H50/Calculations!H$9</f>
        <v>0</v>
      </c>
      <c r="J46" s="658">
        <f>Calculations!I50/Calculations!I$9</f>
        <v>0</v>
      </c>
      <c r="K46" s="658">
        <f>Calculations!J50/Calculations!J$9</f>
        <v>0</v>
      </c>
      <c r="L46" s="658">
        <f>Calculations!K50/Calculations!K$9</f>
        <v>0</v>
      </c>
      <c r="M46" s="658">
        <f>Calculations!L50/Calculations!L$9</f>
        <v>0</v>
      </c>
      <c r="N46" s="658">
        <f>Calculations!M50/Calculations!M$9</f>
        <v>0</v>
      </c>
      <c r="O46" s="658">
        <f>Calculations!N50/Calculations!N$9</f>
        <v>0</v>
      </c>
      <c r="P46" s="658">
        <f>Calculations!O50/Calculations!O$9</f>
        <v>0</v>
      </c>
      <c r="Q46" s="658">
        <f>Calculations!P50/Calculations!P$9</f>
        <v>0</v>
      </c>
      <c r="R46" s="658">
        <f>Calculations!Q50/Calculations!Q$9</f>
        <v>0</v>
      </c>
      <c r="S46" s="658">
        <f>Calculations!R50/Calculations!R$9</f>
        <v>0</v>
      </c>
      <c r="T46" s="658">
        <f>Calculations!S50/Calculations!S$9</f>
        <v>0</v>
      </c>
      <c r="U46" s="658">
        <f>Calculations!T50/Calculations!T$9</f>
        <v>0</v>
      </c>
      <c r="V46" s="658">
        <f>Calculations!U50/Calculations!U$9</f>
        <v>0</v>
      </c>
      <c r="W46" s="658">
        <f>Calculations!V50/Calculations!V$9</f>
        <v>0</v>
      </c>
      <c r="X46" s="658">
        <f>Calculations!W50/Calculations!W$9</f>
        <v>0</v>
      </c>
      <c r="Y46" s="658">
        <f>Calculations!X50/Calculations!X$9</f>
        <v>0</v>
      </c>
      <c r="Z46" s="658">
        <f>Calculations!Y50/Calculations!Y$9</f>
        <v>0</v>
      </c>
    </row>
    <row r="47" spans="3:26" ht="16.5" customHeight="1" x14ac:dyDescent="0.2">
      <c r="C47" s="512"/>
      <c r="D47" s="655" t="str">
        <f>Calculations!C51</f>
        <v>Cost 5</v>
      </c>
      <c r="E47" s="656">
        <f t="shared" si="6"/>
        <v>0</v>
      </c>
      <c r="F47" s="658">
        <f>Calculations!E51/Calculations!E$9</f>
        <v>0</v>
      </c>
      <c r="G47" s="658">
        <f>Calculations!F51/Calculations!F$9</f>
        <v>0</v>
      </c>
      <c r="H47" s="658">
        <f>Calculations!G51/Calculations!G$9</f>
        <v>0</v>
      </c>
      <c r="I47" s="658">
        <f>Calculations!H51/Calculations!H$9</f>
        <v>0</v>
      </c>
      <c r="J47" s="658">
        <f>Calculations!I51/Calculations!I$9</f>
        <v>0</v>
      </c>
      <c r="K47" s="658">
        <f>Calculations!J51/Calculations!J$9</f>
        <v>0</v>
      </c>
      <c r="L47" s="658">
        <f>Calculations!K51/Calculations!K$9</f>
        <v>0</v>
      </c>
      <c r="M47" s="658">
        <f>Calculations!L51/Calculations!L$9</f>
        <v>0</v>
      </c>
      <c r="N47" s="658">
        <f>Calculations!M51/Calculations!M$9</f>
        <v>0</v>
      </c>
      <c r="O47" s="658">
        <f>Calculations!N51/Calculations!N$9</f>
        <v>0</v>
      </c>
      <c r="P47" s="658">
        <f>Calculations!O51/Calculations!O$9</f>
        <v>0</v>
      </c>
      <c r="Q47" s="658">
        <f>Calculations!P51/Calculations!P$9</f>
        <v>0</v>
      </c>
      <c r="R47" s="658">
        <f>Calculations!Q51/Calculations!Q$9</f>
        <v>0</v>
      </c>
      <c r="S47" s="658">
        <f>Calculations!R51/Calculations!R$9</f>
        <v>0</v>
      </c>
      <c r="T47" s="658">
        <f>Calculations!S51/Calculations!S$9</f>
        <v>0</v>
      </c>
      <c r="U47" s="658">
        <f>Calculations!T51/Calculations!T$9</f>
        <v>0</v>
      </c>
      <c r="V47" s="658">
        <f>Calculations!U51/Calculations!U$9</f>
        <v>0</v>
      </c>
      <c r="W47" s="658">
        <f>Calculations!V51/Calculations!V$9</f>
        <v>0</v>
      </c>
      <c r="X47" s="658">
        <f>Calculations!W51/Calculations!W$9</f>
        <v>0</v>
      </c>
      <c r="Y47" s="658">
        <f>Calculations!X51/Calculations!X$9</f>
        <v>0</v>
      </c>
      <c r="Z47" s="658">
        <f>Calculations!Y51/Calculations!Y$9</f>
        <v>0</v>
      </c>
    </row>
    <row r="48" spans="3:26" ht="16.5" customHeight="1" x14ac:dyDescent="0.2">
      <c r="C48" s="512"/>
      <c r="D48" s="655" t="str">
        <f>Calculations!C52</f>
        <v>Risk 1</v>
      </c>
      <c r="E48" s="656">
        <f t="shared" si="6"/>
        <v>0</v>
      </c>
      <c r="F48" s="658">
        <f>Calculations!E52/Calculations!E$9</f>
        <v>0</v>
      </c>
      <c r="G48" s="658">
        <f>Calculations!F52/Calculations!F$9</f>
        <v>0</v>
      </c>
      <c r="H48" s="658">
        <f>Calculations!G52/Calculations!G$9</f>
        <v>0</v>
      </c>
      <c r="I48" s="658">
        <f>Calculations!H52/Calculations!H$9</f>
        <v>0</v>
      </c>
      <c r="J48" s="658">
        <f>Calculations!I52/Calculations!I$9</f>
        <v>0</v>
      </c>
      <c r="K48" s="658">
        <f>Calculations!J52/Calculations!J$9</f>
        <v>0</v>
      </c>
      <c r="L48" s="658">
        <f>Calculations!K52/Calculations!K$9</f>
        <v>0</v>
      </c>
      <c r="M48" s="658">
        <f>Calculations!L52/Calculations!L$9</f>
        <v>0</v>
      </c>
      <c r="N48" s="658">
        <f>Calculations!M52/Calculations!M$9</f>
        <v>0</v>
      </c>
      <c r="O48" s="658">
        <f>Calculations!N52/Calculations!N$9</f>
        <v>0</v>
      </c>
      <c r="P48" s="658">
        <f>Calculations!O52/Calculations!O$9</f>
        <v>0</v>
      </c>
      <c r="Q48" s="658">
        <f>Calculations!P52/Calculations!P$9</f>
        <v>0</v>
      </c>
      <c r="R48" s="658">
        <f>Calculations!Q52/Calculations!Q$9</f>
        <v>0</v>
      </c>
      <c r="S48" s="658">
        <f>Calculations!R52/Calculations!R$9</f>
        <v>0</v>
      </c>
      <c r="T48" s="658">
        <f>Calculations!S52/Calculations!S$9</f>
        <v>0</v>
      </c>
      <c r="U48" s="658">
        <f>Calculations!T52/Calculations!T$9</f>
        <v>0</v>
      </c>
      <c r="V48" s="658">
        <f>Calculations!U52/Calculations!U$9</f>
        <v>0</v>
      </c>
      <c r="W48" s="658">
        <f>Calculations!V52/Calculations!V$9</f>
        <v>0</v>
      </c>
      <c r="X48" s="658">
        <f>Calculations!W52/Calculations!W$9</f>
        <v>0</v>
      </c>
      <c r="Y48" s="658">
        <f>Calculations!X52/Calculations!X$9</f>
        <v>0</v>
      </c>
      <c r="Z48" s="658">
        <f>Calculations!Y52/Calculations!Y$9</f>
        <v>0</v>
      </c>
    </row>
    <row r="49" spans="3:26" ht="16.5" customHeight="1" x14ac:dyDescent="0.2">
      <c r="C49" s="512"/>
      <c r="D49" s="655" t="str">
        <f>Calculations!C53</f>
        <v>Risk 2</v>
      </c>
      <c r="E49" s="656">
        <f t="shared" si="6"/>
        <v>0</v>
      </c>
      <c r="F49" s="658">
        <f>Calculations!E53/Calculations!E$9</f>
        <v>0</v>
      </c>
      <c r="G49" s="658">
        <f>Calculations!F53/Calculations!F$9</f>
        <v>0</v>
      </c>
      <c r="H49" s="658">
        <f>Calculations!G53/Calculations!G$9</f>
        <v>0</v>
      </c>
      <c r="I49" s="658">
        <f>Calculations!H53/Calculations!H$9</f>
        <v>0</v>
      </c>
      <c r="J49" s="658">
        <f>Calculations!I53/Calculations!I$9</f>
        <v>0</v>
      </c>
      <c r="K49" s="658">
        <f>Calculations!J53/Calculations!J$9</f>
        <v>0</v>
      </c>
      <c r="L49" s="658">
        <f>Calculations!K53/Calculations!K$9</f>
        <v>0</v>
      </c>
      <c r="M49" s="658">
        <f>Calculations!L53/Calculations!L$9</f>
        <v>0</v>
      </c>
      <c r="N49" s="658">
        <f>Calculations!M53/Calculations!M$9</f>
        <v>0</v>
      </c>
      <c r="O49" s="658">
        <f>Calculations!N53/Calculations!N$9</f>
        <v>0</v>
      </c>
      <c r="P49" s="658">
        <f>Calculations!O53/Calculations!O$9</f>
        <v>0</v>
      </c>
      <c r="Q49" s="658">
        <f>Calculations!P53/Calculations!P$9</f>
        <v>0</v>
      </c>
      <c r="R49" s="658">
        <f>Calculations!Q53/Calculations!Q$9</f>
        <v>0</v>
      </c>
      <c r="S49" s="658">
        <f>Calculations!R53/Calculations!R$9</f>
        <v>0</v>
      </c>
      <c r="T49" s="658">
        <f>Calculations!S53/Calculations!S$9</f>
        <v>0</v>
      </c>
      <c r="U49" s="658">
        <f>Calculations!T53/Calculations!T$9</f>
        <v>0</v>
      </c>
      <c r="V49" s="658">
        <f>Calculations!U53/Calculations!U$9</f>
        <v>0</v>
      </c>
      <c r="W49" s="658">
        <f>Calculations!V53/Calculations!V$9</f>
        <v>0</v>
      </c>
      <c r="X49" s="658">
        <f>Calculations!W53/Calculations!W$9</f>
        <v>0</v>
      </c>
      <c r="Y49" s="658">
        <f>Calculations!X53/Calculations!X$9</f>
        <v>0</v>
      </c>
      <c r="Z49" s="658">
        <f>Calculations!Y53/Calculations!Y$9</f>
        <v>0</v>
      </c>
    </row>
    <row r="50" spans="3:26" ht="16.5" customHeight="1" x14ac:dyDescent="0.2">
      <c r="C50" s="512"/>
      <c r="D50" s="655" t="str">
        <f>Calculations!C54</f>
        <v>Risk 3</v>
      </c>
      <c r="E50" s="656">
        <f t="shared" si="6"/>
        <v>0</v>
      </c>
      <c r="F50" s="658">
        <f>Calculations!E54/Calculations!E$9</f>
        <v>0</v>
      </c>
      <c r="G50" s="658">
        <f>Calculations!F54/Calculations!F$9</f>
        <v>0</v>
      </c>
      <c r="H50" s="658">
        <f>Calculations!G54/Calculations!G$9</f>
        <v>0</v>
      </c>
      <c r="I50" s="658">
        <f>Calculations!H54/Calculations!H$9</f>
        <v>0</v>
      </c>
      <c r="J50" s="658">
        <f>Calculations!I54/Calculations!I$9</f>
        <v>0</v>
      </c>
      <c r="K50" s="658">
        <f>Calculations!J54/Calculations!J$9</f>
        <v>0</v>
      </c>
      <c r="L50" s="658">
        <f>Calculations!K54/Calculations!K$9</f>
        <v>0</v>
      </c>
      <c r="M50" s="658">
        <f>Calculations!L54/Calculations!L$9</f>
        <v>0</v>
      </c>
      <c r="N50" s="658">
        <f>Calculations!M54/Calculations!M$9</f>
        <v>0</v>
      </c>
      <c r="O50" s="658">
        <f>Calculations!N54/Calculations!N$9</f>
        <v>0</v>
      </c>
      <c r="P50" s="658">
        <f>Calculations!O54/Calculations!O$9</f>
        <v>0</v>
      </c>
      <c r="Q50" s="658">
        <f>Calculations!P54/Calculations!P$9</f>
        <v>0</v>
      </c>
      <c r="R50" s="658">
        <f>Calculations!Q54/Calculations!Q$9</f>
        <v>0</v>
      </c>
      <c r="S50" s="658">
        <f>Calculations!R54/Calculations!R$9</f>
        <v>0</v>
      </c>
      <c r="T50" s="658">
        <f>Calculations!S54/Calculations!S$9</f>
        <v>0</v>
      </c>
      <c r="U50" s="658">
        <f>Calculations!T54/Calculations!T$9</f>
        <v>0</v>
      </c>
      <c r="V50" s="658">
        <f>Calculations!U54/Calculations!U$9</f>
        <v>0</v>
      </c>
      <c r="W50" s="658">
        <f>Calculations!V54/Calculations!V$9</f>
        <v>0</v>
      </c>
      <c r="X50" s="658">
        <f>Calculations!W54/Calculations!W$9</f>
        <v>0</v>
      </c>
      <c r="Y50" s="658">
        <f>Calculations!X54/Calculations!X$9</f>
        <v>0</v>
      </c>
      <c r="Z50" s="658">
        <f>Calculations!Y54/Calculations!Y$9</f>
        <v>0</v>
      </c>
    </row>
    <row r="51" spans="3:26" ht="16.5" customHeight="1" x14ac:dyDescent="0.2">
      <c r="C51" s="512"/>
      <c r="D51" s="655" t="str">
        <f>Calculations!C55</f>
        <v>Risk 4</v>
      </c>
      <c r="E51" s="656">
        <f t="shared" si="6"/>
        <v>0</v>
      </c>
      <c r="F51" s="658">
        <f>Calculations!E55/Calculations!E$9</f>
        <v>0</v>
      </c>
      <c r="G51" s="658">
        <f>Calculations!F55/Calculations!F$9</f>
        <v>0</v>
      </c>
      <c r="H51" s="658">
        <f>Calculations!G55/Calculations!G$9</f>
        <v>0</v>
      </c>
      <c r="I51" s="658">
        <f>Calculations!H55/Calculations!H$9</f>
        <v>0</v>
      </c>
      <c r="J51" s="658">
        <f>Calculations!I55/Calculations!I$9</f>
        <v>0</v>
      </c>
      <c r="K51" s="658">
        <f>Calculations!J55/Calculations!J$9</f>
        <v>0</v>
      </c>
      <c r="L51" s="658">
        <f>Calculations!K55/Calculations!K$9</f>
        <v>0</v>
      </c>
      <c r="M51" s="658">
        <f>Calculations!L55/Calculations!L$9</f>
        <v>0</v>
      </c>
      <c r="N51" s="658">
        <f>Calculations!M55/Calculations!M$9</f>
        <v>0</v>
      </c>
      <c r="O51" s="658">
        <f>Calculations!N55/Calculations!N$9</f>
        <v>0</v>
      </c>
      <c r="P51" s="658">
        <f>Calculations!O55/Calculations!O$9</f>
        <v>0</v>
      </c>
      <c r="Q51" s="658">
        <f>Calculations!P55/Calculations!P$9</f>
        <v>0</v>
      </c>
      <c r="R51" s="658">
        <f>Calculations!Q55/Calculations!Q$9</f>
        <v>0</v>
      </c>
      <c r="S51" s="658">
        <f>Calculations!R55/Calculations!R$9</f>
        <v>0</v>
      </c>
      <c r="T51" s="658">
        <f>Calculations!S55/Calculations!S$9</f>
        <v>0</v>
      </c>
      <c r="U51" s="658">
        <f>Calculations!T55/Calculations!T$9</f>
        <v>0</v>
      </c>
      <c r="V51" s="658">
        <f>Calculations!U55/Calculations!U$9</f>
        <v>0</v>
      </c>
      <c r="W51" s="658">
        <f>Calculations!V55/Calculations!V$9</f>
        <v>0</v>
      </c>
      <c r="X51" s="658">
        <f>Calculations!W55/Calculations!W$9</f>
        <v>0</v>
      </c>
      <c r="Y51" s="658">
        <f>Calculations!X55/Calculations!X$9</f>
        <v>0</v>
      </c>
      <c r="Z51" s="658">
        <f>Calculations!Y55/Calculations!Y$9</f>
        <v>0</v>
      </c>
    </row>
    <row r="52" spans="3:26" ht="16.5" customHeight="1" x14ac:dyDescent="0.2">
      <c r="C52" s="512"/>
      <c r="D52" s="655" t="str">
        <f>Calculations!C56</f>
        <v>Risk 5</v>
      </c>
      <c r="E52" s="656">
        <f t="shared" si="6"/>
        <v>0</v>
      </c>
      <c r="F52" s="658">
        <f>Calculations!E56/Calculations!E$9</f>
        <v>0</v>
      </c>
      <c r="G52" s="658">
        <f>Calculations!F56/Calculations!F$9</f>
        <v>0</v>
      </c>
      <c r="H52" s="658">
        <f>Calculations!G56/Calculations!G$9</f>
        <v>0</v>
      </c>
      <c r="I52" s="658">
        <f>Calculations!H56/Calculations!H$9</f>
        <v>0</v>
      </c>
      <c r="J52" s="658">
        <f>Calculations!I56/Calculations!I$9</f>
        <v>0</v>
      </c>
      <c r="K52" s="658">
        <f>Calculations!J56/Calculations!J$9</f>
        <v>0</v>
      </c>
      <c r="L52" s="658">
        <f>Calculations!K56/Calculations!K$9</f>
        <v>0</v>
      </c>
      <c r="M52" s="658">
        <f>Calculations!L56/Calculations!L$9</f>
        <v>0</v>
      </c>
      <c r="N52" s="658">
        <f>Calculations!M56/Calculations!M$9</f>
        <v>0</v>
      </c>
      <c r="O52" s="658">
        <f>Calculations!N56/Calculations!N$9</f>
        <v>0</v>
      </c>
      <c r="P52" s="658">
        <f>Calculations!O56/Calculations!O$9</f>
        <v>0</v>
      </c>
      <c r="Q52" s="658">
        <f>Calculations!P56/Calculations!P$9</f>
        <v>0</v>
      </c>
      <c r="R52" s="658">
        <f>Calculations!Q56/Calculations!Q$9</f>
        <v>0</v>
      </c>
      <c r="S52" s="658">
        <f>Calculations!R56/Calculations!R$9</f>
        <v>0</v>
      </c>
      <c r="T52" s="658">
        <f>Calculations!S56/Calculations!S$9</f>
        <v>0</v>
      </c>
      <c r="U52" s="658">
        <f>Calculations!T56/Calculations!T$9</f>
        <v>0</v>
      </c>
      <c r="V52" s="658">
        <f>Calculations!U56/Calculations!U$9</f>
        <v>0</v>
      </c>
      <c r="W52" s="658">
        <f>Calculations!V56/Calculations!V$9</f>
        <v>0</v>
      </c>
      <c r="X52" s="658">
        <f>Calculations!W56/Calculations!W$9</f>
        <v>0</v>
      </c>
      <c r="Y52" s="658">
        <f>Calculations!X56/Calculations!X$9</f>
        <v>0</v>
      </c>
      <c r="Z52" s="658">
        <f>Calculations!Y56/Calculations!Y$9</f>
        <v>0</v>
      </c>
    </row>
    <row r="53" spans="3:26" ht="16.5" customHeight="1" x14ac:dyDescent="0.2">
      <c r="C53" s="512"/>
      <c r="D53" s="655" t="s">
        <v>254</v>
      </c>
      <c r="E53" s="656">
        <f t="shared" ref="E53:Z53" si="7">SUM(E34:E52)-E36</f>
        <v>7290.9320694888502</v>
      </c>
      <c r="F53" s="656">
        <f t="shared" si="7"/>
        <v>0</v>
      </c>
      <c r="G53" s="656">
        <f t="shared" si="7"/>
        <v>98.545423705727302</v>
      </c>
      <c r="H53" s="656">
        <f t="shared" si="7"/>
        <v>113.93852697046063</v>
      </c>
      <c r="I53" s="656">
        <f t="shared" si="7"/>
        <v>126.9671564689813</v>
      </c>
      <c r="J53" s="656">
        <f t="shared" si="7"/>
        <v>137.74062032075634</v>
      </c>
      <c r="K53" s="656">
        <f t="shared" si="7"/>
        <v>146.49672925488409</v>
      </c>
      <c r="L53" s="656">
        <f t="shared" si="7"/>
        <v>153.46790584243061</v>
      </c>
      <c r="M53" s="656">
        <f t="shared" si="7"/>
        <v>158.85436800096474</v>
      </c>
      <c r="N53" s="656">
        <f t="shared" si="7"/>
        <v>162.83929132699723</v>
      </c>
      <c r="O53" s="656">
        <f t="shared" si="7"/>
        <v>165.58804723870105</v>
      </c>
      <c r="P53" s="656">
        <f t="shared" si="7"/>
        <v>213.60465646000023</v>
      </c>
      <c r="Q53" s="656">
        <f t="shared" si="7"/>
        <v>689.58126254200397</v>
      </c>
      <c r="R53" s="656">
        <f t="shared" si="7"/>
        <v>662.84849664620492</v>
      </c>
      <c r="S53" s="656">
        <f t="shared" si="7"/>
        <v>636.91740931386096</v>
      </c>
      <c r="T53" s="656">
        <f t="shared" si="7"/>
        <v>611.8102833485467</v>
      </c>
      <c r="U53" s="656">
        <f t="shared" si="7"/>
        <v>587.4940768015374</v>
      </c>
      <c r="V53" s="656">
        <f t="shared" si="7"/>
        <v>563.96117739939848</v>
      </c>
      <c r="W53" s="656">
        <f t="shared" si="7"/>
        <v>541.20209240682004</v>
      </c>
      <c r="X53" s="656">
        <f t="shared" si="7"/>
        <v>519.20571247743226</v>
      </c>
      <c r="Y53" s="656">
        <f t="shared" si="7"/>
        <v>497.95954851374972</v>
      </c>
      <c r="Z53" s="656">
        <f t="shared" si="7"/>
        <v>501.90928444939289</v>
      </c>
    </row>
    <row r="54" spans="3:26" ht="16.5" customHeight="1" x14ac:dyDescent="0.2"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</row>
    <row r="55" spans="3:26" ht="16.5" customHeight="1" x14ac:dyDescent="0.25">
      <c r="C55" s="512"/>
      <c r="D55" s="650" t="str">
        <f>'User Input'!D82</f>
        <v>Option 2: Replace / Install Network Devices</v>
      </c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</row>
    <row r="56" spans="3:26" ht="16.5" customHeight="1" x14ac:dyDescent="0.25">
      <c r="C56" s="512"/>
      <c r="D56" s="498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</row>
    <row r="57" spans="3:26" ht="16.5" customHeight="1" x14ac:dyDescent="0.25">
      <c r="C57" s="512"/>
      <c r="D57" s="653"/>
      <c r="E57" s="716"/>
      <c r="F57" s="716"/>
      <c r="G57" s="716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6"/>
      <c r="T57" s="716"/>
      <c r="U57" s="716"/>
      <c r="V57" s="716"/>
      <c r="W57" s="716"/>
      <c r="X57" s="716"/>
      <c r="Y57" s="716"/>
      <c r="Z57" s="716"/>
    </row>
    <row r="58" spans="3:26" ht="16.5" customHeight="1" x14ac:dyDescent="0.25">
      <c r="C58" s="512"/>
      <c r="D58" s="653"/>
      <c r="E58" s="654" t="s">
        <v>254</v>
      </c>
      <c r="F58" s="654">
        <f>'User Input'!$E$6</f>
        <v>2017</v>
      </c>
      <c r="G58" s="654">
        <f>F58+1</f>
        <v>2018</v>
      </c>
      <c r="H58" s="654">
        <f t="shared" ref="H58:Z58" si="8">G58+1</f>
        <v>2019</v>
      </c>
      <c r="I58" s="654">
        <f t="shared" si="8"/>
        <v>2020</v>
      </c>
      <c r="J58" s="654">
        <f t="shared" si="8"/>
        <v>2021</v>
      </c>
      <c r="K58" s="654">
        <f t="shared" si="8"/>
        <v>2022</v>
      </c>
      <c r="L58" s="654">
        <f t="shared" si="8"/>
        <v>2023</v>
      </c>
      <c r="M58" s="654">
        <f t="shared" si="8"/>
        <v>2024</v>
      </c>
      <c r="N58" s="654">
        <f t="shared" si="8"/>
        <v>2025</v>
      </c>
      <c r="O58" s="654">
        <f t="shared" si="8"/>
        <v>2026</v>
      </c>
      <c r="P58" s="654">
        <f t="shared" si="8"/>
        <v>2027</v>
      </c>
      <c r="Q58" s="654">
        <f t="shared" si="8"/>
        <v>2028</v>
      </c>
      <c r="R58" s="654">
        <f t="shared" si="8"/>
        <v>2029</v>
      </c>
      <c r="S58" s="654">
        <f t="shared" si="8"/>
        <v>2030</v>
      </c>
      <c r="T58" s="654">
        <f t="shared" si="8"/>
        <v>2031</v>
      </c>
      <c r="U58" s="654">
        <f t="shared" si="8"/>
        <v>2032</v>
      </c>
      <c r="V58" s="654">
        <f t="shared" si="8"/>
        <v>2033</v>
      </c>
      <c r="W58" s="654">
        <f t="shared" si="8"/>
        <v>2034</v>
      </c>
      <c r="X58" s="654">
        <f t="shared" si="8"/>
        <v>2035</v>
      </c>
      <c r="Y58" s="654">
        <f t="shared" si="8"/>
        <v>2036</v>
      </c>
      <c r="Z58" s="654">
        <f t="shared" si="8"/>
        <v>2037</v>
      </c>
    </row>
    <row r="59" spans="3:26" ht="16.5" customHeight="1" x14ac:dyDescent="0.2">
      <c r="C59" s="512"/>
      <c r="D59" s="655" t="str">
        <f>Calculations!C62</f>
        <v>Capital Costs</v>
      </c>
      <c r="E59" s="656">
        <f>SUM(F59:Z59)</f>
        <v>4013.9967431493333</v>
      </c>
      <c r="F59" s="658">
        <f>Calculations!E62/Calculations!E$9</f>
        <v>398.12089915345371</v>
      </c>
      <c r="G59" s="658">
        <f>Calculations!F62/Calculations!F$9</f>
        <v>1263.6132686621886</v>
      </c>
      <c r="H59" s="658">
        <f>Calculations!G62/Calculations!G$9</f>
        <v>1204.4414927234889</v>
      </c>
      <c r="I59" s="658">
        <f>Calculations!H62/Calculations!H$9</f>
        <v>1147.8210826102022</v>
      </c>
      <c r="J59" s="658">
        <f>Calculations!I62/Calculations!I$9</f>
        <v>0</v>
      </c>
      <c r="K59" s="658">
        <f>Calculations!J62/Calculations!J$9</f>
        <v>0</v>
      </c>
      <c r="L59" s="658">
        <f>Calculations!K62/Calculations!K$9</f>
        <v>0</v>
      </c>
      <c r="M59" s="658">
        <f>Calculations!L62/Calculations!L$9</f>
        <v>0</v>
      </c>
      <c r="N59" s="658">
        <f>Calculations!M62/Calculations!M$9</f>
        <v>0</v>
      </c>
      <c r="O59" s="658">
        <f>Calculations!N62/Calculations!N$9</f>
        <v>0</v>
      </c>
      <c r="P59" s="658">
        <f>Calculations!O62/Calculations!O$9</f>
        <v>0</v>
      </c>
      <c r="Q59" s="658">
        <f>Calculations!P62/Calculations!P$9</f>
        <v>0</v>
      </c>
      <c r="R59" s="658">
        <f>Calculations!Q62/Calculations!Q$9</f>
        <v>0</v>
      </c>
      <c r="S59" s="658">
        <f>Calculations!R62/Calculations!R$9</f>
        <v>0</v>
      </c>
      <c r="T59" s="658">
        <f>Calculations!S62/Calculations!S$9</f>
        <v>0</v>
      </c>
      <c r="U59" s="658">
        <f>Calculations!T62/Calculations!T$9</f>
        <v>0</v>
      </c>
      <c r="V59" s="658">
        <f>Calculations!U62/Calculations!U$9</f>
        <v>0</v>
      </c>
      <c r="W59" s="658">
        <f>Calculations!V62/Calculations!V$9</f>
        <v>0</v>
      </c>
      <c r="X59" s="658">
        <f>Calculations!W62/Calculations!W$9</f>
        <v>0</v>
      </c>
      <c r="Y59" s="658">
        <f>Calculations!X62/Calculations!X$9</f>
        <v>0</v>
      </c>
      <c r="Z59" s="658">
        <f>Calculations!Y62/Calculations!Y$9</f>
        <v>0</v>
      </c>
    </row>
    <row r="60" spans="3:26" ht="16.5" customHeight="1" x14ac:dyDescent="0.2">
      <c r="C60" s="512"/>
      <c r="D60" s="655" t="str">
        <f>Calculations!C63</f>
        <v>Maintenance Costs</v>
      </c>
      <c r="E60" s="656">
        <f>SUM(F60:Z60)</f>
        <v>0</v>
      </c>
      <c r="F60" s="658">
        <f>Calculations!E63/Calculations!E$9</f>
        <v>0</v>
      </c>
      <c r="G60" s="658">
        <f>Calculations!F63/Calculations!F$9</f>
        <v>0</v>
      </c>
      <c r="H60" s="658">
        <f>Calculations!G63/Calculations!G$9</f>
        <v>0</v>
      </c>
      <c r="I60" s="658">
        <f>Calculations!H63/Calculations!H$9</f>
        <v>0</v>
      </c>
      <c r="J60" s="658">
        <f>Calculations!I63/Calculations!I$9</f>
        <v>0</v>
      </c>
      <c r="K60" s="658">
        <f>Calculations!J63/Calculations!J$9</f>
        <v>0</v>
      </c>
      <c r="L60" s="658">
        <f>Calculations!K63/Calculations!K$9</f>
        <v>0</v>
      </c>
      <c r="M60" s="658">
        <f>Calculations!L63/Calculations!L$9</f>
        <v>0</v>
      </c>
      <c r="N60" s="658">
        <f>Calculations!M63/Calculations!M$9</f>
        <v>0</v>
      </c>
      <c r="O60" s="658">
        <f>Calculations!N63/Calculations!N$9</f>
        <v>0</v>
      </c>
      <c r="P60" s="658">
        <f>Calculations!O63/Calculations!O$9</f>
        <v>0</v>
      </c>
      <c r="Q60" s="658">
        <f>Calculations!P63/Calculations!P$9</f>
        <v>0</v>
      </c>
      <c r="R60" s="658">
        <f>Calculations!Q63/Calculations!Q$9</f>
        <v>0</v>
      </c>
      <c r="S60" s="658">
        <f>Calculations!R63/Calculations!R$9</f>
        <v>0</v>
      </c>
      <c r="T60" s="658">
        <f>Calculations!S63/Calculations!S$9</f>
        <v>0</v>
      </c>
      <c r="U60" s="658">
        <f>Calculations!T63/Calculations!T$9</f>
        <v>0</v>
      </c>
      <c r="V60" s="658">
        <f>Calculations!U63/Calculations!U$9</f>
        <v>0</v>
      </c>
      <c r="W60" s="658">
        <f>Calculations!V63/Calculations!V$9</f>
        <v>0</v>
      </c>
      <c r="X60" s="658">
        <f>Calculations!W63/Calculations!W$9</f>
        <v>0</v>
      </c>
      <c r="Y60" s="658">
        <f>Calculations!X63/Calculations!X$9</f>
        <v>0</v>
      </c>
      <c r="Z60" s="658">
        <f>Calculations!Y63/Calculations!Y$9</f>
        <v>0</v>
      </c>
    </row>
    <row r="61" spans="3:26" ht="16.5" customHeight="1" x14ac:dyDescent="0.2">
      <c r="C61" s="512"/>
      <c r="D61" s="655" t="str">
        <f>Calculations!C64</f>
        <v>Negative Impact on Revenue (STPIS)</v>
      </c>
      <c r="E61" s="656">
        <f t="shared" ref="E61:Z61" si="9">SUM(E62:E65)</f>
        <v>0</v>
      </c>
      <c r="F61" s="656">
        <f t="shared" si="9"/>
        <v>0</v>
      </c>
      <c r="G61" s="656">
        <f t="shared" si="9"/>
        <v>0</v>
      </c>
      <c r="H61" s="656">
        <f t="shared" si="9"/>
        <v>0</v>
      </c>
      <c r="I61" s="656">
        <f t="shared" si="9"/>
        <v>0</v>
      </c>
      <c r="J61" s="656">
        <f t="shared" si="9"/>
        <v>0</v>
      </c>
      <c r="K61" s="656">
        <f t="shared" si="9"/>
        <v>0</v>
      </c>
      <c r="L61" s="656">
        <f t="shared" si="9"/>
        <v>0</v>
      </c>
      <c r="M61" s="656">
        <f t="shared" si="9"/>
        <v>0</v>
      </c>
      <c r="N61" s="656">
        <f t="shared" si="9"/>
        <v>0</v>
      </c>
      <c r="O61" s="656">
        <f t="shared" si="9"/>
        <v>0</v>
      </c>
      <c r="P61" s="656">
        <f t="shared" si="9"/>
        <v>0</v>
      </c>
      <c r="Q61" s="656">
        <f t="shared" si="9"/>
        <v>0</v>
      </c>
      <c r="R61" s="656">
        <f t="shared" si="9"/>
        <v>0</v>
      </c>
      <c r="S61" s="656">
        <f t="shared" si="9"/>
        <v>0</v>
      </c>
      <c r="T61" s="656">
        <f t="shared" si="9"/>
        <v>0</v>
      </c>
      <c r="U61" s="656">
        <f t="shared" si="9"/>
        <v>0</v>
      </c>
      <c r="V61" s="656">
        <f t="shared" si="9"/>
        <v>0</v>
      </c>
      <c r="W61" s="656">
        <f t="shared" si="9"/>
        <v>0</v>
      </c>
      <c r="X61" s="656">
        <f t="shared" si="9"/>
        <v>0</v>
      </c>
      <c r="Y61" s="656">
        <f t="shared" si="9"/>
        <v>0</v>
      </c>
      <c r="Z61" s="656">
        <f t="shared" si="9"/>
        <v>0</v>
      </c>
    </row>
    <row r="62" spans="3:26" ht="16.5" customHeight="1" x14ac:dyDescent="0.2">
      <c r="C62" s="512"/>
      <c r="D62" s="659" t="str">
        <f>Calculations!C65</f>
        <v>SAIFI sustained</v>
      </c>
      <c r="E62" s="656">
        <f t="shared" ref="E62:E77" si="10">SUM(F62:Z62)</f>
        <v>0</v>
      </c>
      <c r="F62" s="658">
        <f>Calculations!E65/Calculations!E$9</f>
        <v>0</v>
      </c>
      <c r="G62" s="658">
        <f>Calculations!F65/Calculations!F$9</f>
        <v>0</v>
      </c>
      <c r="H62" s="658">
        <f>Calculations!G65/Calculations!G$9</f>
        <v>0</v>
      </c>
      <c r="I62" s="658">
        <f>Calculations!H65/Calculations!H$9</f>
        <v>0</v>
      </c>
      <c r="J62" s="658">
        <f>Calculations!I65/Calculations!I$9</f>
        <v>0</v>
      </c>
      <c r="K62" s="658">
        <f>Calculations!J65/Calculations!J$9</f>
        <v>0</v>
      </c>
      <c r="L62" s="658">
        <f>Calculations!K65/Calculations!K$9</f>
        <v>0</v>
      </c>
      <c r="M62" s="658">
        <f>Calculations!L65/Calculations!L$9</f>
        <v>0</v>
      </c>
      <c r="N62" s="658">
        <f>Calculations!M65/Calculations!M$9</f>
        <v>0</v>
      </c>
      <c r="O62" s="658">
        <f>Calculations!N65/Calculations!N$9</f>
        <v>0</v>
      </c>
      <c r="P62" s="658">
        <f>Calculations!O65/Calculations!O$9</f>
        <v>0</v>
      </c>
      <c r="Q62" s="658">
        <f>Calculations!P65/Calculations!P$9</f>
        <v>0</v>
      </c>
      <c r="R62" s="658">
        <f>Calculations!Q65/Calculations!Q$9</f>
        <v>0</v>
      </c>
      <c r="S62" s="658">
        <f>Calculations!R65/Calculations!R$9</f>
        <v>0</v>
      </c>
      <c r="T62" s="658">
        <f>Calculations!S65/Calculations!S$9</f>
        <v>0</v>
      </c>
      <c r="U62" s="658">
        <f>Calculations!T65/Calculations!T$9</f>
        <v>0</v>
      </c>
      <c r="V62" s="658">
        <f>Calculations!U65/Calculations!U$9</f>
        <v>0</v>
      </c>
      <c r="W62" s="658">
        <f>Calculations!V65/Calculations!V$9</f>
        <v>0</v>
      </c>
      <c r="X62" s="658">
        <f>Calculations!W65/Calculations!W$9</f>
        <v>0</v>
      </c>
      <c r="Y62" s="658">
        <f>Calculations!X65/Calculations!X$9</f>
        <v>0</v>
      </c>
      <c r="Z62" s="658">
        <f>Calculations!Y65/Calculations!Y$9</f>
        <v>0</v>
      </c>
    </row>
    <row r="63" spans="3:26" ht="16.5" customHeight="1" x14ac:dyDescent="0.2">
      <c r="C63" s="512"/>
      <c r="D63" s="659" t="str">
        <f>Calculations!C66</f>
        <v>SAIDI accidental</v>
      </c>
      <c r="E63" s="656">
        <f t="shared" si="10"/>
        <v>0</v>
      </c>
      <c r="F63" s="658">
        <f>Calculations!E66/Calculations!E$9</f>
        <v>0</v>
      </c>
      <c r="G63" s="658">
        <f>Calculations!F66/Calculations!F$9</f>
        <v>0</v>
      </c>
      <c r="H63" s="658">
        <f>Calculations!G66/Calculations!G$9</f>
        <v>0</v>
      </c>
      <c r="I63" s="658">
        <f>Calculations!H66/Calculations!H$9</f>
        <v>0</v>
      </c>
      <c r="J63" s="658">
        <f>Calculations!I66/Calculations!I$9</f>
        <v>0</v>
      </c>
      <c r="K63" s="658">
        <f>Calculations!J66/Calculations!J$9</f>
        <v>0</v>
      </c>
      <c r="L63" s="658">
        <f>Calculations!K66/Calculations!K$9</f>
        <v>0</v>
      </c>
      <c r="M63" s="658">
        <f>Calculations!L66/Calculations!L$9</f>
        <v>0</v>
      </c>
      <c r="N63" s="658">
        <f>Calculations!M66/Calculations!M$9</f>
        <v>0</v>
      </c>
      <c r="O63" s="658">
        <f>Calculations!N66/Calculations!N$9</f>
        <v>0</v>
      </c>
      <c r="P63" s="658">
        <f>Calculations!O66/Calculations!O$9</f>
        <v>0</v>
      </c>
      <c r="Q63" s="658">
        <f>Calculations!P66/Calculations!P$9</f>
        <v>0</v>
      </c>
      <c r="R63" s="658">
        <f>Calculations!Q66/Calculations!Q$9</f>
        <v>0</v>
      </c>
      <c r="S63" s="658">
        <f>Calculations!R66/Calculations!R$9</f>
        <v>0</v>
      </c>
      <c r="T63" s="658">
        <f>Calculations!S66/Calculations!S$9</f>
        <v>0</v>
      </c>
      <c r="U63" s="658">
        <f>Calculations!T66/Calculations!T$9</f>
        <v>0</v>
      </c>
      <c r="V63" s="658">
        <f>Calculations!U66/Calculations!U$9</f>
        <v>0</v>
      </c>
      <c r="W63" s="658">
        <f>Calculations!V66/Calculations!V$9</f>
        <v>0</v>
      </c>
      <c r="X63" s="658">
        <f>Calculations!W66/Calculations!W$9</f>
        <v>0</v>
      </c>
      <c r="Y63" s="658">
        <f>Calculations!X66/Calculations!X$9</f>
        <v>0</v>
      </c>
      <c r="Z63" s="658">
        <f>Calculations!Y66/Calculations!Y$9</f>
        <v>0</v>
      </c>
    </row>
    <row r="64" spans="3:26" ht="16.5" customHeight="1" x14ac:dyDescent="0.2">
      <c r="C64" s="512"/>
      <c r="D64" s="659" t="str">
        <f>Calculations!C67</f>
        <v>MAIFI momentary</v>
      </c>
      <c r="E64" s="656">
        <f t="shared" si="10"/>
        <v>0</v>
      </c>
      <c r="F64" s="658">
        <f>Calculations!E67/Calculations!E$9</f>
        <v>0</v>
      </c>
      <c r="G64" s="658">
        <f>Calculations!F67/Calculations!F$9</f>
        <v>0</v>
      </c>
      <c r="H64" s="658">
        <f>Calculations!G67/Calculations!G$9</f>
        <v>0</v>
      </c>
      <c r="I64" s="658">
        <f>Calculations!H67/Calculations!H$9</f>
        <v>0</v>
      </c>
      <c r="J64" s="658">
        <f>Calculations!I67/Calculations!I$9</f>
        <v>0</v>
      </c>
      <c r="K64" s="658">
        <f>Calculations!J67/Calculations!J$9</f>
        <v>0</v>
      </c>
      <c r="L64" s="658">
        <f>Calculations!K67/Calculations!K$9</f>
        <v>0</v>
      </c>
      <c r="M64" s="658">
        <f>Calculations!L67/Calculations!L$9</f>
        <v>0</v>
      </c>
      <c r="N64" s="658">
        <f>Calculations!M67/Calculations!M$9</f>
        <v>0</v>
      </c>
      <c r="O64" s="658">
        <f>Calculations!N67/Calculations!N$9</f>
        <v>0</v>
      </c>
      <c r="P64" s="658">
        <f>Calculations!O67/Calculations!O$9</f>
        <v>0</v>
      </c>
      <c r="Q64" s="658">
        <f>Calculations!P67/Calculations!P$9</f>
        <v>0</v>
      </c>
      <c r="R64" s="658">
        <f>Calculations!Q67/Calculations!Q$9</f>
        <v>0</v>
      </c>
      <c r="S64" s="658">
        <f>Calculations!R67/Calculations!R$9</f>
        <v>0</v>
      </c>
      <c r="T64" s="658">
        <f>Calculations!S67/Calculations!S$9</f>
        <v>0</v>
      </c>
      <c r="U64" s="658">
        <f>Calculations!T67/Calculations!T$9</f>
        <v>0</v>
      </c>
      <c r="V64" s="658">
        <f>Calculations!U67/Calculations!U$9</f>
        <v>0</v>
      </c>
      <c r="W64" s="658">
        <f>Calculations!V67/Calculations!V$9</f>
        <v>0</v>
      </c>
      <c r="X64" s="658">
        <f>Calculations!W67/Calculations!W$9</f>
        <v>0</v>
      </c>
      <c r="Y64" s="658">
        <f>Calculations!X67/Calculations!X$9</f>
        <v>0</v>
      </c>
      <c r="Z64" s="658">
        <f>Calculations!Y67/Calculations!Y$9</f>
        <v>0</v>
      </c>
    </row>
    <row r="65" spans="3:26" ht="16.5" customHeight="1" x14ac:dyDescent="0.2">
      <c r="C65" s="512"/>
      <c r="D65" s="659" t="str">
        <f>Calculations!C68</f>
        <v>Call centre response</v>
      </c>
      <c r="E65" s="656">
        <f t="shared" si="10"/>
        <v>0</v>
      </c>
      <c r="F65" s="658">
        <f>Calculations!E68/Calculations!E$9</f>
        <v>0</v>
      </c>
      <c r="G65" s="658">
        <f>Calculations!F68/Calculations!F$9</f>
        <v>0</v>
      </c>
      <c r="H65" s="658">
        <f>Calculations!G68/Calculations!G$9</f>
        <v>0</v>
      </c>
      <c r="I65" s="658">
        <f>Calculations!H68/Calculations!H$9</f>
        <v>0</v>
      </c>
      <c r="J65" s="658">
        <f>Calculations!I68/Calculations!I$9</f>
        <v>0</v>
      </c>
      <c r="K65" s="658">
        <f>Calculations!J68/Calculations!J$9</f>
        <v>0</v>
      </c>
      <c r="L65" s="658">
        <f>Calculations!K68/Calculations!K$9</f>
        <v>0</v>
      </c>
      <c r="M65" s="658">
        <f>Calculations!L68/Calculations!L$9</f>
        <v>0</v>
      </c>
      <c r="N65" s="658">
        <f>Calculations!M68/Calculations!M$9</f>
        <v>0</v>
      </c>
      <c r="O65" s="658">
        <f>Calculations!N68/Calculations!N$9</f>
        <v>0</v>
      </c>
      <c r="P65" s="658">
        <f>Calculations!O68/Calculations!O$9</f>
        <v>0</v>
      </c>
      <c r="Q65" s="658">
        <f>Calculations!P68/Calculations!P$9</f>
        <v>0</v>
      </c>
      <c r="R65" s="658">
        <f>Calculations!Q68/Calculations!Q$9</f>
        <v>0</v>
      </c>
      <c r="S65" s="658">
        <f>Calculations!R68/Calculations!R$9</f>
        <v>0</v>
      </c>
      <c r="T65" s="658">
        <f>Calculations!S68/Calculations!S$9</f>
        <v>0</v>
      </c>
      <c r="U65" s="658">
        <f>Calculations!T68/Calculations!T$9</f>
        <v>0</v>
      </c>
      <c r="V65" s="658">
        <f>Calculations!U68/Calculations!U$9</f>
        <v>0</v>
      </c>
      <c r="W65" s="658">
        <f>Calculations!V68/Calculations!V$9</f>
        <v>0</v>
      </c>
      <c r="X65" s="658">
        <f>Calculations!W68/Calculations!W$9</f>
        <v>0</v>
      </c>
      <c r="Y65" s="658">
        <f>Calculations!X68/Calculations!X$9</f>
        <v>0</v>
      </c>
      <c r="Z65" s="658">
        <f>Calculations!Y68/Calculations!Y$9</f>
        <v>0</v>
      </c>
    </row>
    <row r="66" spans="3:26" ht="16.5" customHeight="1" x14ac:dyDescent="0.2">
      <c r="C66" s="512"/>
      <c r="D66" s="655" t="str">
        <f>Calculations!C69</f>
        <v>Network Outage Costs</v>
      </c>
      <c r="E66" s="656">
        <f t="shared" si="10"/>
        <v>0</v>
      </c>
      <c r="F66" s="658">
        <f>Calculations!E69/Calculations!E$9</f>
        <v>0</v>
      </c>
      <c r="G66" s="658">
        <f>Calculations!F69/Calculations!F$9</f>
        <v>0</v>
      </c>
      <c r="H66" s="658">
        <f>Calculations!G69/Calculations!G$9</f>
        <v>0</v>
      </c>
      <c r="I66" s="658">
        <f>Calculations!H69/Calculations!H$9</f>
        <v>0</v>
      </c>
      <c r="J66" s="658">
        <f>Calculations!I69/Calculations!I$9</f>
        <v>0</v>
      </c>
      <c r="K66" s="658">
        <f>Calculations!J69/Calculations!J$9</f>
        <v>0</v>
      </c>
      <c r="L66" s="658">
        <f>Calculations!K69/Calculations!K$9</f>
        <v>0</v>
      </c>
      <c r="M66" s="658">
        <f>Calculations!L69/Calculations!L$9</f>
        <v>0</v>
      </c>
      <c r="N66" s="658">
        <f>Calculations!M69/Calculations!M$9</f>
        <v>0</v>
      </c>
      <c r="O66" s="658">
        <f>Calculations!N69/Calculations!N$9</f>
        <v>0</v>
      </c>
      <c r="P66" s="658">
        <f>Calculations!O69/Calculations!O$9</f>
        <v>0</v>
      </c>
      <c r="Q66" s="658">
        <f>Calculations!P69/Calculations!P$9</f>
        <v>0</v>
      </c>
      <c r="R66" s="658">
        <f>Calculations!Q69/Calculations!Q$9</f>
        <v>0</v>
      </c>
      <c r="S66" s="658">
        <f>Calculations!R69/Calculations!R$9</f>
        <v>0</v>
      </c>
      <c r="T66" s="658">
        <f>Calculations!S69/Calculations!S$9</f>
        <v>0</v>
      </c>
      <c r="U66" s="658">
        <f>Calculations!T69/Calculations!T$9</f>
        <v>0</v>
      </c>
      <c r="V66" s="658">
        <f>Calculations!U69/Calculations!U$9</f>
        <v>0</v>
      </c>
      <c r="W66" s="658">
        <f>Calculations!V69/Calculations!V$9</f>
        <v>0</v>
      </c>
      <c r="X66" s="658">
        <f>Calculations!W69/Calculations!W$9</f>
        <v>0</v>
      </c>
      <c r="Y66" s="658">
        <f>Calculations!X69/Calculations!X$9</f>
        <v>0</v>
      </c>
      <c r="Z66" s="658">
        <f>Calculations!Y69/Calculations!Y$9</f>
        <v>0</v>
      </c>
    </row>
    <row r="67" spans="3:26" ht="16.5" customHeight="1" x14ac:dyDescent="0.2">
      <c r="C67" s="512"/>
      <c r="D67" s="655" t="str">
        <f>Calculations!C70</f>
        <v>Loss of F Factor Benefit</v>
      </c>
      <c r="E67" s="656">
        <f t="shared" si="10"/>
        <v>0</v>
      </c>
      <c r="F67" s="658">
        <f>Calculations!E70/Calculations!E$9</f>
        <v>0</v>
      </c>
      <c r="G67" s="658">
        <f>Calculations!F70/Calculations!F$9</f>
        <v>0</v>
      </c>
      <c r="H67" s="658">
        <f>Calculations!G70/Calculations!G$9</f>
        <v>0</v>
      </c>
      <c r="I67" s="658">
        <f>Calculations!H70/Calculations!H$9</f>
        <v>0</v>
      </c>
      <c r="J67" s="658">
        <f>Calculations!I70/Calculations!I$9</f>
        <v>0</v>
      </c>
      <c r="K67" s="658">
        <f>Calculations!J70/Calculations!J$9</f>
        <v>0</v>
      </c>
      <c r="L67" s="658">
        <f>Calculations!K70/Calculations!K$9</f>
        <v>0</v>
      </c>
      <c r="M67" s="658">
        <f>Calculations!L70/Calculations!L$9</f>
        <v>0</v>
      </c>
      <c r="N67" s="658">
        <f>Calculations!M70/Calculations!M$9</f>
        <v>0</v>
      </c>
      <c r="O67" s="658">
        <f>Calculations!N70/Calculations!N$9</f>
        <v>0</v>
      </c>
      <c r="P67" s="658">
        <f>Calculations!O70/Calculations!O$9</f>
        <v>0</v>
      </c>
      <c r="Q67" s="658">
        <f>Calculations!P70/Calculations!P$9</f>
        <v>0</v>
      </c>
      <c r="R67" s="658">
        <f>Calculations!Q70/Calculations!Q$9</f>
        <v>0</v>
      </c>
      <c r="S67" s="658">
        <f>Calculations!R70/Calculations!R$9</f>
        <v>0</v>
      </c>
      <c r="T67" s="658">
        <f>Calculations!S70/Calculations!S$9</f>
        <v>0</v>
      </c>
      <c r="U67" s="658">
        <f>Calculations!T70/Calculations!T$9</f>
        <v>0</v>
      </c>
      <c r="V67" s="658">
        <f>Calculations!U70/Calculations!U$9</f>
        <v>0</v>
      </c>
      <c r="W67" s="658">
        <f>Calculations!V70/Calculations!V$9</f>
        <v>0</v>
      </c>
      <c r="X67" s="658">
        <f>Calculations!W70/Calculations!W$9</f>
        <v>0</v>
      </c>
      <c r="Y67" s="658">
        <f>Calculations!X70/Calculations!X$9</f>
        <v>0</v>
      </c>
      <c r="Z67" s="658">
        <f>Calculations!Y70/Calculations!Y$9</f>
        <v>0</v>
      </c>
    </row>
    <row r="68" spans="3:26" ht="16.5" customHeight="1" x14ac:dyDescent="0.2">
      <c r="C68" s="512"/>
      <c r="D68" s="655" t="str">
        <f>Calculations!C71</f>
        <v>Cost 1</v>
      </c>
      <c r="E68" s="656">
        <f t="shared" si="10"/>
        <v>0</v>
      </c>
      <c r="F68" s="658">
        <f>Calculations!E71/Calculations!E$9</f>
        <v>0</v>
      </c>
      <c r="G68" s="658">
        <f>Calculations!F71/Calculations!F$9</f>
        <v>0</v>
      </c>
      <c r="H68" s="658">
        <f>Calculations!G71/Calculations!G$9</f>
        <v>0</v>
      </c>
      <c r="I68" s="658">
        <f>Calculations!H71/Calculations!H$9</f>
        <v>0</v>
      </c>
      <c r="J68" s="658">
        <f>Calculations!I71/Calculations!I$9</f>
        <v>0</v>
      </c>
      <c r="K68" s="658">
        <f>Calculations!J71/Calculations!J$9</f>
        <v>0</v>
      </c>
      <c r="L68" s="658">
        <f>Calculations!K71/Calculations!K$9</f>
        <v>0</v>
      </c>
      <c r="M68" s="658">
        <f>Calculations!L71/Calculations!L$9</f>
        <v>0</v>
      </c>
      <c r="N68" s="658">
        <f>Calculations!M71/Calculations!M$9</f>
        <v>0</v>
      </c>
      <c r="O68" s="658">
        <f>Calculations!N71/Calculations!N$9</f>
        <v>0</v>
      </c>
      <c r="P68" s="658">
        <f>Calculations!O71/Calculations!O$9</f>
        <v>0</v>
      </c>
      <c r="Q68" s="658">
        <f>Calculations!P71/Calculations!P$9</f>
        <v>0</v>
      </c>
      <c r="R68" s="658">
        <f>Calculations!Q71/Calculations!Q$9</f>
        <v>0</v>
      </c>
      <c r="S68" s="658">
        <f>Calculations!R71/Calculations!R$9</f>
        <v>0</v>
      </c>
      <c r="T68" s="658">
        <f>Calculations!S71/Calculations!S$9</f>
        <v>0</v>
      </c>
      <c r="U68" s="658">
        <f>Calculations!T71/Calculations!T$9</f>
        <v>0</v>
      </c>
      <c r="V68" s="658">
        <f>Calculations!U71/Calculations!U$9</f>
        <v>0</v>
      </c>
      <c r="W68" s="658">
        <f>Calculations!V71/Calculations!V$9</f>
        <v>0</v>
      </c>
      <c r="X68" s="658">
        <f>Calculations!W71/Calculations!W$9</f>
        <v>0</v>
      </c>
      <c r="Y68" s="658">
        <f>Calculations!X71/Calculations!X$9</f>
        <v>0</v>
      </c>
      <c r="Z68" s="658">
        <f>Calculations!Y71/Calculations!Y$9</f>
        <v>0</v>
      </c>
    </row>
    <row r="69" spans="3:26" ht="16.5" customHeight="1" x14ac:dyDescent="0.2">
      <c r="C69" s="512"/>
      <c r="D69" s="655" t="str">
        <f>Calculations!C72</f>
        <v>Cost 2</v>
      </c>
      <c r="E69" s="656">
        <f t="shared" si="10"/>
        <v>0</v>
      </c>
      <c r="F69" s="658">
        <f>Calculations!E72/Calculations!E$9</f>
        <v>0</v>
      </c>
      <c r="G69" s="658">
        <f>Calculations!F72/Calculations!F$9</f>
        <v>0</v>
      </c>
      <c r="H69" s="658">
        <f>Calculations!G72/Calculations!G$9</f>
        <v>0</v>
      </c>
      <c r="I69" s="658">
        <f>Calculations!H72/Calculations!H$9</f>
        <v>0</v>
      </c>
      <c r="J69" s="658">
        <f>Calculations!I72/Calculations!I$9</f>
        <v>0</v>
      </c>
      <c r="K69" s="658">
        <f>Calculations!J72/Calculations!J$9</f>
        <v>0</v>
      </c>
      <c r="L69" s="658">
        <f>Calculations!K72/Calculations!K$9</f>
        <v>0</v>
      </c>
      <c r="M69" s="658">
        <f>Calculations!L72/Calculations!L$9</f>
        <v>0</v>
      </c>
      <c r="N69" s="658">
        <f>Calculations!M72/Calculations!M$9</f>
        <v>0</v>
      </c>
      <c r="O69" s="658">
        <f>Calculations!N72/Calculations!N$9</f>
        <v>0</v>
      </c>
      <c r="P69" s="658">
        <f>Calculations!O72/Calculations!O$9</f>
        <v>0</v>
      </c>
      <c r="Q69" s="658">
        <f>Calculations!P72/Calculations!P$9</f>
        <v>0</v>
      </c>
      <c r="R69" s="658">
        <f>Calculations!Q72/Calculations!Q$9</f>
        <v>0</v>
      </c>
      <c r="S69" s="658">
        <f>Calculations!R72/Calculations!R$9</f>
        <v>0</v>
      </c>
      <c r="T69" s="658">
        <f>Calculations!S72/Calculations!S$9</f>
        <v>0</v>
      </c>
      <c r="U69" s="658">
        <f>Calculations!T72/Calculations!T$9</f>
        <v>0</v>
      </c>
      <c r="V69" s="658">
        <f>Calculations!U72/Calculations!U$9</f>
        <v>0</v>
      </c>
      <c r="W69" s="658">
        <f>Calculations!V72/Calculations!V$9</f>
        <v>0</v>
      </c>
      <c r="X69" s="658">
        <f>Calculations!W72/Calculations!W$9</f>
        <v>0</v>
      </c>
      <c r="Y69" s="658">
        <f>Calculations!X72/Calculations!X$9</f>
        <v>0</v>
      </c>
      <c r="Z69" s="658">
        <f>Calculations!Y72/Calculations!Y$9</f>
        <v>0</v>
      </c>
    </row>
    <row r="70" spans="3:26" ht="16.5" customHeight="1" x14ac:dyDescent="0.2">
      <c r="C70" s="512"/>
      <c r="D70" s="655" t="str">
        <f>Calculations!C73</f>
        <v>Cost 3</v>
      </c>
      <c r="E70" s="656">
        <f t="shared" si="10"/>
        <v>0</v>
      </c>
      <c r="F70" s="658">
        <f>Calculations!E73/Calculations!E$9</f>
        <v>0</v>
      </c>
      <c r="G70" s="658">
        <f>Calculations!F73/Calculations!F$9</f>
        <v>0</v>
      </c>
      <c r="H70" s="658">
        <f>Calculations!G73/Calculations!G$9</f>
        <v>0</v>
      </c>
      <c r="I70" s="658">
        <f>Calculations!H73/Calculations!H$9</f>
        <v>0</v>
      </c>
      <c r="J70" s="658">
        <f>Calculations!I73/Calculations!I$9</f>
        <v>0</v>
      </c>
      <c r="K70" s="658">
        <f>Calculations!J73/Calculations!J$9</f>
        <v>0</v>
      </c>
      <c r="L70" s="658">
        <f>Calculations!K73/Calculations!K$9</f>
        <v>0</v>
      </c>
      <c r="M70" s="658">
        <f>Calculations!L73/Calculations!L$9</f>
        <v>0</v>
      </c>
      <c r="N70" s="658">
        <f>Calculations!M73/Calculations!M$9</f>
        <v>0</v>
      </c>
      <c r="O70" s="658">
        <f>Calculations!N73/Calculations!N$9</f>
        <v>0</v>
      </c>
      <c r="P70" s="658">
        <f>Calculations!O73/Calculations!O$9</f>
        <v>0</v>
      </c>
      <c r="Q70" s="658">
        <f>Calculations!P73/Calculations!P$9</f>
        <v>0</v>
      </c>
      <c r="R70" s="658">
        <f>Calculations!Q73/Calculations!Q$9</f>
        <v>0</v>
      </c>
      <c r="S70" s="658">
        <f>Calculations!R73/Calculations!R$9</f>
        <v>0</v>
      </c>
      <c r="T70" s="658">
        <f>Calculations!S73/Calculations!S$9</f>
        <v>0</v>
      </c>
      <c r="U70" s="658">
        <f>Calculations!T73/Calculations!T$9</f>
        <v>0</v>
      </c>
      <c r="V70" s="658">
        <f>Calculations!U73/Calculations!U$9</f>
        <v>0</v>
      </c>
      <c r="W70" s="658">
        <f>Calculations!V73/Calculations!V$9</f>
        <v>0</v>
      </c>
      <c r="X70" s="658">
        <f>Calculations!W73/Calculations!W$9</f>
        <v>0</v>
      </c>
      <c r="Y70" s="658">
        <f>Calculations!X73/Calculations!X$9</f>
        <v>0</v>
      </c>
      <c r="Z70" s="658">
        <f>Calculations!Y73/Calculations!Y$9</f>
        <v>0</v>
      </c>
    </row>
    <row r="71" spans="3:26" ht="16.5" customHeight="1" x14ac:dyDescent="0.2">
      <c r="C71" s="512"/>
      <c r="D71" s="655" t="str">
        <f>Calculations!C74</f>
        <v>Cost 4</v>
      </c>
      <c r="E71" s="656">
        <f t="shared" si="10"/>
        <v>0</v>
      </c>
      <c r="F71" s="658">
        <f>Calculations!E74/Calculations!E$9</f>
        <v>0</v>
      </c>
      <c r="G71" s="658">
        <f>Calculations!F74/Calculations!F$9</f>
        <v>0</v>
      </c>
      <c r="H71" s="658">
        <f>Calculations!G74/Calculations!G$9</f>
        <v>0</v>
      </c>
      <c r="I71" s="658">
        <f>Calculations!H74/Calculations!H$9</f>
        <v>0</v>
      </c>
      <c r="J71" s="658">
        <f>Calculations!I74/Calculations!I$9</f>
        <v>0</v>
      </c>
      <c r="K71" s="658">
        <f>Calculations!J74/Calculations!J$9</f>
        <v>0</v>
      </c>
      <c r="L71" s="658">
        <f>Calculations!K74/Calculations!K$9</f>
        <v>0</v>
      </c>
      <c r="M71" s="658">
        <f>Calculations!L74/Calculations!L$9</f>
        <v>0</v>
      </c>
      <c r="N71" s="658">
        <f>Calculations!M74/Calculations!M$9</f>
        <v>0</v>
      </c>
      <c r="O71" s="658">
        <f>Calculations!N74/Calculations!N$9</f>
        <v>0</v>
      </c>
      <c r="P71" s="658">
        <f>Calculations!O74/Calculations!O$9</f>
        <v>0</v>
      </c>
      <c r="Q71" s="658">
        <f>Calculations!P74/Calculations!P$9</f>
        <v>0</v>
      </c>
      <c r="R71" s="658">
        <f>Calculations!Q74/Calculations!Q$9</f>
        <v>0</v>
      </c>
      <c r="S71" s="658">
        <f>Calculations!R74/Calculations!R$9</f>
        <v>0</v>
      </c>
      <c r="T71" s="658">
        <f>Calculations!S74/Calculations!S$9</f>
        <v>0</v>
      </c>
      <c r="U71" s="658">
        <f>Calculations!T74/Calculations!T$9</f>
        <v>0</v>
      </c>
      <c r="V71" s="658">
        <f>Calculations!U74/Calculations!U$9</f>
        <v>0</v>
      </c>
      <c r="W71" s="658">
        <f>Calculations!V74/Calculations!V$9</f>
        <v>0</v>
      </c>
      <c r="X71" s="658">
        <f>Calculations!W74/Calculations!W$9</f>
        <v>0</v>
      </c>
      <c r="Y71" s="658">
        <f>Calculations!X74/Calculations!X$9</f>
        <v>0</v>
      </c>
      <c r="Z71" s="658">
        <f>Calculations!Y74/Calculations!Y$9</f>
        <v>0</v>
      </c>
    </row>
    <row r="72" spans="3:26" ht="16.5" customHeight="1" x14ac:dyDescent="0.2">
      <c r="C72" s="512"/>
      <c r="D72" s="655" t="str">
        <f>Calculations!C75</f>
        <v>Cost 5</v>
      </c>
      <c r="E72" s="656">
        <f t="shared" si="10"/>
        <v>0</v>
      </c>
      <c r="F72" s="658">
        <f>Calculations!E75/Calculations!E$9</f>
        <v>0</v>
      </c>
      <c r="G72" s="658">
        <f>Calculations!F75/Calculations!F$9</f>
        <v>0</v>
      </c>
      <c r="H72" s="658">
        <f>Calculations!G75/Calculations!G$9</f>
        <v>0</v>
      </c>
      <c r="I72" s="658">
        <f>Calculations!H75/Calculations!H$9</f>
        <v>0</v>
      </c>
      <c r="J72" s="658">
        <f>Calculations!I75/Calculations!I$9</f>
        <v>0</v>
      </c>
      <c r="K72" s="658">
        <f>Calculations!J75/Calculations!J$9</f>
        <v>0</v>
      </c>
      <c r="L72" s="658">
        <f>Calculations!K75/Calculations!K$9</f>
        <v>0</v>
      </c>
      <c r="M72" s="658">
        <f>Calculations!L75/Calculations!L$9</f>
        <v>0</v>
      </c>
      <c r="N72" s="658">
        <f>Calculations!M75/Calculations!M$9</f>
        <v>0</v>
      </c>
      <c r="O72" s="658">
        <f>Calculations!N75/Calculations!N$9</f>
        <v>0</v>
      </c>
      <c r="P72" s="658">
        <f>Calculations!O75/Calculations!O$9</f>
        <v>0</v>
      </c>
      <c r="Q72" s="658">
        <f>Calculations!P75/Calculations!P$9</f>
        <v>0</v>
      </c>
      <c r="R72" s="658">
        <f>Calculations!Q75/Calculations!Q$9</f>
        <v>0</v>
      </c>
      <c r="S72" s="658">
        <f>Calculations!R75/Calculations!R$9</f>
        <v>0</v>
      </c>
      <c r="T72" s="658">
        <f>Calculations!S75/Calculations!S$9</f>
        <v>0</v>
      </c>
      <c r="U72" s="658">
        <f>Calculations!T75/Calculations!T$9</f>
        <v>0</v>
      </c>
      <c r="V72" s="658">
        <f>Calculations!U75/Calculations!U$9</f>
        <v>0</v>
      </c>
      <c r="W72" s="658">
        <f>Calculations!V75/Calculations!V$9</f>
        <v>0</v>
      </c>
      <c r="X72" s="658">
        <f>Calculations!W75/Calculations!W$9</f>
        <v>0</v>
      </c>
      <c r="Y72" s="658">
        <f>Calculations!X75/Calculations!X$9</f>
        <v>0</v>
      </c>
      <c r="Z72" s="658">
        <f>Calculations!Y75/Calculations!Y$9</f>
        <v>0</v>
      </c>
    </row>
    <row r="73" spans="3:26" ht="16.5" customHeight="1" x14ac:dyDescent="0.2">
      <c r="C73" s="512"/>
      <c r="D73" s="655" t="str">
        <f>Calculations!C76</f>
        <v>Risk 1</v>
      </c>
      <c r="E73" s="656">
        <f t="shared" si="10"/>
        <v>0</v>
      </c>
      <c r="F73" s="658">
        <f>Calculations!E76/Calculations!E$9</f>
        <v>0</v>
      </c>
      <c r="G73" s="658">
        <f>Calculations!F76/Calculations!F$9</f>
        <v>0</v>
      </c>
      <c r="H73" s="658">
        <f>Calculations!G76/Calculations!G$9</f>
        <v>0</v>
      </c>
      <c r="I73" s="658">
        <f>Calculations!H76/Calculations!H$9</f>
        <v>0</v>
      </c>
      <c r="J73" s="658">
        <f>Calculations!I76/Calculations!I$9</f>
        <v>0</v>
      </c>
      <c r="K73" s="658">
        <f>Calculations!J76/Calculations!J$9</f>
        <v>0</v>
      </c>
      <c r="L73" s="658">
        <f>Calculations!K76/Calculations!K$9</f>
        <v>0</v>
      </c>
      <c r="M73" s="658">
        <f>Calculations!L76/Calculations!L$9</f>
        <v>0</v>
      </c>
      <c r="N73" s="658">
        <f>Calculations!M76/Calculations!M$9</f>
        <v>0</v>
      </c>
      <c r="O73" s="658">
        <f>Calculations!N76/Calculations!N$9</f>
        <v>0</v>
      </c>
      <c r="P73" s="658">
        <f>Calculations!O76/Calculations!O$9</f>
        <v>0</v>
      </c>
      <c r="Q73" s="658">
        <f>Calculations!P76/Calculations!P$9</f>
        <v>0</v>
      </c>
      <c r="R73" s="658">
        <f>Calculations!Q76/Calculations!Q$9</f>
        <v>0</v>
      </c>
      <c r="S73" s="658">
        <f>Calculations!R76/Calculations!R$9</f>
        <v>0</v>
      </c>
      <c r="T73" s="658">
        <f>Calculations!S76/Calculations!S$9</f>
        <v>0</v>
      </c>
      <c r="U73" s="658">
        <f>Calculations!T76/Calculations!T$9</f>
        <v>0</v>
      </c>
      <c r="V73" s="658">
        <f>Calculations!U76/Calculations!U$9</f>
        <v>0</v>
      </c>
      <c r="W73" s="658">
        <f>Calculations!V76/Calculations!V$9</f>
        <v>0</v>
      </c>
      <c r="X73" s="658">
        <f>Calculations!W76/Calculations!W$9</f>
        <v>0</v>
      </c>
      <c r="Y73" s="658">
        <f>Calculations!X76/Calculations!X$9</f>
        <v>0</v>
      </c>
      <c r="Z73" s="658">
        <f>Calculations!Y76/Calculations!Y$9</f>
        <v>0</v>
      </c>
    </row>
    <row r="74" spans="3:26" ht="16.5" customHeight="1" x14ac:dyDescent="0.2">
      <c r="C74" s="512"/>
      <c r="D74" s="655" t="str">
        <f>Calculations!C77</f>
        <v>Risk 2</v>
      </c>
      <c r="E74" s="656">
        <f t="shared" si="10"/>
        <v>0</v>
      </c>
      <c r="F74" s="658">
        <f>Calculations!E77/Calculations!E$9</f>
        <v>0</v>
      </c>
      <c r="G74" s="658">
        <f>Calculations!F77/Calculations!F$9</f>
        <v>0</v>
      </c>
      <c r="H74" s="658">
        <f>Calculations!G77/Calculations!G$9</f>
        <v>0</v>
      </c>
      <c r="I74" s="658">
        <f>Calculations!H77/Calculations!H$9</f>
        <v>0</v>
      </c>
      <c r="J74" s="658">
        <f>Calculations!I77/Calculations!I$9</f>
        <v>0</v>
      </c>
      <c r="K74" s="658">
        <f>Calculations!J77/Calculations!J$9</f>
        <v>0</v>
      </c>
      <c r="L74" s="658">
        <f>Calculations!K77/Calculations!K$9</f>
        <v>0</v>
      </c>
      <c r="M74" s="658">
        <f>Calculations!L77/Calculations!L$9</f>
        <v>0</v>
      </c>
      <c r="N74" s="658">
        <f>Calculations!M77/Calculations!M$9</f>
        <v>0</v>
      </c>
      <c r="O74" s="658">
        <f>Calculations!N77/Calculations!N$9</f>
        <v>0</v>
      </c>
      <c r="P74" s="658">
        <f>Calculations!O77/Calculations!O$9</f>
        <v>0</v>
      </c>
      <c r="Q74" s="658">
        <f>Calculations!P77/Calculations!P$9</f>
        <v>0</v>
      </c>
      <c r="R74" s="658">
        <f>Calculations!Q77/Calculations!Q$9</f>
        <v>0</v>
      </c>
      <c r="S74" s="658">
        <f>Calculations!R77/Calculations!R$9</f>
        <v>0</v>
      </c>
      <c r="T74" s="658">
        <f>Calculations!S77/Calculations!S$9</f>
        <v>0</v>
      </c>
      <c r="U74" s="658">
        <f>Calculations!T77/Calculations!T$9</f>
        <v>0</v>
      </c>
      <c r="V74" s="658">
        <f>Calculations!U77/Calculations!U$9</f>
        <v>0</v>
      </c>
      <c r="W74" s="658">
        <f>Calculations!V77/Calculations!V$9</f>
        <v>0</v>
      </c>
      <c r="X74" s="658">
        <f>Calculations!W77/Calculations!W$9</f>
        <v>0</v>
      </c>
      <c r="Y74" s="658">
        <f>Calculations!X77/Calculations!X$9</f>
        <v>0</v>
      </c>
      <c r="Z74" s="658">
        <f>Calculations!Y77/Calculations!Y$9</f>
        <v>0</v>
      </c>
    </row>
    <row r="75" spans="3:26" ht="16.5" customHeight="1" x14ac:dyDescent="0.2">
      <c r="C75" s="512"/>
      <c r="D75" s="655" t="str">
        <f>Calculations!C78</f>
        <v>Risk 3</v>
      </c>
      <c r="E75" s="656">
        <f t="shared" si="10"/>
        <v>0</v>
      </c>
      <c r="F75" s="658">
        <f>Calculations!E78/Calculations!E$9</f>
        <v>0</v>
      </c>
      <c r="G75" s="658">
        <f>Calculations!F78/Calculations!F$9</f>
        <v>0</v>
      </c>
      <c r="H75" s="658">
        <f>Calculations!G78/Calculations!G$9</f>
        <v>0</v>
      </c>
      <c r="I75" s="658">
        <f>Calculations!H78/Calculations!H$9</f>
        <v>0</v>
      </c>
      <c r="J75" s="658">
        <f>Calculations!I78/Calculations!I$9</f>
        <v>0</v>
      </c>
      <c r="K75" s="658">
        <f>Calculations!J78/Calculations!J$9</f>
        <v>0</v>
      </c>
      <c r="L75" s="658">
        <f>Calculations!K78/Calculations!K$9</f>
        <v>0</v>
      </c>
      <c r="M75" s="658">
        <f>Calculations!L78/Calculations!L$9</f>
        <v>0</v>
      </c>
      <c r="N75" s="658">
        <f>Calculations!M78/Calculations!M$9</f>
        <v>0</v>
      </c>
      <c r="O75" s="658">
        <f>Calculations!N78/Calculations!N$9</f>
        <v>0</v>
      </c>
      <c r="P75" s="658">
        <f>Calculations!O78/Calculations!O$9</f>
        <v>0</v>
      </c>
      <c r="Q75" s="658">
        <f>Calculations!P78/Calculations!P$9</f>
        <v>0</v>
      </c>
      <c r="R75" s="658">
        <f>Calculations!Q78/Calculations!Q$9</f>
        <v>0</v>
      </c>
      <c r="S75" s="658">
        <f>Calculations!R78/Calculations!R$9</f>
        <v>0</v>
      </c>
      <c r="T75" s="658">
        <f>Calculations!S78/Calculations!S$9</f>
        <v>0</v>
      </c>
      <c r="U75" s="658">
        <f>Calculations!T78/Calculations!T$9</f>
        <v>0</v>
      </c>
      <c r="V75" s="658">
        <f>Calculations!U78/Calculations!U$9</f>
        <v>0</v>
      </c>
      <c r="W75" s="658">
        <f>Calculations!V78/Calculations!V$9</f>
        <v>0</v>
      </c>
      <c r="X75" s="658">
        <f>Calculations!W78/Calculations!W$9</f>
        <v>0</v>
      </c>
      <c r="Y75" s="658">
        <f>Calculations!X78/Calculations!X$9</f>
        <v>0</v>
      </c>
      <c r="Z75" s="658">
        <f>Calculations!Y78/Calculations!Y$9</f>
        <v>0</v>
      </c>
    </row>
    <row r="76" spans="3:26" ht="16.5" customHeight="1" x14ac:dyDescent="0.2">
      <c r="C76" s="512"/>
      <c r="D76" s="655" t="str">
        <f>Calculations!C79</f>
        <v>Risk 4</v>
      </c>
      <c r="E76" s="656">
        <f t="shared" si="10"/>
        <v>0</v>
      </c>
      <c r="F76" s="658">
        <f>Calculations!E79/Calculations!E$9</f>
        <v>0</v>
      </c>
      <c r="G76" s="658">
        <f>Calculations!F79/Calculations!F$9</f>
        <v>0</v>
      </c>
      <c r="H76" s="658">
        <f>Calculations!G79/Calculations!G$9</f>
        <v>0</v>
      </c>
      <c r="I76" s="658">
        <f>Calculations!H79/Calculations!H$9</f>
        <v>0</v>
      </c>
      <c r="J76" s="658">
        <f>Calculations!I79/Calculations!I$9</f>
        <v>0</v>
      </c>
      <c r="K76" s="658">
        <f>Calculations!J79/Calculations!J$9</f>
        <v>0</v>
      </c>
      <c r="L76" s="658">
        <f>Calculations!K79/Calculations!K$9</f>
        <v>0</v>
      </c>
      <c r="M76" s="658">
        <f>Calculations!L79/Calculations!L$9</f>
        <v>0</v>
      </c>
      <c r="N76" s="658">
        <f>Calculations!M79/Calculations!M$9</f>
        <v>0</v>
      </c>
      <c r="O76" s="658">
        <f>Calculations!N79/Calculations!N$9</f>
        <v>0</v>
      </c>
      <c r="P76" s="658">
        <f>Calculations!O79/Calculations!O$9</f>
        <v>0</v>
      </c>
      <c r="Q76" s="658">
        <f>Calculations!P79/Calculations!P$9</f>
        <v>0</v>
      </c>
      <c r="R76" s="658">
        <f>Calculations!Q79/Calculations!Q$9</f>
        <v>0</v>
      </c>
      <c r="S76" s="658">
        <f>Calculations!R79/Calculations!R$9</f>
        <v>0</v>
      </c>
      <c r="T76" s="658">
        <f>Calculations!S79/Calculations!S$9</f>
        <v>0</v>
      </c>
      <c r="U76" s="658">
        <f>Calculations!T79/Calculations!T$9</f>
        <v>0</v>
      </c>
      <c r="V76" s="658">
        <f>Calculations!U79/Calculations!U$9</f>
        <v>0</v>
      </c>
      <c r="W76" s="658">
        <f>Calculations!V79/Calculations!V$9</f>
        <v>0</v>
      </c>
      <c r="X76" s="658">
        <f>Calculations!W79/Calculations!W$9</f>
        <v>0</v>
      </c>
      <c r="Y76" s="658">
        <f>Calculations!X79/Calculations!X$9</f>
        <v>0</v>
      </c>
      <c r="Z76" s="658">
        <f>Calculations!Y79/Calculations!Y$9</f>
        <v>0</v>
      </c>
    </row>
    <row r="77" spans="3:26" ht="16.5" customHeight="1" x14ac:dyDescent="0.2">
      <c r="C77" s="512"/>
      <c r="D77" s="655" t="str">
        <f>Calculations!C80</f>
        <v>Risk 5</v>
      </c>
      <c r="E77" s="656">
        <f t="shared" si="10"/>
        <v>0</v>
      </c>
      <c r="F77" s="658">
        <f>Calculations!E80/Calculations!E$9</f>
        <v>0</v>
      </c>
      <c r="G77" s="658">
        <f>Calculations!F80/Calculations!F$9</f>
        <v>0</v>
      </c>
      <c r="H77" s="658">
        <f>Calculations!G80/Calculations!G$9</f>
        <v>0</v>
      </c>
      <c r="I77" s="658">
        <f>Calculations!H80/Calculations!H$9</f>
        <v>0</v>
      </c>
      <c r="J77" s="658">
        <f>Calculations!I80/Calculations!I$9</f>
        <v>0</v>
      </c>
      <c r="K77" s="658">
        <f>Calculations!J80/Calculations!J$9</f>
        <v>0</v>
      </c>
      <c r="L77" s="658">
        <f>Calculations!K80/Calculations!K$9</f>
        <v>0</v>
      </c>
      <c r="M77" s="658">
        <f>Calculations!L80/Calculations!L$9</f>
        <v>0</v>
      </c>
      <c r="N77" s="658">
        <f>Calculations!M80/Calculations!M$9</f>
        <v>0</v>
      </c>
      <c r="O77" s="658">
        <f>Calculations!N80/Calculations!N$9</f>
        <v>0</v>
      </c>
      <c r="P77" s="658">
        <f>Calculations!O80/Calculations!O$9</f>
        <v>0</v>
      </c>
      <c r="Q77" s="658">
        <f>Calculations!P80/Calculations!P$9</f>
        <v>0</v>
      </c>
      <c r="R77" s="658">
        <f>Calculations!Q80/Calculations!Q$9</f>
        <v>0</v>
      </c>
      <c r="S77" s="658">
        <f>Calculations!R80/Calculations!R$9</f>
        <v>0</v>
      </c>
      <c r="T77" s="658">
        <f>Calculations!S80/Calculations!S$9</f>
        <v>0</v>
      </c>
      <c r="U77" s="658">
        <f>Calculations!T80/Calculations!T$9</f>
        <v>0</v>
      </c>
      <c r="V77" s="658">
        <f>Calculations!U80/Calculations!U$9</f>
        <v>0</v>
      </c>
      <c r="W77" s="658">
        <f>Calculations!V80/Calculations!V$9</f>
        <v>0</v>
      </c>
      <c r="X77" s="658">
        <f>Calculations!W80/Calculations!W$9</f>
        <v>0</v>
      </c>
      <c r="Y77" s="658">
        <f>Calculations!X80/Calculations!X$9</f>
        <v>0</v>
      </c>
      <c r="Z77" s="658">
        <f>Calculations!Y80/Calculations!Y$9</f>
        <v>0</v>
      </c>
    </row>
    <row r="78" spans="3:26" ht="16.5" customHeight="1" x14ac:dyDescent="0.2">
      <c r="C78" s="512"/>
      <c r="D78" s="655" t="s">
        <v>254</v>
      </c>
      <c r="E78" s="656">
        <f t="shared" ref="E78:Z78" si="11">SUM(E59:E77)-E61</f>
        <v>4013.9967431493333</v>
      </c>
      <c r="F78" s="656">
        <f t="shared" si="11"/>
        <v>398.12089915345371</v>
      </c>
      <c r="G78" s="656">
        <f t="shared" si="11"/>
        <v>1263.6132686621886</v>
      </c>
      <c r="H78" s="656">
        <f t="shared" si="11"/>
        <v>1204.4414927234889</v>
      </c>
      <c r="I78" s="656">
        <f t="shared" si="11"/>
        <v>1147.8210826102022</v>
      </c>
      <c r="J78" s="656">
        <f t="shared" si="11"/>
        <v>0</v>
      </c>
      <c r="K78" s="656">
        <f t="shared" si="11"/>
        <v>0</v>
      </c>
      <c r="L78" s="656">
        <f t="shared" si="11"/>
        <v>0</v>
      </c>
      <c r="M78" s="656">
        <f t="shared" si="11"/>
        <v>0</v>
      </c>
      <c r="N78" s="656">
        <f t="shared" si="11"/>
        <v>0</v>
      </c>
      <c r="O78" s="656">
        <f t="shared" si="11"/>
        <v>0</v>
      </c>
      <c r="P78" s="656">
        <f t="shared" si="11"/>
        <v>0</v>
      </c>
      <c r="Q78" s="656">
        <f t="shared" si="11"/>
        <v>0</v>
      </c>
      <c r="R78" s="656">
        <f t="shared" si="11"/>
        <v>0</v>
      </c>
      <c r="S78" s="656">
        <f t="shared" si="11"/>
        <v>0</v>
      </c>
      <c r="T78" s="656">
        <f t="shared" si="11"/>
        <v>0</v>
      </c>
      <c r="U78" s="656">
        <f t="shared" si="11"/>
        <v>0</v>
      </c>
      <c r="V78" s="656">
        <f t="shared" si="11"/>
        <v>0</v>
      </c>
      <c r="W78" s="656">
        <f t="shared" si="11"/>
        <v>0</v>
      </c>
      <c r="X78" s="656">
        <f t="shared" si="11"/>
        <v>0</v>
      </c>
      <c r="Y78" s="656">
        <f t="shared" si="11"/>
        <v>0</v>
      </c>
      <c r="Z78" s="656">
        <f t="shared" si="11"/>
        <v>0</v>
      </c>
    </row>
    <row r="79" spans="3:26" ht="16.5" customHeight="1" x14ac:dyDescent="0.2"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</row>
    <row r="80" spans="3:26" ht="16.5" customHeight="1" x14ac:dyDescent="0.25">
      <c r="C80" s="512"/>
      <c r="D80" s="650" t="str">
        <f>'User Input'!D111</f>
        <v>Option 3: Replace / Install 80% Network Devices, Purchase the Remaining 20% of the AMI data and Control Functionality</v>
      </c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512"/>
    </row>
    <row r="81" spans="3:26" ht="16.5" customHeight="1" x14ac:dyDescent="0.25">
      <c r="C81" s="512"/>
      <c r="D81" s="498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</row>
    <row r="82" spans="3:26" ht="16.5" customHeight="1" x14ac:dyDescent="0.25">
      <c r="C82" s="512"/>
      <c r="D82" s="653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6"/>
      <c r="X82" s="716"/>
      <c r="Y82" s="716"/>
      <c r="Z82" s="716"/>
    </row>
    <row r="83" spans="3:26" ht="16.5" customHeight="1" x14ac:dyDescent="0.25">
      <c r="C83" s="512"/>
      <c r="D83" s="653"/>
      <c r="E83" s="654" t="s">
        <v>254</v>
      </c>
      <c r="F83" s="654">
        <f>'User Input'!$E$6</f>
        <v>2017</v>
      </c>
      <c r="G83" s="654">
        <f>F83+1</f>
        <v>2018</v>
      </c>
      <c r="H83" s="654">
        <f t="shared" ref="H83:Z83" si="12">G83+1</f>
        <v>2019</v>
      </c>
      <c r="I83" s="654">
        <f t="shared" si="12"/>
        <v>2020</v>
      </c>
      <c r="J83" s="654">
        <f t="shared" si="12"/>
        <v>2021</v>
      </c>
      <c r="K83" s="654">
        <f t="shared" si="12"/>
        <v>2022</v>
      </c>
      <c r="L83" s="654">
        <f t="shared" si="12"/>
        <v>2023</v>
      </c>
      <c r="M83" s="654">
        <f t="shared" si="12"/>
        <v>2024</v>
      </c>
      <c r="N83" s="654">
        <f t="shared" si="12"/>
        <v>2025</v>
      </c>
      <c r="O83" s="654">
        <f t="shared" si="12"/>
        <v>2026</v>
      </c>
      <c r="P83" s="654">
        <f t="shared" si="12"/>
        <v>2027</v>
      </c>
      <c r="Q83" s="654">
        <f t="shared" si="12"/>
        <v>2028</v>
      </c>
      <c r="R83" s="654">
        <f t="shared" si="12"/>
        <v>2029</v>
      </c>
      <c r="S83" s="654">
        <f t="shared" si="12"/>
        <v>2030</v>
      </c>
      <c r="T83" s="654">
        <f t="shared" si="12"/>
        <v>2031</v>
      </c>
      <c r="U83" s="654">
        <f t="shared" si="12"/>
        <v>2032</v>
      </c>
      <c r="V83" s="654">
        <f t="shared" si="12"/>
        <v>2033</v>
      </c>
      <c r="W83" s="654">
        <f t="shared" si="12"/>
        <v>2034</v>
      </c>
      <c r="X83" s="654">
        <f t="shared" si="12"/>
        <v>2035</v>
      </c>
      <c r="Y83" s="654">
        <f t="shared" si="12"/>
        <v>2036</v>
      </c>
      <c r="Z83" s="654">
        <f t="shared" si="12"/>
        <v>2037</v>
      </c>
    </row>
    <row r="84" spans="3:26" ht="16.5" customHeight="1" x14ac:dyDescent="0.2">
      <c r="C84" s="512"/>
      <c r="D84" s="655" t="str">
        <f>Calculations!C86</f>
        <v>Capital Costs</v>
      </c>
      <c r="E84" s="656">
        <f>SUM(F84:Z84)</f>
        <v>6968.548909526211</v>
      </c>
      <c r="F84" s="658">
        <f>Calculations!E86/Calculations!E$9</f>
        <v>2764.8788418294198</v>
      </c>
      <c r="G84" s="658">
        <f>Calculations!F86/Calculations!F$9</f>
        <v>1953.9036514613545</v>
      </c>
      <c r="H84" s="658">
        <f>Calculations!G86/Calculations!G$9</f>
        <v>1005.8865470614948</v>
      </c>
      <c r="I84" s="658">
        <f>Calculations!H86/Calculations!H$9</f>
        <v>959.57213625221289</v>
      </c>
      <c r="J84" s="658">
        <f>Calculations!I86/Calculations!I$9</f>
        <v>17.716711825169014</v>
      </c>
      <c r="K84" s="658">
        <f>Calculations!J86/Calculations!J$9</f>
        <v>17.897928413055904</v>
      </c>
      <c r="L84" s="658">
        <f>Calculations!K86/Calculations!K$9</f>
        <v>17.988748594305029</v>
      </c>
      <c r="M84" s="658">
        <f>Calculations!L86/Calculations!L$9</f>
        <v>17.999673940833272</v>
      </c>
      <c r="N84" s="658">
        <f>Calculations!M86/Calculations!M$9</f>
        <v>17.940251993411962</v>
      </c>
      <c r="O84" s="658">
        <f>Calculations!N86/Calculations!N$9</f>
        <v>17.819154151398173</v>
      </c>
      <c r="P84" s="658">
        <f>Calculations!O86/Calculations!O$9</f>
        <v>17.644247574040197</v>
      </c>
      <c r="Q84" s="658">
        <f>Calculations!P86/Calculations!P$9</f>
        <v>17.422661536352528</v>
      </c>
      <c r="R84" s="658">
        <f>Calculations!Q86/Calculations!Q$9</f>
        <v>17.160848650653957</v>
      </c>
      <c r="S84" s="658">
        <f>Calculations!R86/Calculations!R$9</f>
        <v>16.864641335212593</v>
      </c>
      <c r="T84" s="658">
        <f>Calculations!S86/Calculations!S$9</f>
        <v>16.539303883887897</v>
      </c>
      <c r="U84" s="658">
        <f>Calculations!T86/Calculations!T$9</f>
        <v>16.189580465055663</v>
      </c>
      <c r="V84" s="658">
        <f>Calculations!U86/Calculations!U$9</f>
        <v>15.819739354312121</v>
      </c>
      <c r="W84" s="658">
        <f>Calculations!V86/Calculations!V$9</f>
        <v>15.433613683350702</v>
      </c>
      <c r="X84" s="658">
        <f>Calculations!W86/Calculations!W$9</f>
        <v>15.034638966872464</v>
      </c>
      <c r="Y84" s="658">
        <f>Calculations!X86/Calculations!X$9</f>
        <v>14.625887650318639</v>
      </c>
      <c r="Z84" s="658">
        <f>Calculations!Y86/Calculations!Y$9</f>
        <v>14.210100903499118</v>
      </c>
    </row>
    <row r="85" spans="3:26" ht="16.5" customHeight="1" x14ac:dyDescent="0.2">
      <c r="C85" s="512"/>
      <c r="D85" s="655" t="str">
        <f>Calculations!C87</f>
        <v>Maintenance Costs</v>
      </c>
      <c r="E85" s="656">
        <f>SUM(F85:Z85)</f>
        <v>0</v>
      </c>
      <c r="F85" s="658">
        <f>Calculations!E87/Calculations!E$9</f>
        <v>0</v>
      </c>
      <c r="G85" s="658">
        <f>Calculations!F87/Calculations!F$9</f>
        <v>0</v>
      </c>
      <c r="H85" s="658">
        <f>Calculations!G87/Calculations!G$9</f>
        <v>0</v>
      </c>
      <c r="I85" s="658">
        <f>Calculations!H87/Calculations!H$9</f>
        <v>0</v>
      </c>
      <c r="J85" s="658">
        <f>Calculations!I87/Calculations!I$9</f>
        <v>0</v>
      </c>
      <c r="K85" s="658">
        <f>Calculations!J87/Calculations!J$9</f>
        <v>0</v>
      </c>
      <c r="L85" s="658">
        <f>Calculations!K87/Calculations!K$9</f>
        <v>0</v>
      </c>
      <c r="M85" s="658">
        <f>Calculations!L87/Calculations!L$9</f>
        <v>0</v>
      </c>
      <c r="N85" s="658">
        <f>Calculations!M87/Calculations!M$9</f>
        <v>0</v>
      </c>
      <c r="O85" s="658">
        <f>Calculations!N87/Calculations!N$9</f>
        <v>0</v>
      </c>
      <c r="P85" s="658">
        <f>Calculations!O87/Calculations!O$9</f>
        <v>0</v>
      </c>
      <c r="Q85" s="658">
        <f>Calculations!P87/Calculations!P$9</f>
        <v>0</v>
      </c>
      <c r="R85" s="658">
        <f>Calculations!Q87/Calculations!Q$9</f>
        <v>0</v>
      </c>
      <c r="S85" s="658">
        <f>Calculations!R87/Calculations!R$9</f>
        <v>0</v>
      </c>
      <c r="T85" s="658">
        <f>Calculations!S87/Calculations!S$9</f>
        <v>0</v>
      </c>
      <c r="U85" s="658">
        <f>Calculations!T87/Calculations!T$9</f>
        <v>0</v>
      </c>
      <c r="V85" s="658">
        <f>Calculations!U87/Calculations!U$9</f>
        <v>0</v>
      </c>
      <c r="W85" s="658">
        <f>Calculations!V87/Calculations!V$9</f>
        <v>0</v>
      </c>
      <c r="X85" s="658">
        <f>Calculations!W87/Calculations!W$9</f>
        <v>0</v>
      </c>
      <c r="Y85" s="658">
        <f>Calculations!X87/Calculations!X$9</f>
        <v>0</v>
      </c>
      <c r="Z85" s="658">
        <f>Calculations!Y87/Calculations!Y$9</f>
        <v>0</v>
      </c>
    </row>
    <row r="86" spans="3:26" ht="16.5" customHeight="1" x14ac:dyDescent="0.2">
      <c r="C86" s="512"/>
      <c r="D86" s="655" t="str">
        <f>Calculations!C88</f>
        <v>Negative Impact on Revenue (STPIS)</v>
      </c>
      <c r="E86" s="656">
        <f t="shared" ref="E86:Z86" si="13">SUM(E87:E90)</f>
        <v>0</v>
      </c>
      <c r="F86" s="656">
        <f t="shared" si="13"/>
        <v>0</v>
      </c>
      <c r="G86" s="656">
        <f t="shared" si="13"/>
        <v>0</v>
      </c>
      <c r="H86" s="656">
        <f t="shared" si="13"/>
        <v>0</v>
      </c>
      <c r="I86" s="656">
        <f t="shared" si="13"/>
        <v>0</v>
      </c>
      <c r="J86" s="656">
        <f t="shared" si="13"/>
        <v>0</v>
      </c>
      <c r="K86" s="656">
        <f t="shared" si="13"/>
        <v>0</v>
      </c>
      <c r="L86" s="656">
        <f t="shared" si="13"/>
        <v>0</v>
      </c>
      <c r="M86" s="656">
        <f t="shared" si="13"/>
        <v>0</v>
      </c>
      <c r="N86" s="656">
        <f t="shared" si="13"/>
        <v>0</v>
      </c>
      <c r="O86" s="656">
        <f t="shared" si="13"/>
        <v>0</v>
      </c>
      <c r="P86" s="656">
        <f t="shared" si="13"/>
        <v>0</v>
      </c>
      <c r="Q86" s="656">
        <f t="shared" si="13"/>
        <v>0</v>
      </c>
      <c r="R86" s="656">
        <f t="shared" si="13"/>
        <v>0</v>
      </c>
      <c r="S86" s="656">
        <f t="shared" si="13"/>
        <v>0</v>
      </c>
      <c r="T86" s="656">
        <f t="shared" si="13"/>
        <v>0</v>
      </c>
      <c r="U86" s="656">
        <f t="shared" si="13"/>
        <v>0</v>
      </c>
      <c r="V86" s="656">
        <f t="shared" si="13"/>
        <v>0</v>
      </c>
      <c r="W86" s="656">
        <f t="shared" si="13"/>
        <v>0</v>
      </c>
      <c r="X86" s="656">
        <f t="shared" si="13"/>
        <v>0</v>
      </c>
      <c r="Y86" s="656">
        <f t="shared" si="13"/>
        <v>0</v>
      </c>
      <c r="Z86" s="656">
        <f t="shared" si="13"/>
        <v>0</v>
      </c>
    </row>
    <row r="87" spans="3:26" ht="16.5" customHeight="1" x14ac:dyDescent="0.2">
      <c r="C87" s="512"/>
      <c r="D87" s="659" t="str">
        <f>Calculations!C89</f>
        <v>SAIFI sustained</v>
      </c>
      <c r="E87" s="656">
        <f t="shared" ref="E87:E102" si="14">SUM(F87:Z87)</f>
        <v>0</v>
      </c>
      <c r="F87" s="658">
        <f>Calculations!E89/Calculations!E$9</f>
        <v>0</v>
      </c>
      <c r="G87" s="658">
        <f>Calculations!F89/Calculations!F$9</f>
        <v>0</v>
      </c>
      <c r="H87" s="658">
        <f>Calculations!G89/Calculations!G$9</f>
        <v>0</v>
      </c>
      <c r="I87" s="658">
        <f>Calculations!H89/Calculations!H$9</f>
        <v>0</v>
      </c>
      <c r="J87" s="658">
        <f>Calculations!I89/Calculations!I$9</f>
        <v>0</v>
      </c>
      <c r="K87" s="658">
        <f>Calculations!J89/Calculations!J$9</f>
        <v>0</v>
      </c>
      <c r="L87" s="658">
        <f>Calculations!K89/Calculations!K$9</f>
        <v>0</v>
      </c>
      <c r="M87" s="658">
        <f>Calculations!L89/Calculations!L$9</f>
        <v>0</v>
      </c>
      <c r="N87" s="658">
        <f>Calculations!M89/Calculations!M$9</f>
        <v>0</v>
      </c>
      <c r="O87" s="658">
        <f>Calculations!N89/Calculations!N$9</f>
        <v>0</v>
      </c>
      <c r="P87" s="658">
        <f>Calculations!O89/Calculations!O$9</f>
        <v>0</v>
      </c>
      <c r="Q87" s="658">
        <f>Calculations!P89/Calculations!P$9</f>
        <v>0</v>
      </c>
      <c r="R87" s="658">
        <f>Calculations!Q89/Calculations!Q$9</f>
        <v>0</v>
      </c>
      <c r="S87" s="658">
        <f>Calculations!R89/Calculations!R$9</f>
        <v>0</v>
      </c>
      <c r="T87" s="658">
        <f>Calculations!S89/Calculations!S$9</f>
        <v>0</v>
      </c>
      <c r="U87" s="658">
        <f>Calculations!T89/Calculations!T$9</f>
        <v>0</v>
      </c>
      <c r="V87" s="658">
        <f>Calculations!U89/Calculations!U$9</f>
        <v>0</v>
      </c>
      <c r="W87" s="658">
        <f>Calculations!V89/Calculations!V$9</f>
        <v>0</v>
      </c>
      <c r="X87" s="658">
        <f>Calculations!W89/Calculations!W$9</f>
        <v>0</v>
      </c>
      <c r="Y87" s="658">
        <f>Calculations!X89/Calculations!X$9</f>
        <v>0</v>
      </c>
      <c r="Z87" s="658">
        <f>Calculations!Y89/Calculations!Y$9</f>
        <v>0</v>
      </c>
    </row>
    <row r="88" spans="3:26" ht="16.5" customHeight="1" x14ac:dyDescent="0.2">
      <c r="C88" s="512"/>
      <c r="D88" s="659" t="str">
        <f>Calculations!C90</f>
        <v>SAIDI accidental</v>
      </c>
      <c r="E88" s="656">
        <f t="shared" si="14"/>
        <v>0</v>
      </c>
      <c r="F88" s="658">
        <f>Calculations!E90/Calculations!E$9</f>
        <v>0</v>
      </c>
      <c r="G88" s="658">
        <f>Calculations!F90/Calculations!F$9</f>
        <v>0</v>
      </c>
      <c r="H88" s="658">
        <f>Calculations!G90/Calculations!G$9</f>
        <v>0</v>
      </c>
      <c r="I88" s="658">
        <f>Calculations!H90/Calculations!H$9</f>
        <v>0</v>
      </c>
      <c r="J88" s="658">
        <f>Calculations!I90/Calculations!I$9</f>
        <v>0</v>
      </c>
      <c r="K88" s="658">
        <f>Calculations!J90/Calculations!J$9</f>
        <v>0</v>
      </c>
      <c r="L88" s="658">
        <f>Calculations!K90/Calculations!K$9</f>
        <v>0</v>
      </c>
      <c r="M88" s="658">
        <f>Calculations!L90/Calculations!L$9</f>
        <v>0</v>
      </c>
      <c r="N88" s="658">
        <f>Calculations!M90/Calculations!M$9</f>
        <v>0</v>
      </c>
      <c r="O88" s="658">
        <f>Calculations!N90/Calculations!N$9</f>
        <v>0</v>
      </c>
      <c r="P88" s="658">
        <f>Calculations!O90/Calculations!O$9</f>
        <v>0</v>
      </c>
      <c r="Q88" s="658">
        <f>Calculations!P90/Calculations!P$9</f>
        <v>0</v>
      </c>
      <c r="R88" s="658">
        <f>Calculations!Q90/Calculations!Q$9</f>
        <v>0</v>
      </c>
      <c r="S88" s="658">
        <f>Calculations!R90/Calculations!R$9</f>
        <v>0</v>
      </c>
      <c r="T88" s="658">
        <f>Calculations!S90/Calculations!S$9</f>
        <v>0</v>
      </c>
      <c r="U88" s="658">
        <f>Calculations!T90/Calculations!T$9</f>
        <v>0</v>
      </c>
      <c r="V88" s="658">
        <f>Calculations!U90/Calculations!U$9</f>
        <v>0</v>
      </c>
      <c r="W88" s="658">
        <f>Calculations!V90/Calculations!V$9</f>
        <v>0</v>
      </c>
      <c r="X88" s="658">
        <f>Calculations!W90/Calculations!W$9</f>
        <v>0</v>
      </c>
      <c r="Y88" s="658">
        <f>Calculations!X90/Calculations!X$9</f>
        <v>0</v>
      </c>
      <c r="Z88" s="658">
        <f>Calculations!Y90/Calculations!Y$9</f>
        <v>0</v>
      </c>
    </row>
    <row r="89" spans="3:26" ht="16.5" customHeight="1" x14ac:dyDescent="0.2">
      <c r="C89" s="512"/>
      <c r="D89" s="659" t="str">
        <f>Calculations!C91</f>
        <v>MAIFI momentary</v>
      </c>
      <c r="E89" s="656">
        <f t="shared" si="14"/>
        <v>0</v>
      </c>
      <c r="F89" s="658">
        <f>Calculations!E91/Calculations!E$9</f>
        <v>0</v>
      </c>
      <c r="G89" s="658">
        <f>Calculations!F91/Calculations!F$9</f>
        <v>0</v>
      </c>
      <c r="H89" s="658">
        <f>Calculations!G91/Calculations!G$9</f>
        <v>0</v>
      </c>
      <c r="I89" s="658">
        <f>Calculations!H91/Calculations!H$9</f>
        <v>0</v>
      </c>
      <c r="J89" s="658">
        <f>Calculations!I91/Calculations!I$9</f>
        <v>0</v>
      </c>
      <c r="K89" s="658">
        <f>Calculations!J91/Calculations!J$9</f>
        <v>0</v>
      </c>
      <c r="L89" s="658">
        <f>Calculations!K91/Calculations!K$9</f>
        <v>0</v>
      </c>
      <c r="M89" s="658">
        <f>Calculations!L91/Calculations!L$9</f>
        <v>0</v>
      </c>
      <c r="N89" s="658">
        <f>Calculations!M91/Calculations!M$9</f>
        <v>0</v>
      </c>
      <c r="O89" s="658">
        <f>Calculations!N91/Calculations!N$9</f>
        <v>0</v>
      </c>
      <c r="P89" s="658">
        <f>Calculations!O91/Calculations!O$9</f>
        <v>0</v>
      </c>
      <c r="Q89" s="658">
        <f>Calculations!P91/Calculations!P$9</f>
        <v>0</v>
      </c>
      <c r="R89" s="658">
        <f>Calculations!Q91/Calculations!Q$9</f>
        <v>0</v>
      </c>
      <c r="S89" s="658">
        <f>Calculations!R91/Calculations!R$9</f>
        <v>0</v>
      </c>
      <c r="T89" s="658">
        <f>Calculations!S91/Calculations!S$9</f>
        <v>0</v>
      </c>
      <c r="U89" s="658">
        <f>Calculations!T91/Calculations!T$9</f>
        <v>0</v>
      </c>
      <c r="V89" s="658">
        <f>Calculations!U91/Calculations!U$9</f>
        <v>0</v>
      </c>
      <c r="W89" s="658">
        <f>Calculations!V91/Calculations!V$9</f>
        <v>0</v>
      </c>
      <c r="X89" s="658">
        <f>Calculations!W91/Calculations!W$9</f>
        <v>0</v>
      </c>
      <c r="Y89" s="658">
        <f>Calculations!X91/Calculations!X$9</f>
        <v>0</v>
      </c>
      <c r="Z89" s="658">
        <f>Calculations!Y91/Calculations!Y$9</f>
        <v>0</v>
      </c>
    </row>
    <row r="90" spans="3:26" ht="16.5" customHeight="1" x14ac:dyDescent="0.2">
      <c r="C90" s="512"/>
      <c r="D90" s="659" t="str">
        <f>Calculations!C92</f>
        <v>Call centre response</v>
      </c>
      <c r="E90" s="656">
        <f t="shared" si="14"/>
        <v>0</v>
      </c>
      <c r="F90" s="658">
        <f>Calculations!E92/Calculations!E$9</f>
        <v>0</v>
      </c>
      <c r="G90" s="658">
        <f>Calculations!F92/Calculations!F$9</f>
        <v>0</v>
      </c>
      <c r="H90" s="658">
        <f>Calculations!G92/Calculations!G$9</f>
        <v>0</v>
      </c>
      <c r="I90" s="658">
        <f>Calculations!H92/Calculations!H$9</f>
        <v>0</v>
      </c>
      <c r="J90" s="658">
        <f>Calculations!I92/Calculations!I$9</f>
        <v>0</v>
      </c>
      <c r="K90" s="658">
        <f>Calculations!J92/Calculations!J$9</f>
        <v>0</v>
      </c>
      <c r="L90" s="658">
        <f>Calculations!K92/Calculations!K$9</f>
        <v>0</v>
      </c>
      <c r="M90" s="658">
        <f>Calculations!L92/Calculations!L$9</f>
        <v>0</v>
      </c>
      <c r="N90" s="658">
        <f>Calculations!M92/Calculations!M$9</f>
        <v>0</v>
      </c>
      <c r="O90" s="658">
        <f>Calculations!N92/Calculations!N$9</f>
        <v>0</v>
      </c>
      <c r="P90" s="658">
        <f>Calculations!O92/Calculations!O$9</f>
        <v>0</v>
      </c>
      <c r="Q90" s="658">
        <f>Calculations!P92/Calculations!P$9</f>
        <v>0</v>
      </c>
      <c r="R90" s="658">
        <f>Calculations!Q92/Calculations!Q$9</f>
        <v>0</v>
      </c>
      <c r="S90" s="658">
        <f>Calculations!R92/Calculations!R$9</f>
        <v>0</v>
      </c>
      <c r="T90" s="658">
        <f>Calculations!S92/Calculations!S$9</f>
        <v>0</v>
      </c>
      <c r="U90" s="658">
        <f>Calculations!T92/Calculations!T$9</f>
        <v>0</v>
      </c>
      <c r="V90" s="658">
        <f>Calculations!U92/Calculations!U$9</f>
        <v>0</v>
      </c>
      <c r="W90" s="658">
        <f>Calculations!V92/Calculations!V$9</f>
        <v>0</v>
      </c>
      <c r="X90" s="658">
        <f>Calculations!W92/Calculations!W$9</f>
        <v>0</v>
      </c>
      <c r="Y90" s="658">
        <f>Calculations!X92/Calculations!X$9</f>
        <v>0</v>
      </c>
      <c r="Z90" s="658">
        <f>Calculations!Y92/Calculations!Y$9</f>
        <v>0</v>
      </c>
    </row>
    <row r="91" spans="3:26" ht="16.5" customHeight="1" x14ac:dyDescent="0.2">
      <c r="C91" s="512"/>
      <c r="D91" s="655" t="str">
        <f>Calculations!C93</f>
        <v>Network Outage Costs</v>
      </c>
      <c r="E91" s="656">
        <f t="shared" si="14"/>
        <v>0</v>
      </c>
      <c r="F91" s="658">
        <f>Calculations!E93/Calculations!E$9</f>
        <v>0</v>
      </c>
      <c r="G91" s="658">
        <f>Calculations!F93/Calculations!F$9</f>
        <v>0</v>
      </c>
      <c r="H91" s="658">
        <f>Calculations!G93/Calculations!G$9</f>
        <v>0</v>
      </c>
      <c r="I91" s="658">
        <f>Calculations!H93/Calculations!H$9</f>
        <v>0</v>
      </c>
      <c r="J91" s="658">
        <f>Calculations!I93/Calculations!I$9</f>
        <v>0</v>
      </c>
      <c r="K91" s="658">
        <f>Calculations!J93/Calculations!J$9</f>
        <v>0</v>
      </c>
      <c r="L91" s="658">
        <f>Calculations!K93/Calculations!K$9</f>
        <v>0</v>
      </c>
      <c r="M91" s="658">
        <f>Calculations!L93/Calculations!L$9</f>
        <v>0</v>
      </c>
      <c r="N91" s="658">
        <f>Calculations!M93/Calculations!M$9</f>
        <v>0</v>
      </c>
      <c r="O91" s="658">
        <f>Calculations!N93/Calculations!N$9</f>
        <v>0</v>
      </c>
      <c r="P91" s="658">
        <f>Calculations!O93/Calculations!O$9</f>
        <v>0</v>
      </c>
      <c r="Q91" s="658">
        <f>Calculations!P93/Calculations!P$9</f>
        <v>0</v>
      </c>
      <c r="R91" s="658">
        <f>Calculations!Q93/Calculations!Q$9</f>
        <v>0</v>
      </c>
      <c r="S91" s="658">
        <f>Calculations!R93/Calculations!R$9</f>
        <v>0</v>
      </c>
      <c r="T91" s="658">
        <f>Calculations!S93/Calculations!S$9</f>
        <v>0</v>
      </c>
      <c r="U91" s="658">
        <f>Calculations!T93/Calculations!T$9</f>
        <v>0</v>
      </c>
      <c r="V91" s="658">
        <f>Calculations!U93/Calculations!U$9</f>
        <v>0</v>
      </c>
      <c r="W91" s="658">
        <f>Calculations!V93/Calculations!V$9</f>
        <v>0</v>
      </c>
      <c r="X91" s="658">
        <f>Calculations!W93/Calculations!W$9</f>
        <v>0</v>
      </c>
      <c r="Y91" s="658">
        <f>Calculations!X93/Calculations!X$9</f>
        <v>0</v>
      </c>
      <c r="Z91" s="658">
        <f>Calculations!Y93/Calculations!Y$9</f>
        <v>0</v>
      </c>
    </row>
    <row r="92" spans="3:26" ht="16.5" customHeight="1" x14ac:dyDescent="0.2">
      <c r="C92" s="512"/>
      <c r="D92" s="655" t="str">
        <f>Calculations!C94</f>
        <v>Loss of F Factor Benefit</v>
      </c>
      <c r="E92" s="656">
        <f t="shared" si="14"/>
        <v>0</v>
      </c>
      <c r="F92" s="658">
        <f>Calculations!E94/Calculations!E$9</f>
        <v>0</v>
      </c>
      <c r="G92" s="658">
        <f>Calculations!F94/Calculations!F$9</f>
        <v>0</v>
      </c>
      <c r="H92" s="658">
        <f>Calculations!G94/Calculations!G$9</f>
        <v>0</v>
      </c>
      <c r="I92" s="658">
        <f>Calculations!H94/Calculations!H$9</f>
        <v>0</v>
      </c>
      <c r="J92" s="658">
        <f>Calculations!I94/Calculations!I$9</f>
        <v>0</v>
      </c>
      <c r="K92" s="658">
        <f>Calculations!J94/Calculations!J$9</f>
        <v>0</v>
      </c>
      <c r="L92" s="658">
        <f>Calculations!K94/Calculations!K$9</f>
        <v>0</v>
      </c>
      <c r="M92" s="658">
        <f>Calculations!L94/Calculations!L$9</f>
        <v>0</v>
      </c>
      <c r="N92" s="658">
        <f>Calculations!M94/Calculations!M$9</f>
        <v>0</v>
      </c>
      <c r="O92" s="658">
        <f>Calculations!N94/Calculations!N$9</f>
        <v>0</v>
      </c>
      <c r="P92" s="658">
        <f>Calculations!O94/Calculations!O$9</f>
        <v>0</v>
      </c>
      <c r="Q92" s="658">
        <f>Calculations!P94/Calculations!P$9</f>
        <v>0</v>
      </c>
      <c r="R92" s="658">
        <f>Calculations!Q94/Calculations!Q$9</f>
        <v>0</v>
      </c>
      <c r="S92" s="658">
        <f>Calculations!R94/Calculations!R$9</f>
        <v>0</v>
      </c>
      <c r="T92" s="658">
        <f>Calculations!S94/Calculations!S$9</f>
        <v>0</v>
      </c>
      <c r="U92" s="658">
        <f>Calculations!T94/Calculations!T$9</f>
        <v>0</v>
      </c>
      <c r="V92" s="658">
        <f>Calculations!U94/Calculations!U$9</f>
        <v>0</v>
      </c>
      <c r="W92" s="658">
        <f>Calculations!V94/Calculations!V$9</f>
        <v>0</v>
      </c>
      <c r="X92" s="658">
        <f>Calculations!W94/Calculations!W$9</f>
        <v>0</v>
      </c>
      <c r="Y92" s="658">
        <f>Calculations!X94/Calculations!X$9</f>
        <v>0</v>
      </c>
      <c r="Z92" s="658">
        <f>Calculations!Y94/Calculations!Y$9</f>
        <v>0</v>
      </c>
    </row>
    <row r="93" spans="3:26" ht="16.5" customHeight="1" x14ac:dyDescent="0.2">
      <c r="C93" s="512"/>
      <c r="D93" s="655" t="str">
        <f>Calculations!C95</f>
        <v>Need to Neutral Inegrity Test 1/5 of the services where data is 
acquired from non-UE  Meter Data Provider</v>
      </c>
      <c r="E93" s="656">
        <f t="shared" si="14"/>
        <v>850.73099277370966</v>
      </c>
      <c r="F93" s="658">
        <f>Calculations!E95/Calculations!E$9</f>
        <v>0</v>
      </c>
      <c r="G93" s="658">
        <f>Calculations!F95/Calculations!F$9</f>
        <v>0</v>
      </c>
      <c r="H93" s="658">
        <f>Calculations!G95/Calculations!G$9</f>
        <v>0</v>
      </c>
      <c r="I93" s="658">
        <f>Calculations!H95/Calculations!H$9</f>
        <v>0</v>
      </c>
      <c r="J93" s="658">
        <f>Calculations!I95/Calculations!I$9</f>
        <v>0</v>
      </c>
      <c r="K93" s="658">
        <f>Calculations!J95/Calculations!J$9</f>
        <v>0</v>
      </c>
      <c r="L93" s="658">
        <f>Calculations!K95/Calculations!K$9</f>
        <v>0</v>
      </c>
      <c r="M93" s="658">
        <f>Calculations!L95/Calculations!L$9</f>
        <v>0</v>
      </c>
      <c r="N93" s="658">
        <f>Calculations!M95/Calculations!M$9</f>
        <v>0</v>
      </c>
      <c r="O93" s="658">
        <f>Calculations!N95/Calculations!N$9</f>
        <v>0</v>
      </c>
      <c r="P93" s="658">
        <f>Calculations!O95/Calculations!O$9</f>
        <v>9.270968681447437</v>
      </c>
      <c r="Q93" s="658">
        <f>Calculations!P95/Calculations!P$9</f>
        <v>104.32444431206363</v>
      </c>
      <c r="R93" s="658">
        <f>Calculations!Q95/Calculations!Q$9</f>
        <v>99.002339669344138</v>
      </c>
      <c r="S93" s="658">
        <f>Calculations!R95/Calculations!R$9</f>
        <v>93.985083891947099</v>
      </c>
      <c r="T93" s="658">
        <f>Calculations!S95/Calculations!S$9</f>
        <v>89.257562043598838</v>
      </c>
      <c r="U93" s="658">
        <f>Calculations!T95/Calculations!T$9</f>
        <v>84.795600324309305</v>
      </c>
      <c r="V93" s="658">
        <f>Calculations!U95/Calculations!U$9</f>
        <v>80.581931495551856</v>
      </c>
      <c r="W93" s="658">
        <f>Calculations!V95/Calculations!V$9</f>
        <v>76.600563764438192</v>
      </c>
      <c r="X93" s="658">
        <f>Calculations!W95/Calculations!W$9</f>
        <v>72.836679418510414</v>
      </c>
      <c r="Y93" s="658">
        <f>Calculations!X95/Calculations!X$9</f>
        <v>69.276541719291075</v>
      </c>
      <c r="Z93" s="658">
        <f>Calculations!Y95/Calculations!Y$9</f>
        <v>70.799277453207637</v>
      </c>
    </row>
    <row r="94" spans="3:26" ht="16.5" customHeight="1" x14ac:dyDescent="0.2">
      <c r="C94" s="512"/>
      <c r="D94" s="655" t="str">
        <f>Calculations!C96</f>
        <v>Cost 2</v>
      </c>
      <c r="E94" s="656">
        <f t="shared" si="14"/>
        <v>0</v>
      </c>
      <c r="F94" s="658">
        <f>Calculations!E96/Calculations!E$9</f>
        <v>0</v>
      </c>
      <c r="G94" s="658">
        <f>Calculations!F96/Calculations!F$9</f>
        <v>0</v>
      </c>
      <c r="H94" s="658">
        <f>Calculations!G96/Calculations!G$9</f>
        <v>0</v>
      </c>
      <c r="I94" s="658">
        <f>Calculations!H96/Calculations!H$9</f>
        <v>0</v>
      </c>
      <c r="J94" s="658">
        <f>Calculations!I96/Calculations!I$9</f>
        <v>0</v>
      </c>
      <c r="K94" s="658">
        <f>Calculations!J96/Calculations!J$9</f>
        <v>0</v>
      </c>
      <c r="L94" s="658">
        <f>Calculations!K96/Calculations!K$9</f>
        <v>0</v>
      </c>
      <c r="M94" s="658">
        <f>Calculations!L96/Calculations!L$9</f>
        <v>0</v>
      </c>
      <c r="N94" s="658">
        <f>Calculations!M96/Calculations!M$9</f>
        <v>0</v>
      </c>
      <c r="O94" s="658">
        <f>Calculations!N96/Calculations!N$9</f>
        <v>0</v>
      </c>
      <c r="P94" s="658">
        <f>Calculations!O96/Calculations!O$9</f>
        <v>0</v>
      </c>
      <c r="Q94" s="658">
        <f>Calculations!P96/Calculations!P$9</f>
        <v>0</v>
      </c>
      <c r="R94" s="658">
        <f>Calculations!Q96/Calculations!Q$9</f>
        <v>0</v>
      </c>
      <c r="S94" s="658">
        <f>Calculations!R96/Calculations!R$9</f>
        <v>0</v>
      </c>
      <c r="T94" s="658">
        <f>Calculations!S96/Calculations!S$9</f>
        <v>0</v>
      </c>
      <c r="U94" s="658">
        <f>Calculations!T96/Calculations!T$9</f>
        <v>0</v>
      </c>
      <c r="V94" s="658">
        <f>Calculations!U96/Calculations!U$9</f>
        <v>0</v>
      </c>
      <c r="W94" s="658">
        <f>Calculations!V96/Calculations!V$9</f>
        <v>0</v>
      </c>
      <c r="X94" s="658">
        <f>Calculations!W96/Calculations!W$9</f>
        <v>0</v>
      </c>
      <c r="Y94" s="658">
        <f>Calculations!X96/Calculations!X$9</f>
        <v>0</v>
      </c>
      <c r="Z94" s="658">
        <f>Calculations!Y96/Calculations!Y$9</f>
        <v>0</v>
      </c>
    </row>
    <row r="95" spans="3:26" ht="16.5" customHeight="1" x14ac:dyDescent="0.2">
      <c r="C95" s="512"/>
      <c r="D95" s="655" t="str">
        <f>Calculations!C97</f>
        <v>Cost 3</v>
      </c>
      <c r="E95" s="656">
        <f t="shared" si="14"/>
        <v>0</v>
      </c>
      <c r="F95" s="658">
        <f>Calculations!E97/Calculations!E$9</f>
        <v>0</v>
      </c>
      <c r="G95" s="658">
        <f>Calculations!F97/Calculations!F$9</f>
        <v>0</v>
      </c>
      <c r="H95" s="658">
        <f>Calculations!G97/Calculations!G$9</f>
        <v>0</v>
      </c>
      <c r="I95" s="658">
        <f>Calculations!H97/Calculations!H$9</f>
        <v>0</v>
      </c>
      <c r="J95" s="658">
        <f>Calculations!I97/Calculations!I$9</f>
        <v>0</v>
      </c>
      <c r="K95" s="658">
        <f>Calculations!J97/Calculations!J$9</f>
        <v>0</v>
      </c>
      <c r="L95" s="658">
        <f>Calculations!K97/Calculations!K$9</f>
        <v>0</v>
      </c>
      <c r="M95" s="658">
        <f>Calculations!L97/Calculations!L$9</f>
        <v>0</v>
      </c>
      <c r="N95" s="658">
        <f>Calculations!M97/Calculations!M$9</f>
        <v>0</v>
      </c>
      <c r="O95" s="658">
        <f>Calculations!N97/Calculations!N$9</f>
        <v>0</v>
      </c>
      <c r="P95" s="658">
        <f>Calculations!O97/Calculations!O$9</f>
        <v>0</v>
      </c>
      <c r="Q95" s="658">
        <f>Calculations!P97/Calculations!P$9</f>
        <v>0</v>
      </c>
      <c r="R95" s="658">
        <f>Calculations!Q97/Calculations!Q$9</f>
        <v>0</v>
      </c>
      <c r="S95" s="658">
        <f>Calculations!R97/Calculations!R$9</f>
        <v>0</v>
      </c>
      <c r="T95" s="658">
        <f>Calculations!S97/Calculations!S$9</f>
        <v>0</v>
      </c>
      <c r="U95" s="658">
        <f>Calculations!T97/Calculations!T$9</f>
        <v>0</v>
      </c>
      <c r="V95" s="658">
        <f>Calculations!U97/Calculations!U$9</f>
        <v>0</v>
      </c>
      <c r="W95" s="658">
        <f>Calculations!V97/Calculations!V$9</f>
        <v>0</v>
      </c>
      <c r="X95" s="658">
        <f>Calculations!W97/Calculations!W$9</f>
        <v>0</v>
      </c>
      <c r="Y95" s="658">
        <f>Calculations!X97/Calculations!X$9</f>
        <v>0</v>
      </c>
      <c r="Z95" s="658">
        <f>Calculations!Y97/Calculations!Y$9</f>
        <v>0</v>
      </c>
    </row>
    <row r="96" spans="3:26" ht="16.5" customHeight="1" x14ac:dyDescent="0.2">
      <c r="C96" s="512"/>
      <c r="D96" s="655" t="str">
        <f>Calculations!C98</f>
        <v>Cost 4</v>
      </c>
      <c r="E96" s="656">
        <f t="shared" si="14"/>
        <v>0</v>
      </c>
      <c r="F96" s="658">
        <f>Calculations!E98/Calculations!E$9</f>
        <v>0</v>
      </c>
      <c r="G96" s="658">
        <f>Calculations!F98/Calculations!F$9</f>
        <v>0</v>
      </c>
      <c r="H96" s="658">
        <f>Calculations!G98/Calculations!G$9</f>
        <v>0</v>
      </c>
      <c r="I96" s="658">
        <f>Calculations!H98/Calculations!H$9</f>
        <v>0</v>
      </c>
      <c r="J96" s="658">
        <f>Calculations!I98/Calculations!I$9</f>
        <v>0</v>
      </c>
      <c r="K96" s="658">
        <f>Calculations!J98/Calculations!J$9</f>
        <v>0</v>
      </c>
      <c r="L96" s="658">
        <f>Calculations!K98/Calculations!K$9</f>
        <v>0</v>
      </c>
      <c r="M96" s="658">
        <f>Calculations!L98/Calculations!L$9</f>
        <v>0</v>
      </c>
      <c r="N96" s="658">
        <f>Calculations!M98/Calculations!M$9</f>
        <v>0</v>
      </c>
      <c r="O96" s="658">
        <f>Calculations!N98/Calculations!N$9</f>
        <v>0</v>
      </c>
      <c r="P96" s="658">
        <f>Calculations!O98/Calculations!O$9</f>
        <v>0</v>
      </c>
      <c r="Q96" s="658">
        <f>Calculations!P98/Calculations!P$9</f>
        <v>0</v>
      </c>
      <c r="R96" s="658">
        <f>Calculations!Q98/Calculations!Q$9</f>
        <v>0</v>
      </c>
      <c r="S96" s="658">
        <f>Calculations!R98/Calculations!R$9</f>
        <v>0</v>
      </c>
      <c r="T96" s="658">
        <f>Calculations!S98/Calculations!S$9</f>
        <v>0</v>
      </c>
      <c r="U96" s="658">
        <f>Calculations!T98/Calculations!T$9</f>
        <v>0</v>
      </c>
      <c r="V96" s="658">
        <f>Calculations!U98/Calculations!U$9</f>
        <v>0</v>
      </c>
      <c r="W96" s="658">
        <f>Calculations!V98/Calculations!V$9</f>
        <v>0</v>
      </c>
      <c r="X96" s="658">
        <f>Calculations!W98/Calculations!W$9</f>
        <v>0</v>
      </c>
      <c r="Y96" s="658">
        <f>Calculations!X98/Calculations!X$9</f>
        <v>0</v>
      </c>
      <c r="Z96" s="658">
        <f>Calculations!Y98/Calculations!Y$9</f>
        <v>0</v>
      </c>
    </row>
    <row r="97" spans="3:26" ht="16.5" customHeight="1" x14ac:dyDescent="0.2">
      <c r="C97" s="512"/>
      <c r="D97" s="655" t="str">
        <f>Calculations!C99</f>
        <v>Cost 5</v>
      </c>
      <c r="E97" s="656">
        <f t="shared" si="14"/>
        <v>0</v>
      </c>
      <c r="F97" s="658">
        <f>Calculations!E99/Calculations!E$9</f>
        <v>0</v>
      </c>
      <c r="G97" s="658">
        <f>Calculations!F99/Calculations!F$9</f>
        <v>0</v>
      </c>
      <c r="H97" s="658">
        <f>Calculations!G99/Calculations!G$9</f>
        <v>0</v>
      </c>
      <c r="I97" s="658">
        <f>Calculations!H99/Calculations!H$9</f>
        <v>0</v>
      </c>
      <c r="J97" s="658">
        <f>Calculations!I99/Calculations!I$9</f>
        <v>0</v>
      </c>
      <c r="K97" s="658">
        <f>Calculations!J99/Calculations!J$9</f>
        <v>0</v>
      </c>
      <c r="L97" s="658">
        <f>Calculations!K99/Calculations!K$9</f>
        <v>0</v>
      </c>
      <c r="M97" s="658">
        <f>Calculations!L99/Calculations!L$9</f>
        <v>0</v>
      </c>
      <c r="N97" s="658">
        <f>Calculations!M99/Calculations!M$9</f>
        <v>0</v>
      </c>
      <c r="O97" s="658">
        <f>Calculations!N99/Calculations!N$9</f>
        <v>0</v>
      </c>
      <c r="P97" s="658">
        <f>Calculations!O99/Calculations!O$9</f>
        <v>0</v>
      </c>
      <c r="Q97" s="658">
        <f>Calculations!P99/Calculations!P$9</f>
        <v>0</v>
      </c>
      <c r="R97" s="658">
        <f>Calculations!Q99/Calculations!Q$9</f>
        <v>0</v>
      </c>
      <c r="S97" s="658">
        <f>Calculations!R99/Calculations!R$9</f>
        <v>0</v>
      </c>
      <c r="T97" s="658">
        <f>Calculations!S99/Calculations!S$9</f>
        <v>0</v>
      </c>
      <c r="U97" s="658">
        <f>Calculations!T99/Calculations!T$9</f>
        <v>0</v>
      </c>
      <c r="V97" s="658">
        <f>Calculations!U99/Calculations!U$9</f>
        <v>0</v>
      </c>
      <c r="W97" s="658">
        <f>Calculations!V99/Calculations!V$9</f>
        <v>0</v>
      </c>
      <c r="X97" s="658">
        <f>Calculations!W99/Calculations!W$9</f>
        <v>0</v>
      </c>
      <c r="Y97" s="658">
        <f>Calculations!X99/Calculations!X$9</f>
        <v>0</v>
      </c>
      <c r="Z97" s="658">
        <f>Calculations!Y99/Calculations!Y$9</f>
        <v>0</v>
      </c>
    </row>
    <row r="98" spans="3:26" ht="16.5" customHeight="1" x14ac:dyDescent="0.2">
      <c r="C98" s="512"/>
      <c r="D98" s="655" t="str">
        <f>Calculations!C100</f>
        <v>Risk 1</v>
      </c>
      <c r="E98" s="656">
        <f t="shared" si="14"/>
        <v>0</v>
      </c>
      <c r="F98" s="658">
        <f>Calculations!E100/Calculations!E$9</f>
        <v>0</v>
      </c>
      <c r="G98" s="658">
        <f>Calculations!F100/Calculations!F$9</f>
        <v>0</v>
      </c>
      <c r="H98" s="658">
        <f>Calculations!G100/Calculations!G$9</f>
        <v>0</v>
      </c>
      <c r="I98" s="658">
        <f>Calculations!H100/Calculations!H$9</f>
        <v>0</v>
      </c>
      <c r="J98" s="658">
        <f>Calculations!I100/Calculations!I$9</f>
        <v>0</v>
      </c>
      <c r="K98" s="658">
        <f>Calculations!J100/Calculations!J$9</f>
        <v>0</v>
      </c>
      <c r="L98" s="658">
        <f>Calculations!K100/Calculations!K$9</f>
        <v>0</v>
      </c>
      <c r="M98" s="658">
        <f>Calculations!L100/Calculations!L$9</f>
        <v>0</v>
      </c>
      <c r="N98" s="658">
        <f>Calculations!M100/Calculations!M$9</f>
        <v>0</v>
      </c>
      <c r="O98" s="658">
        <f>Calculations!N100/Calculations!N$9</f>
        <v>0</v>
      </c>
      <c r="P98" s="658">
        <f>Calculations!O100/Calculations!O$9</f>
        <v>0</v>
      </c>
      <c r="Q98" s="658">
        <f>Calculations!P100/Calculations!P$9</f>
        <v>0</v>
      </c>
      <c r="R98" s="658">
        <f>Calculations!Q100/Calculations!Q$9</f>
        <v>0</v>
      </c>
      <c r="S98" s="658">
        <f>Calculations!R100/Calculations!R$9</f>
        <v>0</v>
      </c>
      <c r="T98" s="658">
        <f>Calculations!S100/Calculations!S$9</f>
        <v>0</v>
      </c>
      <c r="U98" s="658">
        <f>Calculations!T100/Calculations!T$9</f>
        <v>0</v>
      </c>
      <c r="V98" s="658">
        <f>Calculations!U100/Calculations!U$9</f>
        <v>0</v>
      </c>
      <c r="W98" s="658">
        <f>Calculations!V100/Calculations!V$9</f>
        <v>0</v>
      </c>
      <c r="X98" s="658">
        <f>Calculations!W100/Calculations!W$9</f>
        <v>0</v>
      </c>
      <c r="Y98" s="658">
        <f>Calculations!X100/Calculations!X$9</f>
        <v>0</v>
      </c>
      <c r="Z98" s="658">
        <f>Calculations!Y100/Calculations!Y$9</f>
        <v>0</v>
      </c>
    </row>
    <row r="99" spans="3:26" ht="16.5" customHeight="1" x14ac:dyDescent="0.2">
      <c r="C99" s="512"/>
      <c r="D99" s="655" t="str">
        <f>Calculations!C101</f>
        <v>Risk 2</v>
      </c>
      <c r="E99" s="656">
        <f t="shared" si="14"/>
        <v>0</v>
      </c>
      <c r="F99" s="658">
        <f>Calculations!E101/Calculations!E$9</f>
        <v>0</v>
      </c>
      <c r="G99" s="658">
        <f>Calculations!F101/Calculations!F$9</f>
        <v>0</v>
      </c>
      <c r="H99" s="658">
        <f>Calculations!G101/Calculations!G$9</f>
        <v>0</v>
      </c>
      <c r="I99" s="658">
        <f>Calculations!H101/Calculations!H$9</f>
        <v>0</v>
      </c>
      <c r="J99" s="658">
        <f>Calculations!I101/Calculations!I$9</f>
        <v>0</v>
      </c>
      <c r="K99" s="658">
        <f>Calculations!J101/Calculations!J$9</f>
        <v>0</v>
      </c>
      <c r="L99" s="658">
        <f>Calculations!K101/Calculations!K$9</f>
        <v>0</v>
      </c>
      <c r="M99" s="658">
        <f>Calculations!L101/Calculations!L$9</f>
        <v>0</v>
      </c>
      <c r="N99" s="658">
        <f>Calculations!M101/Calculations!M$9</f>
        <v>0</v>
      </c>
      <c r="O99" s="658">
        <f>Calculations!N101/Calculations!N$9</f>
        <v>0</v>
      </c>
      <c r="P99" s="658">
        <f>Calculations!O101/Calculations!O$9</f>
        <v>0</v>
      </c>
      <c r="Q99" s="658">
        <f>Calculations!P101/Calculations!P$9</f>
        <v>0</v>
      </c>
      <c r="R99" s="658">
        <f>Calculations!Q101/Calculations!Q$9</f>
        <v>0</v>
      </c>
      <c r="S99" s="658">
        <f>Calculations!R101/Calculations!R$9</f>
        <v>0</v>
      </c>
      <c r="T99" s="658">
        <f>Calculations!S101/Calculations!S$9</f>
        <v>0</v>
      </c>
      <c r="U99" s="658">
        <f>Calculations!T101/Calculations!T$9</f>
        <v>0</v>
      </c>
      <c r="V99" s="658">
        <f>Calculations!U101/Calculations!U$9</f>
        <v>0</v>
      </c>
      <c r="W99" s="658">
        <f>Calculations!V101/Calculations!V$9</f>
        <v>0</v>
      </c>
      <c r="X99" s="658">
        <f>Calculations!W101/Calculations!W$9</f>
        <v>0</v>
      </c>
      <c r="Y99" s="658">
        <f>Calculations!X101/Calculations!X$9</f>
        <v>0</v>
      </c>
      <c r="Z99" s="658">
        <f>Calculations!Y101/Calculations!Y$9</f>
        <v>0</v>
      </c>
    </row>
    <row r="100" spans="3:26" ht="16.5" customHeight="1" x14ac:dyDescent="0.2">
      <c r="C100" s="512"/>
      <c r="D100" s="655" t="str">
        <f>Calculations!C102</f>
        <v>Risk 3</v>
      </c>
      <c r="E100" s="656">
        <f t="shared" si="14"/>
        <v>0</v>
      </c>
      <c r="F100" s="658">
        <f>Calculations!E102/Calculations!E$9</f>
        <v>0</v>
      </c>
      <c r="G100" s="658">
        <f>Calculations!F102/Calculations!F$9</f>
        <v>0</v>
      </c>
      <c r="H100" s="658">
        <f>Calculations!G102/Calculations!G$9</f>
        <v>0</v>
      </c>
      <c r="I100" s="658">
        <f>Calculations!H102/Calculations!H$9</f>
        <v>0</v>
      </c>
      <c r="J100" s="658">
        <f>Calculations!I102/Calculations!I$9</f>
        <v>0</v>
      </c>
      <c r="K100" s="658">
        <f>Calculations!J102/Calculations!J$9</f>
        <v>0</v>
      </c>
      <c r="L100" s="658">
        <f>Calculations!K102/Calculations!K$9</f>
        <v>0</v>
      </c>
      <c r="M100" s="658">
        <f>Calculations!L102/Calculations!L$9</f>
        <v>0</v>
      </c>
      <c r="N100" s="658">
        <f>Calculations!M102/Calculations!M$9</f>
        <v>0</v>
      </c>
      <c r="O100" s="658">
        <f>Calculations!N102/Calculations!N$9</f>
        <v>0</v>
      </c>
      <c r="P100" s="658">
        <f>Calculations!O102/Calculations!O$9</f>
        <v>0</v>
      </c>
      <c r="Q100" s="658">
        <f>Calculations!P102/Calculations!P$9</f>
        <v>0</v>
      </c>
      <c r="R100" s="658">
        <f>Calculations!Q102/Calculations!Q$9</f>
        <v>0</v>
      </c>
      <c r="S100" s="658">
        <f>Calculations!R102/Calculations!R$9</f>
        <v>0</v>
      </c>
      <c r="T100" s="658">
        <f>Calculations!S102/Calculations!S$9</f>
        <v>0</v>
      </c>
      <c r="U100" s="658">
        <f>Calculations!T102/Calculations!T$9</f>
        <v>0</v>
      </c>
      <c r="V100" s="658">
        <f>Calculations!U102/Calculations!U$9</f>
        <v>0</v>
      </c>
      <c r="W100" s="658">
        <f>Calculations!V102/Calculations!V$9</f>
        <v>0</v>
      </c>
      <c r="X100" s="658">
        <f>Calculations!W102/Calculations!W$9</f>
        <v>0</v>
      </c>
      <c r="Y100" s="658">
        <f>Calculations!X102/Calculations!X$9</f>
        <v>0</v>
      </c>
      <c r="Z100" s="658">
        <f>Calculations!Y102/Calculations!Y$9</f>
        <v>0</v>
      </c>
    </row>
    <row r="101" spans="3:26" ht="16.5" customHeight="1" x14ac:dyDescent="0.2">
      <c r="C101" s="512"/>
      <c r="D101" s="655" t="str">
        <f>Calculations!C103</f>
        <v>Risk 4</v>
      </c>
      <c r="E101" s="656">
        <f t="shared" si="14"/>
        <v>0</v>
      </c>
      <c r="F101" s="658">
        <f>Calculations!E103/Calculations!E$9</f>
        <v>0</v>
      </c>
      <c r="G101" s="658">
        <f>Calculations!F103/Calculations!F$9</f>
        <v>0</v>
      </c>
      <c r="H101" s="658">
        <f>Calculations!G103/Calculations!G$9</f>
        <v>0</v>
      </c>
      <c r="I101" s="658">
        <f>Calculations!H103/Calculations!H$9</f>
        <v>0</v>
      </c>
      <c r="J101" s="658">
        <f>Calculations!I103/Calculations!I$9</f>
        <v>0</v>
      </c>
      <c r="K101" s="658">
        <f>Calculations!J103/Calculations!J$9</f>
        <v>0</v>
      </c>
      <c r="L101" s="658">
        <f>Calculations!K103/Calculations!K$9</f>
        <v>0</v>
      </c>
      <c r="M101" s="658">
        <f>Calculations!L103/Calculations!L$9</f>
        <v>0</v>
      </c>
      <c r="N101" s="658">
        <f>Calculations!M103/Calculations!M$9</f>
        <v>0</v>
      </c>
      <c r="O101" s="658">
        <f>Calculations!N103/Calculations!N$9</f>
        <v>0</v>
      </c>
      <c r="P101" s="658">
        <f>Calculations!O103/Calculations!O$9</f>
        <v>0</v>
      </c>
      <c r="Q101" s="658">
        <f>Calculations!P103/Calculations!P$9</f>
        <v>0</v>
      </c>
      <c r="R101" s="658">
        <f>Calculations!Q103/Calculations!Q$9</f>
        <v>0</v>
      </c>
      <c r="S101" s="658">
        <f>Calculations!R103/Calculations!R$9</f>
        <v>0</v>
      </c>
      <c r="T101" s="658">
        <f>Calculations!S103/Calculations!S$9</f>
        <v>0</v>
      </c>
      <c r="U101" s="658">
        <f>Calculations!T103/Calculations!T$9</f>
        <v>0</v>
      </c>
      <c r="V101" s="658">
        <f>Calculations!U103/Calculations!U$9</f>
        <v>0</v>
      </c>
      <c r="W101" s="658">
        <f>Calculations!V103/Calculations!V$9</f>
        <v>0</v>
      </c>
      <c r="X101" s="658">
        <f>Calculations!W103/Calculations!W$9</f>
        <v>0</v>
      </c>
      <c r="Y101" s="658">
        <f>Calculations!X103/Calculations!X$9</f>
        <v>0</v>
      </c>
      <c r="Z101" s="658">
        <f>Calculations!Y103/Calculations!Y$9</f>
        <v>0</v>
      </c>
    </row>
    <row r="102" spans="3:26" ht="16.5" customHeight="1" x14ac:dyDescent="0.2">
      <c r="C102" s="512"/>
      <c r="D102" s="655" t="str">
        <f>Calculations!C104</f>
        <v>Risk 5</v>
      </c>
      <c r="E102" s="656">
        <f t="shared" si="14"/>
        <v>0</v>
      </c>
      <c r="F102" s="658">
        <f>Calculations!E104/Calculations!E$9</f>
        <v>0</v>
      </c>
      <c r="G102" s="658">
        <f>Calculations!F104/Calculations!F$9</f>
        <v>0</v>
      </c>
      <c r="H102" s="658">
        <f>Calculations!G104/Calculations!G$9</f>
        <v>0</v>
      </c>
      <c r="I102" s="658">
        <f>Calculations!H104/Calculations!H$9</f>
        <v>0</v>
      </c>
      <c r="J102" s="658">
        <f>Calculations!I104/Calculations!I$9</f>
        <v>0</v>
      </c>
      <c r="K102" s="658">
        <f>Calculations!J104/Calculations!J$9</f>
        <v>0</v>
      </c>
      <c r="L102" s="658">
        <f>Calculations!K104/Calculations!K$9</f>
        <v>0</v>
      </c>
      <c r="M102" s="658">
        <f>Calculations!L104/Calculations!L$9</f>
        <v>0</v>
      </c>
      <c r="N102" s="658">
        <f>Calculations!M104/Calculations!M$9</f>
        <v>0</v>
      </c>
      <c r="O102" s="658">
        <f>Calculations!N104/Calculations!N$9</f>
        <v>0</v>
      </c>
      <c r="P102" s="658">
        <f>Calculations!O104/Calculations!O$9</f>
        <v>0</v>
      </c>
      <c r="Q102" s="658">
        <f>Calculations!P104/Calculations!P$9</f>
        <v>0</v>
      </c>
      <c r="R102" s="658">
        <f>Calculations!Q104/Calculations!Q$9</f>
        <v>0</v>
      </c>
      <c r="S102" s="658">
        <f>Calculations!R104/Calculations!R$9</f>
        <v>0</v>
      </c>
      <c r="T102" s="658">
        <f>Calculations!S104/Calculations!S$9</f>
        <v>0</v>
      </c>
      <c r="U102" s="658">
        <f>Calculations!T104/Calculations!T$9</f>
        <v>0</v>
      </c>
      <c r="V102" s="658">
        <f>Calculations!U104/Calculations!U$9</f>
        <v>0</v>
      </c>
      <c r="W102" s="658">
        <f>Calculations!V104/Calculations!V$9</f>
        <v>0</v>
      </c>
      <c r="X102" s="658">
        <f>Calculations!W104/Calculations!W$9</f>
        <v>0</v>
      </c>
      <c r="Y102" s="658">
        <f>Calculations!X104/Calculations!X$9</f>
        <v>0</v>
      </c>
      <c r="Z102" s="658">
        <f>Calculations!Y104/Calculations!Y$9</f>
        <v>0</v>
      </c>
    </row>
    <row r="103" spans="3:26" ht="16.5" customHeight="1" x14ac:dyDescent="0.2">
      <c r="C103" s="512"/>
      <c r="D103" s="655" t="s">
        <v>254</v>
      </c>
      <c r="E103" s="656">
        <f t="shared" ref="E103:Z103" si="15">SUM(E84:E102)-E86</f>
        <v>7819.2799022999206</v>
      </c>
      <c r="F103" s="656">
        <f t="shared" si="15"/>
        <v>2764.8788418294198</v>
      </c>
      <c r="G103" s="656">
        <f t="shared" si="15"/>
        <v>1953.9036514613545</v>
      </c>
      <c r="H103" s="656">
        <f t="shared" si="15"/>
        <v>1005.8865470614948</v>
      </c>
      <c r="I103" s="656">
        <f t="shared" si="15"/>
        <v>959.57213625221289</v>
      </c>
      <c r="J103" s="656">
        <f t="shared" si="15"/>
        <v>17.716711825169014</v>
      </c>
      <c r="K103" s="656">
        <f t="shared" si="15"/>
        <v>17.897928413055904</v>
      </c>
      <c r="L103" s="656">
        <f t="shared" si="15"/>
        <v>17.988748594305029</v>
      </c>
      <c r="M103" s="656">
        <f t="shared" si="15"/>
        <v>17.999673940833272</v>
      </c>
      <c r="N103" s="656">
        <f t="shared" si="15"/>
        <v>17.940251993411962</v>
      </c>
      <c r="O103" s="656">
        <f t="shared" si="15"/>
        <v>17.819154151398173</v>
      </c>
      <c r="P103" s="656">
        <f t="shared" si="15"/>
        <v>26.915216255487636</v>
      </c>
      <c r="Q103" s="656">
        <f t="shared" si="15"/>
        <v>121.74710584841617</v>
      </c>
      <c r="R103" s="656">
        <f t="shared" si="15"/>
        <v>116.1631883199981</v>
      </c>
      <c r="S103" s="656">
        <f t="shared" si="15"/>
        <v>110.84972522715969</v>
      </c>
      <c r="T103" s="656">
        <f t="shared" si="15"/>
        <v>105.79686592748673</v>
      </c>
      <c r="U103" s="656">
        <f t="shared" si="15"/>
        <v>100.98518078936496</v>
      </c>
      <c r="V103" s="656">
        <f t="shared" si="15"/>
        <v>96.401670849863976</v>
      </c>
      <c r="W103" s="656">
        <f t="shared" si="15"/>
        <v>92.034177447788892</v>
      </c>
      <c r="X103" s="656">
        <f t="shared" si="15"/>
        <v>87.871318385382878</v>
      </c>
      <c r="Y103" s="656">
        <f t="shared" si="15"/>
        <v>83.902429369609706</v>
      </c>
      <c r="Z103" s="656">
        <f t="shared" si="15"/>
        <v>85.009378356706748</v>
      </c>
    </row>
    <row r="104" spans="3:26" ht="16.5" customHeight="1" x14ac:dyDescent="0.2">
      <c r="C104" s="512"/>
      <c r="D104" s="512"/>
      <c r="E104" s="512"/>
      <c r="F104" s="512"/>
      <c r="G104" s="512"/>
      <c r="H104" s="512"/>
      <c r="I104" s="512"/>
      <c r="J104" s="512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512"/>
      <c r="Y104" s="512"/>
      <c r="Z104" s="512"/>
    </row>
    <row r="105" spans="3:26" ht="16.5" customHeight="1" x14ac:dyDescent="0.25">
      <c r="C105" s="512"/>
      <c r="D105" s="650" t="str">
        <f>'User Input'!D140</f>
        <v xml:space="preserve">Option 4: </v>
      </c>
      <c r="E105" s="512"/>
      <c r="F105" s="512"/>
      <c r="G105" s="512"/>
      <c r="H105" s="512"/>
      <c r="I105" s="512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512"/>
      <c r="Y105" s="512"/>
      <c r="Z105" s="512"/>
    </row>
    <row r="106" spans="3:26" ht="16.5" customHeight="1" x14ac:dyDescent="0.25">
      <c r="C106" s="512"/>
      <c r="D106" s="498"/>
      <c r="E106" s="512"/>
      <c r="F106" s="512"/>
      <c r="G106" s="512"/>
      <c r="H106" s="512"/>
      <c r="I106" s="512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/>
      <c r="U106" s="512"/>
      <c r="V106" s="512"/>
      <c r="W106" s="512"/>
      <c r="X106" s="512"/>
      <c r="Y106" s="512"/>
      <c r="Z106" s="512"/>
    </row>
    <row r="107" spans="3:26" ht="16.5" customHeight="1" x14ac:dyDescent="0.25">
      <c r="C107" s="512"/>
      <c r="D107" s="653"/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716"/>
      <c r="W107" s="716"/>
      <c r="X107" s="716"/>
      <c r="Y107" s="716"/>
      <c r="Z107" s="716"/>
    </row>
    <row r="108" spans="3:26" ht="16.5" customHeight="1" x14ac:dyDescent="0.25">
      <c r="C108" s="512"/>
      <c r="D108" s="653"/>
      <c r="E108" s="654" t="s">
        <v>254</v>
      </c>
      <c r="F108" s="654">
        <f>'User Input'!$E$6</f>
        <v>2017</v>
      </c>
      <c r="G108" s="654">
        <f>F108+1</f>
        <v>2018</v>
      </c>
      <c r="H108" s="654">
        <f t="shared" ref="H108:Z108" si="16">G108+1</f>
        <v>2019</v>
      </c>
      <c r="I108" s="654">
        <f t="shared" si="16"/>
        <v>2020</v>
      </c>
      <c r="J108" s="654">
        <f t="shared" si="16"/>
        <v>2021</v>
      </c>
      <c r="K108" s="654">
        <f t="shared" si="16"/>
        <v>2022</v>
      </c>
      <c r="L108" s="654">
        <f t="shared" si="16"/>
        <v>2023</v>
      </c>
      <c r="M108" s="654">
        <f t="shared" si="16"/>
        <v>2024</v>
      </c>
      <c r="N108" s="654">
        <f t="shared" si="16"/>
        <v>2025</v>
      </c>
      <c r="O108" s="654">
        <f t="shared" si="16"/>
        <v>2026</v>
      </c>
      <c r="P108" s="654">
        <f t="shared" si="16"/>
        <v>2027</v>
      </c>
      <c r="Q108" s="654">
        <f t="shared" si="16"/>
        <v>2028</v>
      </c>
      <c r="R108" s="654">
        <f t="shared" si="16"/>
        <v>2029</v>
      </c>
      <c r="S108" s="654">
        <f t="shared" si="16"/>
        <v>2030</v>
      </c>
      <c r="T108" s="654">
        <f t="shared" si="16"/>
        <v>2031</v>
      </c>
      <c r="U108" s="654">
        <f t="shared" si="16"/>
        <v>2032</v>
      </c>
      <c r="V108" s="654">
        <f t="shared" si="16"/>
        <v>2033</v>
      </c>
      <c r="W108" s="654">
        <f t="shared" si="16"/>
        <v>2034</v>
      </c>
      <c r="X108" s="654">
        <f t="shared" si="16"/>
        <v>2035</v>
      </c>
      <c r="Y108" s="654">
        <f t="shared" si="16"/>
        <v>2036</v>
      </c>
      <c r="Z108" s="654">
        <f t="shared" si="16"/>
        <v>2037</v>
      </c>
    </row>
    <row r="109" spans="3:26" ht="16.5" customHeight="1" x14ac:dyDescent="0.2">
      <c r="C109" s="512"/>
      <c r="D109" s="655" t="str">
        <f>Calculations!C110</f>
        <v>Capital Costs</v>
      </c>
      <c r="E109" s="656">
        <f>SUM(F109:Z109)</f>
        <v>0</v>
      </c>
      <c r="F109" s="658">
        <f>Calculations!E110/Calculations!E$9</f>
        <v>0</v>
      </c>
      <c r="G109" s="658">
        <f>Calculations!F110/Calculations!F$9</f>
        <v>0</v>
      </c>
      <c r="H109" s="658">
        <f>Calculations!G110/Calculations!G$9</f>
        <v>0</v>
      </c>
      <c r="I109" s="658">
        <f>Calculations!H110/Calculations!H$9</f>
        <v>0</v>
      </c>
      <c r="J109" s="658">
        <f>Calculations!I110/Calculations!I$9</f>
        <v>0</v>
      </c>
      <c r="K109" s="658">
        <f>Calculations!J110/Calculations!J$9</f>
        <v>0</v>
      </c>
      <c r="L109" s="658">
        <f>Calculations!K110/Calculations!K$9</f>
        <v>0</v>
      </c>
      <c r="M109" s="658">
        <f>Calculations!L110/Calculations!L$9</f>
        <v>0</v>
      </c>
      <c r="N109" s="658">
        <f>Calculations!M110/Calculations!M$9</f>
        <v>0</v>
      </c>
      <c r="O109" s="658">
        <f>Calculations!N110/Calculations!N$9</f>
        <v>0</v>
      </c>
      <c r="P109" s="658">
        <f>Calculations!O110/Calculations!O$9</f>
        <v>0</v>
      </c>
      <c r="Q109" s="658">
        <f>Calculations!P110/Calculations!P$9</f>
        <v>0</v>
      </c>
      <c r="R109" s="658">
        <f>Calculations!Q110/Calculations!Q$9</f>
        <v>0</v>
      </c>
      <c r="S109" s="658">
        <f>Calculations!R110/Calculations!R$9</f>
        <v>0</v>
      </c>
      <c r="T109" s="658">
        <f>Calculations!S110/Calculations!S$9</f>
        <v>0</v>
      </c>
      <c r="U109" s="658">
        <f>Calculations!T110/Calculations!T$9</f>
        <v>0</v>
      </c>
      <c r="V109" s="658">
        <f>Calculations!U110/Calculations!U$9</f>
        <v>0</v>
      </c>
      <c r="W109" s="658">
        <f>Calculations!V110/Calculations!V$9</f>
        <v>0</v>
      </c>
      <c r="X109" s="658">
        <f>Calculations!W110/Calculations!W$9</f>
        <v>0</v>
      </c>
      <c r="Y109" s="658">
        <f>Calculations!X110/Calculations!X$9</f>
        <v>0</v>
      </c>
      <c r="Z109" s="658">
        <f>Calculations!Y110/Calculations!Y$9</f>
        <v>0</v>
      </c>
    </row>
    <row r="110" spans="3:26" ht="16.5" customHeight="1" x14ac:dyDescent="0.2">
      <c r="C110" s="512"/>
      <c r="D110" s="655" t="str">
        <f>Calculations!C111</f>
        <v>Maintenance Costs</v>
      </c>
      <c r="E110" s="656">
        <f>SUM(F110:Z110)</f>
        <v>0</v>
      </c>
      <c r="F110" s="658">
        <f>Calculations!E111/Calculations!E$9</f>
        <v>0</v>
      </c>
      <c r="G110" s="658">
        <f>Calculations!F111/Calculations!F$9</f>
        <v>0</v>
      </c>
      <c r="H110" s="658">
        <f>Calculations!G111/Calculations!G$9</f>
        <v>0</v>
      </c>
      <c r="I110" s="658">
        <f>Calculations!H111/Calculations!H$9</f>
        <v>0</v>
      </c>
      <c r="J110" s="658">
        <f>Calculations!I111/Calculations!I$9</f>
        <v>0</v>
      </c>
      <c r="K110" s="658">
        <f>Calculations!J111/Calculations!J$9</f>
        <v>0</v>
      </c>
      <c r="L110" s="658">
        <f>Calculations!K111/Calculations!K$9</f>
        <v>0</v>
      </c>
      <c r="M110" s="658">
        <f>Calculations!L111/Calculations!L$9</f>
        <v>0</v>
      </c>
      <c r="N110" s="658">
        <f>Calculations!M111/Calculations!M$9</f>
        <v>0</v>
      </c>
      <c r="O110" s="658">
        <f>Calculations!N111/Calculations!N$9</f>
        <v>0</v>
      </c>
      <c r="P110" s="658">
        <f>Calculations!O111/Calculations!O$9</f>
        <v>0</v>
      </c>
      <c r="Q110" s="658">
        <f>Calculations!P111/Calculations!P$9</f>
        <v>0</v>
      </c>
      <c r="R110" s="658">
        <f>Calculations!Q111/Calculations!Q$9</f>
        <v>0</v>
      </c>
      <c r="S110" s="658">
        <f>Calculations!R111/Calculations!R$9</f>
        <v>0</v>
      </c>
      <c r="T110" s="658">
        <f>Calculations!S111/Calculations!S$9</f>
        <v>0</v>
      </c>
      <c r="U110" s="658">
        <f>Calculations!T111/Calculations!T$9</f>
        <v>0</v>
      </c>
      <c r="V110" s="658">
        <f>Calculations!U111/Calculations!U$9</f>
        <v>0</v>
      </c>
      <c r="W110" s="658">
        <f>Calculations!V111/Calculations!V$9</f>
        <v>0</v>
      </c>
      <c r="X110" s="658">
        <f>Calculations!W111/Calculations!W$9</f>
        <v>0</v>
      </c>
      <c r="Y110" s="658">
        <f>Calculations!X111/Calculations!X$9</f>
        <v>0</v>
      </c>
      <c r="Z110" s="658">
        <f>Calculations!Y111/Calculations!Y$9</f>
        <v>0</v>
      </c>
    </row>
    <row r="111" spans="3:26" ht="16.5" customHeight="1" x14ac:dyDescent="0.2">
      <c r="C111" s="512"/>
      <c r="D111" s="655" t="str">
        <f>Calculations!C112</f>
        <v>Negative Impact on Revenue (STPIS)</v>
      </c>
      <c r="E111" s="656">
        <f t="shared" ref="E111:Z111" si="17">SUM(E112:E115)</f>
        <v>0</v>
      </c>
      <c r="F111" s="656">
        <f t="shared" si="17"/>
        <v>0</v>
      </c>
      <c r="G111" s="656">
        <f t="shared" si="17"/>
        <v>0</v>
      </c>
      <c r="H111" s="656">
        <f t="shared" si="17"/>
        <v>0</v>
      </c>
      <c r="I111" s="656">
        <f t="shared" si="17"/>
        <v>0</v>
      </c>
      <c r="J111" s="656">
        <f t="shared" si="17"/>
        <v>0</v>
      </c>
      <c r="K111" s="656">
        <f t="shared" si="17"/>
        <v>0</v>
      </c>
      <c r="L111" s="656">
        <f t="shared" si="17"/>
        <v>0</v>
      </c>
      <c r="M111" s="656">
        <f t="shared" si="17"/>
        <v>0</v>
      </c>
      <c r="N111" s="656">
        <f t="shared" si="17"/>
        <v>0</v>
      </c>
      <c r="O111" s="656">
        <f t="shared" si="17"/>
        <v>0</v>
      </c>
      <c r="P111" s="656">
        <f t="shared" si="17"/>
        <v>0</v>
      </c>
      <c r="Q111" s="656">
        <f t="shared" si="17"/>
        <v>0</v>
      </c>
      <c r="R111" s="656">
        <f t="shared" si="17"/>
        <v>0</v>
      </c>
      <c r="S111" s="656">
        <f t="shared" si="17"/>
        <v>0</v>
      </c>
      <c r="T111" s="656">
        <f t="shared" si="17"/>
        <v>0</v>
      </c>
      <c r="U111" s="656">
        <f t="shared" si="17"/>
        <v>0</v>
      </c>
      <c r="V111" s="656">
        <f t="shared" si="17"/>
        <v>0</v>
      </c>
      <c r="W111" s="656">
        <f t="shared" si="17"/>
        <v>0</v>
      </c>
      <c r="X111" s="656">
        <f t="shared" si="17"/>
        <v>0</v>
      </c>
      <c r="Y111" s="656">
        <f t="shared" si="17"/>
        <v>0</v>
      </c>
      <c r="Z111" s="656">
        <f t="shared" si="17"/>
        <v>0</v>
      </c>
    </row>
    <row r="112" spans="3:26" ht="16.5" customHeight="1" x14ac:dyDescent="0.2">
      <c r="C112" s="512"/>
      <c r="D112" s="659" t="str">
        <f>Calculations!C113</f>
        <v>SAIFI sustained</v>
      </c>
      <c r="E112" s="656">
        <f t="shared" ref="E112:E127" si="18">SUM(F112:Z112)</f>
        <v>0</v>
      </c>
      <c r="F112" s="658">
        <f>Calculations!E113/Calculations!E$9</f>
        <v>0</v>
      </c>
      <c r="G112" s="658">
        <f>Calculations!F113/Calculations!F$9</f>
        <v>0</v>
      </c>
      <c r="H112" s="658">
        <f>Calculations!G113/Calculations!G$9</f>
        <v>0</v>
      </c>
      <c r="I112" s="658">
        <f>Calculations!H113/Calculations!H$9</f>
        <v>0</v>
      </c>
      <c r="J112" s="658">
        <f>Calculations!I113/Calculations!I$9</f>
        <v>0</v>
      </c>
      <c r="K112" s="658">
        <f>Calculations!J113/Calculations!J$9</f>
        <v>0</v>
      </c>
      <c r="L112" s="658">
        <f>Calculations!K113/Calculations!K$9</f>
        <v>0</v>
      </c>
      <c r="M112" s="658">
        <f>Calculations!L113/Calculations!L$9</f>
        <v>0</v>
      </c>
      <c r="N112" s="658">
        <f>Calculations!M113/Calculations!M$9</f>
        <v>0</v>
      </c>
      <c r="O112" s="658">
        <f>Calculations!N113/Calculations!N$9</f>
        <v>0</v>
      </c>
      <c r="P112" s="658">
        <f>Calculations!O113/Calculations!O$9</f>
        <v>0</v>
      </c>
      <c r="Q112" s="658">
        <f>Calculations!P113/Calculations!P$9</f>
        <v>0</v>
      </c>
      <c r="R112" s="658">
        <f>Calculations!Q113/Calculations!Q$9</f>
        <v>0</v>
      </c>
      <c r="S112" s="658">
        <f>Calculations!R113/Calculations!R$9</f>
        <v>0</v>
      </c>
      <c r="T112" s="658">
        <f>Calculations!S113/Calculations!S$9</f>
        <v>0</v>
      </c>
      <c r="U112" s="658">
        <f>Calculations!T113/Calculations!T$9</f>
        <v>0</v>
      </c>
      <c r="V112" s="658">
        <f>Calculations!U113/Calculations!U$9</f>
        <v>0</v>
      </c>
      <c r="W112" s="658">
        <f>Calculations!V113/Calculations!V$9</f>
        <v>0</v>
      </c>
      <c r="X112" s="658">
        <f>Calculations!W113/Calculations!W$9</f>
        <v>0</v>
      </c>
      <c r="Y112" s="658">
        <f>Calculations!X113/Calculations!X$9</f>
        <v>0</v>
      </c>
      <c r="Z112" s="658">
        <f>Calculations!Y113/Calculations!Y$9</f>
        <v>0</v>
      </c>
    </row>
    <row r="113" spans="3:26" ht="16.5" customHeight="1" x14ac:dyDescent="0.2">
      <c r="C113" s="512"/>
      <c r="D113" s="659" t="str">
        <f>Calculations!C114</f>
        <v>SAIDI accidental</v>
      </c>
      <c r="E113" s="656">
        <f t="shared" si="18"/>
        <v>0</v>
      </c>
      <c r="F113" s="658">
        <f>Calculations!E114/Calculations!E$9</f>
        <v>0</v>
      </c>
      <c r="G113" s="658">
        <f>Calculations!F114/Calculations!F$9</f>
        <v>0</v>
      </c>
      <c r="H113" s="658">
        <f>Calculations!G114/Calculations!G$9</f>
        <v>0</v>
      </c>
      <c r="I113" s="658">
        <f>Calculations!H114/Calculations!H$9</f>
        <v>0</v>
      </c>
      <c r="J113" s="658">
        <f>Calculations!I114/Calculations!I$9</f>
        <v>0</v>
      </c>
      <c r="K113" s="658">
        <f>Calculations!J114/Calculations!J$9</f>
        <v>0</v>
      </c>
      <c r="L113" s="658">
        <f>Calculations!K114/Calculations!K$9</f>
        <v>0</v>
      </c>
      <c r="M113" s="658">
        <f>Calculations!L114/Calculations!L$9</f>
        <v>0</v>
      </c>
      <c r="N113" s="658">
        <f>Calculations!M114/Calculations!M$9</f>
        <v>0</v>
      </c>
      <c r="O113" s="658">
        <f>Calculations!N114/Calculations!N$9</f>
        <v>0</v>
      </c>
      <c r="P113" s="658">
        <f>Calculations!O114/Calculations!O$9</f>
        <v>0</v>
      </c>
      <c r="Q113" s="658">
        <f>Calculations!P114/Calculations!P$9</f>
        <v>0</v>
      </c>
      <c r="R113" s="658">
        <f>Calculations!Q114/Calculations!Q$9</f>
        <v>0</v>
      </c>
      <c r="S113" s="658">
        <f>Calculations!R114/Calculations!R$9</f>
        <v>0</v>
      </c>
      <c r="T113" s="658">
        <f>Calculations!S114/Calculations!S$9</f>
        <v>0</v>
      </c>
      <c r="U113" s="658">
        <f>Calculations!T114/Calculations!T$9</f>
        <v>0</v>
      </c>
      <c r="V113" s="658">
        <f>Calculations!U114/Calculations!U$9</f>
        <v>0</v>
      </c>
      <c r="W113" s="658">
        <f>Calculations!V114/Calculations!V$9</f>
        <v>0</v>
      </c>
      <c r="X113" s="658">
        <f>Calculations!W114/Calculations!W$9</f>
        <v>0</v>
      </c>
      <c r="Y113" s="658">
        <f>Calculations!X114/Calculations!X$9</f>
        <v>0</v>
      </c>
      <c r="Z113" s="658">
        <f>Calculations!Y114/Calculations!Y$9</f>
        <v>0</v>
      </c>
    </row>
    <row r="114" spans="3:26" ht="16.5" customHeight="1" x14ac:dyDescent="0.2">
      <c r="C114" s="512"/>
      <c r="D114" s="659" t="str">
        <f>Calculations!C115</f>
        <v>MAIFI momentary</v>
      </c>
      <c r="E114" s="656">
        <f t="shared" si="18"/>
        <v>0</v>
      </c>
      <c r="F114" s="658">
        <f>Calculations!E115/Calculations!E$9</f>
        <v>0</v>
      </c>
      <c r="G114" s="658">
        <f>Calculations!F115/Calculations!F$9</f>
        <v>0</v>
      </c>
      <c r="H114" s="658">
        <f>Calculations!G115/Calculations!G$9</f>
        <v>0</v>
      </c>
      <c r="I114" s="658">
        <f>Calculations!H115/Calculations!H$9</f>
        <v>0</v>
      </c>
      <c r="J114" s="658">
        <f>Calculations!I115/Calculations!I$9</f>
        <v>0</v>
      </c>
      <c r="K114" s="658">
        <f>Calculations!J115/Calculations!J$9</f>
        <v>0</v>
      </c>
      <c r="L114" s="658">
        <f>Calculations!K115/Calculations!K$9</f>
        <v>0</v>
      </c>
      <c r="M114" s="658">
        <f>Calculations!L115/Calculations!L$9</f>
        <v>0</v>
      </c>
      <c r="N114" s="658">
        <f>Calculations!M115/Calculations!M$9</f>
        <v>0</v>
      </c>
      <c r="O114" s="658">
        <f>Calculations!N115/Calculations!N$9</f>
        <v>0</v>
      </c>
      <c r="P114" s="658">
        <f>Calculations!O115/Calculations!O$9</f>
        <v>0</v>
      </c>
      <c r="Q114" s="658">
        <f>Calculations!P115/Calculations!P$9</f>
        <v>0</v>
      </c>
      <c r="R114" s="658">
        <f>Calculations!Q115/Calculations!Q$9</f>
        <v>0</v>
      </c>
      <c r="S114" s="658">
        <f>Calculations!R115/Calculations!R$9</f>
        <v>0</v>
      </c>
      <c r="T114" s="658">
        <f>Calculations!S115/Calculations!S$9</f>
        <v>0</v>
      </c>
      <c r="U114" s="658">
        <f>Calculations!T115/Calculations!T$9</f>
        <v>0</v>
      </c>
      <c r="V114" s="658">
        <f>Calculations!U115/Calculations!U$9</f>
        <v>0</v>
      </c>
      <c r="W114" s="658">
        <f>Calculations!V115/Calculations!V$9</f>
        <v>0</v>
      </c>
      <c r="X114" s="658">
        <f>Calculations!W115/Calculations!W$9</f>
        <v>0</v>
      </c>
      <c r="Y114" s="658">
        <f>Calculations!X115/Calculations!X$9</f>
        <v>0</v>
      </c>
      <c r="Z114" s="658">
        <f>Calculations!Y115/Calculations!Y$9</f>
        <v>0</v>
      </c>
    </row>
    <row r="115" spans="3:26" ht="16.5" customHeight="1" x14ac:dyDescent="0.2">
      <c r="C115" s="512"/>
      <c r="D115" s="659" t="str">
        <f>Calculations!C116</f>
        <v>Call centre response</v>
      </c>
      <c r="E115" s="656">
        <f t="shared" si="18"/>
        <v>0</v>
      </c>
      <c r="F115" s="658">
        <f>Calculations!E116/Calculations!E$9</f>
        <v>0</v>
      </c>
      <c r="G115" s="658">
        <f>Calculations!F116/Calculations!F$9</f>
        <v>0</v>
      </c>
      <c r="H115" s="658">
        <f>Calculations!G116/Calculations!G$9</f>
        <v>0</v>
      </c>
      <c r="I115" s="658">
        <f>Calculations!H116/Calculations!H$9</f>
        <v>0</v>
      </c>
      <c r="J115" s="658">
        <f>Calculations!I116/Calculations!I$9</f>
        <v>0</v>
      </c>
      <c r="K115" s="658">
        <f>Calculations!J116/Calculations!J$9</f>
        <v>0</v>
      </c>
      <c r="L115" s="658">
        <f>Calculations!K116/Calculations!K$9</f>
        <v>0</v>
      </c>
      <c r="M115" s="658">
        <f>Calculations!L116/Calculations!L$9</f>
        <v>0</v>
      </c>
      <c r="N115" s="658">
        <f>Calculations!M116/Calculations!M$9</f>
        <v>0</v>
      </c>
      <c r="O115" s="658">
        <f>Calculations!N116/Calculations!N$9</f>
        <v>0</v>
      </c>
      <c r="P115" s="658">
        <f>Calculations!O116/Calculations!O$9</f>
        <v>0</v>
      </c>
      <c r="Q115" s="658">
        <f>Calculations!P116/Calculations!P$9</f>
        <v>0</v>
      </c>
      <c r="R115" s="658">
        <f>Calculations!Q116/Calculations!Q$9</f>
        <v>0</v>
      </c>
      <c r="S115" s="658">
        <f>Calculations!R116/Calculations!R$9</f>
        <v>0</v>
      </c>
      <c r="T115" s="658">
        <f>Calculations!S116/Calculations!S$9</f>
        <v>0</v>
      </c>
      <c r="U115" s="658">
        <f>Calculations!T116/Calculations!T$9</f>
        <v>0</v>
      </c>
      <c r="V115" s="658">
        <f>Calculations!U116/Calculations!U$9</f>
        <v>0</v>
      </c>
      <c r="W115" s="658">
        <f>Calculations!V116/Calculations!V$9</f>
        <v>0</v>
      </c>
      <c r="X115" s="658">
        <f>Calculations!W116/Calculations!W$9</f>
        <v>0</v>
      </c>
      <c r="Y115" s="658">
        <f>Calculations!X116/Calculations!X$9</f>
        <v>0</v>
      </c>
      <c r="Z115" s="658">
        <f>Calculations!Y116/Calculations!Y$9</f>
        <v>0</v>
      </c>
    </row>
    <row r="116" spans="3:26" ht="16.5" customHeight="1" x14ac:dyDescent="0.2">
      <c r="C116" s="512"/>
      <c r="D116" s="655" t="str">
        <f>Calculations!C117</f>
        <v>Network Outage Costs</v>
      </c>
      <c r="E116" s="656">
        <f t="shared" si="18"/>
        <v>0</v>
      </c>
      <c r="F116" s="658">
        <f>Calculations!E117/Calculations!E$9</f>
        <v>0</v>
      </c>
      <c r="G116" s="658">
        <f>Calculations!F117/Calculations!F$9</f>
        <v>0</v>
      </c>
      <c r="H116" s="658">
        <f>Calculations!G117/Calculations!G$9</f>
        <v>0</v>
      </c>
      <c r="I116" s="658">
        <f>Calculations!H117/Calculations!H$9</f>
        <v>0</v>
      </c>
      <c r="J116" s="658">
        <f>Calculations!I117/Calculations!I$9</f>
        <v>0</v>
      </c>
      <c r="K116" s="658">
        <f>Calculations!J117/Calculations!J$9</f>
        <v>0</v>
      </c>
      <c r="L116" s="658">
        <f>Calculations!K117/Calculations!K$9</f>
        <v>0</v>
      </c>
      <c r="M116" s="658">
        <f>Calculations!L117/Calculations!L$9</f>
        <v>0</v>
      </c>
      <c r="N116" s="658">
        <f>Calculations!M117/Calculations!M$9</f>
        <v>0</v>
      </c>
      <c r="O116" s="658">
        <f>Calculations!N117/Calculations!N$9</f>
        <v>0</v>
      </c>
      <c r="P116" s="658">
        <f>Calculations!O117/Calculations!O$9</f>
        <v>0</v>
      </c>
      <c r="Q116" s="658">
        <f>Calculations!P117/Calculations!P$9</f>
        <v>0</v>
      </c>
      <c r="R116" s="658">
        <f>Calculations!Q117/Calculations!Q$9</f>
        <v>0</v>
      </c>
      <c r="S116" s="658">
        <f>Calculations!R117/Calculations!R$9</f>
        <v>0</v>
      </c>
      <c r="T116" s="658">
        <f>Calculations!S117/Calculations!S$9</f>
        <v>0</v>
      </c>
      <c r="U116" s="658">
        <f>Calculations!T117/Calculations!T$9</f>
        <v>0</v>
      </c>
      <c r="V116" s="658">
        <f>Calculations!U117/Calculations!U$9</f>
        <v>0</v>
      </c>
      <c r="W116" s="658">
        <f>Calculations!V117/Calculations!V$9</f>
        <v>0</v>
      </c>
      <c r="X116" s="658">
        <f>Calculations!W117/Calculations!W$9</f>
        <v>0</v>
      </c>
      <c r="Y116" s="658">
        <f>Calculations!X117/Calculations!X$9</f>
        <v>0</v>
      </c>
      <c r="Z116" s="658">
        <f>Calculations!Y117/Calculations!Y$9</f>
        <v>0</v>
      </c>
    </row>
    <row r="117" spans="3:26" ht="16.5" customHeight="1" x14ac:dyDescent="0.2">
      <c r="C117" s="512"/>
      <c r="D117" s="655" t="str">
        <f>Calculations!C118</f>
        <v>Loss of F Factor Benefit</v>
      </c>
      <c r="E117" s="656">
        <f t="shared" si="18"/>
        <v>0</v>
      </c>
      <c r="F117" s="658">
        <f>Calculations!E118/Calculations!E$9</f>
        <v>0</v>
      </c>
      <c r="G117" s="658">
        <f>Calculations!F118/Calculations!F$9</f>
        <v>0</v>
      </c>
      <c r="H117" s="658">
        <f>Calculations!G118/Calculations!G$9</f>
        <v>0</v>
      </c>
      <c r="I117" s="658">
        <f>Calculations!H118/Calculations!H$9</f>
        <v>0</v>
      </c>
      <c r="J117" s="658">
        <f>Calculations!I118/Calculations!I$9</f>
        <v>0</v>
      </c>
      <c r="K117" s="658">
        <f>Calculations!J118/Calculations!J$9</f>
        <v>0</v>
      </c>
      <c r="L117" s="658">
        <f>Calculations!K118/Calculations!K$9</f>
        <v>0</v>
      </c>
      <c r="M117" s="658">
        <f>Calculations!L118/Calculations!L$9</f>
        <v>0</v>
      </c>
      <c r="N117" s="658">
        <f>Calculations!M118/Calculations!M$9</f>
        <v>0</v>
      </c>
      <c r="O117" s="658">
        <f>Calculations!N118/Calculations!N$9</f>
        <v>0</v>
      </c>
      <c r="P117" s="658">
        <f>Calculations!O118/Calculations!O$9</f>
        <v>0</v>
      </c>
      <c r="Q117" s="658">
        <f>Calculations!P118/Calculations!P$9</f>
        <v>0</v>
      </c>
      <c r="R117" s="658">
        <f>Calculations!Q118/Calculations!Q$9</f>
        <v>0</v>
      </c>
      <c r="S117" s="658">
        <f>Calculations!R118/Calculations!R$9</f>
        <v>0</v>
      </c>
      <c r="T117" s="658">
        <f>Calculations!S118/Calculations!S$9</f>
        <v>0</v>
      </c>
      <c r="U117" s="658">
        <f>Calculations!T118/Calculations!T$9</f>
        <v>0</v>
      </c>
      <c r="V117" s="658">
        <f>Calculations!U118/Calculations!U$9</f>
        <v>0</v>
      </c>
      <c r="W117" s="658">
        <f>Calculations!V118/Calculations!V$9</f>
        <v>0</v>
      </c>
      <c r="X117" s="658">
        <f>Calculations!W118/Calculations!W$9</f>
        <v>0</v>
      </c>
      <c r="Y117" s="658">
        <f>Calculations!X118/Calculations!X$9</f>
        <v>0</v>
      </c>
      <c r="Z117" s="658">
        <f>Calculations!Y118/Calculations!Y$9</f>
        <v>0</v>
      </c>
    </row>
    <row r="118" spans="3:26" ht="16.5" customHeight="1" x14ac:dyDescent="0.2">
      <c r="C118" s="512"/>
      <c r="D118" s="655" t="str">
        <f>Calculations!C119</f>
        <v>Cost 1</v>
      </c>
      <c r="E118" s="656">
        <f t="shared" si="18"/>
        <v>0</v>
      </c>
      <c r="F118" s="658">
        <f>Calculations!E119/Calculations!E$9</f>
        <v>0</v>
      </c>
      <c r="G118" s="658">
        <f>Calculations!F119/Calculations!F$9</f>
        <v>0</v>
      </c>
      <c r="H118" s="658">
        <f>Calculations!G119/Calculations!G$9</f>
        <v>0</v>
      </c>
      <c r="I118" s="658">
        <f>Calculations!H119/Calculations!H$9</f>
        <v>0</v>
      </c>
      <c r="J118" s="658">
        <f>Calculations!I119/Calculations!I$9</f>
        <v>0</v>
      </c>
      <c r="K118" s="658">
        <f>Calculations!J119/Calculations!J$9</f>
        <v>0</v>
      </c>
      <c r="L118" s="658">
        <f>Calculations!K119/Calculations!K$9</f>
        <v>0</v>
      </c>
      <c r="M118" s="658">
        <f>Calculations!L119/Calculations!L$9</f>
        <v>0</v>
      </c>
      <c r="N118" s="658">
        <f>Calculations!M119/Calculations!M$9</f>
        <v>0</v>
      </c>
      <c r="O118" s="658">
        <f>Calculations!N119/Calculations!N$9</f>
        <v>0</v>
      </c>
      <c r="P118" s="658">
        <f>Calculations!O119/Calculations!O$9</f>
        <v>0</v>
      </c>
      <c r="Q118" s="658">
        <f>Calculations!P119/Calculations!P$9</f>
        <v>0</v>
      </c>
      <c r="R118" s="658">
        <f>Calculations!Q119/Calculations!Q$9</f>
        <v>0</v>
      </c>
      <c r="S118" s="658">
        <f>Calculations!R119/Calculations!R$9</f>
        <v>0</v>
      </c>
      <c r="T118" s="658">
        <f>Calculations!S119/Calculations!S$9</f>
        <v>0</v>
      </c>
      <c r="U118" s="658">
        <f>Calculations!T119/Calculations!T$9</f>
        <v>0</v>
      </c>
      <c r="V118" s="658">
        <f>Calculations!U119/Calculations!U$9</f>
        <v>0</v>
      </c>
      <c r="W118" s="658">
        <f>Calculations!V119/Calculations!V$9</f>
        <v>0</v>
      </c>
      <c r="X118" s="658">
        <f>Calculations!W119/Calculations!W$9</f>
        <v>0</v>
      </c>
      <c r="Y118" s="658">
        <f>Calculations!X119/Calculations!X$9</f>
        <v>0</v>
      </c>
      <c r="Z118" s="658">
        <f>Calculations!Y119/Calculations!Y$9</f>
        <v>0</v>
      </c>
    </row>
    <row r="119" spans="3:26" ht="16.5" customHeight="1" x14ac:dyDescent="0.2">
      <c r="C119" s="512"/>
      <c r="D119" s="655" t="str">
        <f>Calculations!C120</f>
        <v>Cost 2</v>
      </c>
      <c r="E119" s="656">
        <f t="shared" si="18"/>
        <v>0</v>
      </c>
      <c r="F119" s="658">
        <f>Calculations!E120/Calculations!E$9</f>
        <v>0</v>
      </c>
      <c r="G119" s="658">
        <f>Calculations!F120/Calculations!F$9</f>
        <v>0</v>
      </c>
      <c r="H119" s="658">
        <f>Calculations!G120/Calculations!G$9</f>
        <v>0</v>
      </c>
      <c r="I119" s="658">
        <f>Calculations!H120/Calculations!H$9</f>
        <v>0</v>
      </c>
      <c r="J119" s="658">
        <f>Calculations!I120/Calculations!I$9</f>
        <v>0</v>
      </c>
      <c r="K119" s="658">
        <f>Calculations!J120/Calculations!J$9</f>
        <v>0</v>
      </c>
      <c r="L119" s="658">
        <f>Calculations!K120/Calculations!K$9</f>
        <v>0</v>
      </c>
      <c r="M119" s="658">
        <f>Calculations!L120/Calculations!L$9</f>
        <v>0</v>
      </c>
      <c r="N119" s="658">
        <f>Calculations!M120/Calculations!M$9</f>
        <v>0</v>
      </c>
      <c r="O119" s="658">
        <f>Calculations!N120/Calculations!N$9</f>
        <v>0</v>
      </c>
      <c r="P119" s="658">
        <f>Calculations!O120/Calculations!O$9</f>
        <v>0</v>
      </c>
      <c r="Q119" s="658">
        <f>Calculations!P120/Calculations!P$9</f>
        <v>0</v>
      </c>
      <c r="R119" s="658">
        <f>Calculations!Q120/Calculations!Q$9</f>
        <v>0</v>
      </c>
      <c r="S119" s="658">
        <f>Calculations!R120/Calculations!R$9</f>
        <v>0</v>
      </c>
      <c r="T119" s="658">
        <f>Calculations!S120/Calculations!S$9</f>
        <v>0</v>
      </c>
      <c r="U119" s="658">
        <f>Calculations!T120/Calculations!T$9</f>
        <v>0</v>
      </c>
      <c r="V119" s="658">
        <f>Calculations!U120/Calculations!U$9</f>
        <v>0</v>
      </c>
      <c r="W119" s="658">
        <f>Calculations!V120/Calculations!V$9</f>
        <v>0</v>
      </c>
      <c r="X119" s="658">
        <f>Calculations!W120/Calculations!W$9</f>
        <v>0</v>
      </c>
      <c r="Y119" s="658">
        <f>Calculations!X120/Calculations!X$9</f>
        <v>0</v>
      </c>
      <c r="Z119" s="658">
        <f>Calculations!Y120/Calculations!Y$9</f>
        <v>0</v>
      </c>
    </row>
    <row r="120" spans="3:26" ht="16.5" customHeight="1" x14ac:dyDescent="0.2">
      <c r="C120" s="512"/>
      <c r="D120" s="655" t="str">
        <f>Calculations!C121</f>
        <v>Cost 3</v>
      </c>
      <c r="E120" s="656">
        <f t="shared" si="18"/>
        <v>0</v>
      </c>
      <c r="F120" s="658">
        <f>Calculations!E121/Calculations!E$9</f>
        <v>0</v>
      </c>
      <c r="G120" s="658">
        <f>Calculations!F121/Calculations!F$9</f>
        <v>0</v>
      </c>
      <c r="H120" s="658">
        <f>Calculations!G121/Calculations!G$9</f>
        <v>0</v>
      </c>
      <c r="I120" s="658">
        <f>Calculations!H121/Calculations!H$9</f>
        <v>0</v>
      </c>
      <c r="J120" s="658">
        <f>Calculations!I121/Calculations!I$9</f>
        <v>0</v>
      </c>
      <c r="K120" s="658">
        <f>Calculations!J121/Calculations!J$9</f>
        <v>0</v>
      </c>
      <c r="L120" s="658">
        <f>Calculations!K121/Calculations!K$9</f>
        <v>0</v>
      </c>
      <c r="M120" s="658">
        <f>Calculations!L121/Calculations!L$9</f>
        <v>0</v>
      </c>
      <c r="N120" s="658">
        <f>Calculations!M121/Calculations!M$9</f>
        <v>0</v>
      </c>
      <c r="O120" s="658">
        <f>Calculations!N121/Calculations!N$9</f>
        <v>0</v>
      </c>
      <c r="P120" s="658">
        <f>Calculations!O121/Calculations!O$9</f>
        <v>0</v>
      </c>
      <c r="Q120" s="658">
        <f>Calculations!P121/Calculations!P$9</f>
        <v>0</v>
      </c>
      <c r="R120" s="658">
        <f>Calculations!Q121/Calculations!Q$9</f>
        <v>0</v>
      </c>
      <c r="S120" s="658">
        <f>Calculations!R121/Calculations!R$9</f>
        <v>0</v>
      </c>
      <c r="T120" s="658">
        <f>Calculations!S121/Calculations!S$9</f>
        <v>0</v>
      </c>
      <c r="U120" s="658">
        <f>Calculations!T121/Calculations!T$9</f>
        <v>0</v>
      </c>
      <c r="V120" s="658">
        <f>Calculations!U121/Calculations!U$9</f>
        <v>0</v>
      </c>
      <c r="W120" s="658">
        <f>Calculations!V121/Calculations!V$9</f>
        <v>0</v>
      </c>
      <c r="X120" s="658">
        <f>Calculations!W121/Calculations!W$9</f>
        <v>0</v>
      </c>
      <c r="Y120" s="658">
        <f>Calculations!X121/Calculations!X$9</f>
        <v>0</v>
      </c>
      <c r="Z120" s="658">
        <f>Calculations!Y121/Calculations!Y$9</f>
        <v>0</v>
      </c>
    </row>
    <row r="121" spans="3:26" ht="16.5" customHeight="1" x14ac:dyDescent="0.2">
      <c r="C121" s="512"/>
      <c r="D121" s="655" t="str">
        <f>Calculations!C122</f>
        <v>Cost 4</v>
      </c>
      <c r="E121" s="656">
        <f t="shared" si="18"/>
        <v>0</v>
      </c>
      <c r="F121" s="658">
        <f>Calculations!E122/Calculations!E$9</f>
        <v>0</v>
      </c>
      <c r="G121" s="658">
        <f>Calculations!F122/Calculations!F$9</f>
        <v>0</v>
      </c>
      <c r="H121" s="658">
        <f>Calculations!G122/Calculations!G$9</f>
        <v>0</v>
      </c>
      <c r="I121" s="658">
        <f>Calculations!H122/Calculations!H$9</f>
        <v>0</v>
      </c>
      <c r="J121" s="658">
        <f>Calculations!I122/Calculations!I$9</f>
        <v>0</v>
      </c>
      <c r="K121" s="658">
        <f>Calculations!J122/Calculations!J$9</f>
        <v>0</v>
      </c>
      <c r="L121" s="658">
        <f>Calculations!K122/Calculations!K$9</f>
        <v>0</v>
      </c>
      <c r="M121" s="658">
        <f>Calculations!L122/Calculations!L$9</f>
        <v>0</v>
      </c>
      <c r="N121" s="658">
        <f>Calculations!M122/Calculations!M$9</f>
        <v>0</v>
      </c>
      <c r="O121" s="658">
        <f>Calculations!N122/Calculations!N$9</f>
        <v>0</v>
      </c>
      <c r="P121" s="658">
        <f>Calculations!O122/Calculations!O$9</f>
        <v>0</v>
      </c>
      <c r="Q121" s="658">
        <f>Calculations!P122/Calculations!P$9</f>
        <v>0</v>
      </c>
      <c r="R121" s="658">
        <f>Calculations!Q122/Calculations!Q$9</f>
        <v>0</v>
      </c>
      <c r="S121" s="658">
        <f>Calculations!R122/Calculations!R$9</f>
        <v>0</v>
      </c>
      <c r="T121" s="658">
        <f>Calculations!S122/Calculations!S$9</f>
        <v>0</v>
      </c>
      <c r="U121" s="658">
        <f>Calculations!T122/Calculations!T$9</f>
        <v>0</v>
      </c>
      <c r="V121" s="658">
        <f>Calculations!U122/Calculations!U$9</f>
        <v>0</v>
      </c>
      <c r="W121" s="658">
        <f>Calculations!V122/Calculations!V$9</f>
        <v>0</v>
      </c>
      <c r="X121" s="658">
        <f>Calculations!W122/Calculations!W$9</f>
        <v>0</v>
      </c>
      <c r="Y121" s="658">
        <f>Calculations!X122/Calculations!X$9</f>
        <v>0</v>
      </c>
      <c r="Z121" s="658">
        <f>Calculations!Y122/Calculations!Y$9</f>
        <v>0</v>
      </c>
    </row>
    <row r="122" spans="3:26" ht="16.5" customHeight="1" x14ac:dyDescent="0.2">
      <c r="C122" s="512"/>
      <c r="D122" s="655" t="str">
        <f>Calculations!C123</f>
        <v>Cost 5</v>
      </c>
      <c r="E122" s="656">
        <f t="shared" si="18"/>
        <v>0</v>
      </c>
      <c r="F122" s="658">
        <f>Calculations!E123/Calculations!E$9</f>
        <v>0</v>
      </c>
      <c r="G122" s="658">
        <f>Calculations!F123/Calculations!F$9</f>
        <v>0</v>
      </c>
      <c r="H122" s="658">
        <f>Calculations!G123/Calculations!G$9</f>
        <v>0</v>
      </c>
      <c r="I122" s="658">
        <f>Calculations!H123/Calculations!H$9</f>
        <v>0</v>
      </c>
      <c r="J122" s="658">
        <f>Calculations!I123/Calculations!I$9</f>
        <v>0</v>
      </c>
      <c r="K122" s="658">
        <f>Calculations!J123/Calculations!J$9</f>
        <v>0</v>
      </c>
      <c r="L122" s="658">
        <f>Calculations!K123/Calculations!K$9</f>
        <v>0</v>
      </c>
      <c r="M122" s="658">
        <f>Calculations!L123/Calculations!L$9</f>
        <v>0</v>
      </c>
      <c r="N122" s="658">
        <f>Calculations!M123/Calculations!M$9</f>
        <v>0</v>
      </c>
      <c r="O122" s="658">
        <f>Calculations!N123/Calculations!N$9</f>
        <v>0</v>
      </c>
      <c r="P122" s="658">
        <f>Calculations!O123/Calculations!O$9</f>
        <v>0</v>
      </c>
      <c r="Q122" s="658">
        <f>Calculations!P123/Calculations!P$9</f>
        <v>0</v>
      </c>
      <c r="R122" s="658">
        <f>Calculations!Q123/Calculations!Q$9</f>
        <v>0</v>
      </c>
      <c r="S122" s="658">
        <f>Calculations!R123/Calculations!R$9</f>
        <v>0</v>
      </c>
      <c r="T122" s="658">
        <f>Calculations!S123/Calculations!S$9</f>
        <v>0</v>
      </c>
      <c r="U122" s="658">
        <f>Calculations!T123/Calculations!T$9</f>
        <v>0</v>
      </c>
      <c r="V122" s="658">
        <f>Calculations!U123/Calculations!U$9</f>
        <v>0</v>
      </c>
      <c r="W122" s="658">
        <f>Calculations!V123/Calculations!V$9</f>
        <v>0</v>
      </c>
      <c r="X122" s="658">
        <f>Calculations!W123/Calculations!W$9</f>
        <v>0</v>
      </c>
      <c r="Y122" s="658">
        <f>Calculations!X123/Calculations!X$9</f>
        <v>0</v>
      </c>
      <c r="Z122" s="658">
        <f>Calculations!Y123/Calculations!Y$9</f>
        <v>0</v>
      </c>
    </row>
    <row r="123" spans="3:26" ht="16.5" customHeight="1" x14ac:dyDescent="0.2">
      <c r="C123" s="512"/>
      <c r="D123" s="655" t="str">
        <f>Calculations!C124</f>
        <v>Risk 1</v>
      </c>
      <c r="E123" s="656">
        <f t="shared" si="18"/>
        <v>0</v>
      </c>
      <c r="F123" s="658">
        <f>Calculations!E124/Calculations!E$9</f>
        <v>0</v>
      </c>
      <c r="G123" s="658">
        <f>Calculations!F124/Calculations!F$9</f>
        <v>0</v>
      </c>
      <c r="H123" s="658">
        <f>Calculations!G124/Calculations!G$9</f>
        <v>0</v>
      </c>
      <c r="I123" s="658">
        <f>Calculations!H124/Calculations!H$9</f>
        <v>0</v>
      </c>
      <c r="J123" s="658">
        <f>Calculations!I124/Calculations!I$9</f>
        <v>0</v>
      </c>
      <c r="K123" s="658">
        <f>Calculations!J124/Calculations!J$9</f>
        <v>0</v>
      </c>
      <c r="L123" s="658">
        <f>Calculations!K124/Calculations!K$9</f>
        <v>0</v>
      </c>
      <c r="M123" s="658">
        <f>Calculations!L124/Calculations!L$9</f>
        <v>0</v>
      </c>
      <c r="N123" s="658">
        <f>Calculations!M124/Calculations!M$9</f>
        <v>0</v>
      </c>
      <c r="O123" s="658">
        <f>Calculations!N124/Calculations!N$9</f>
        <v>0</v>
      </c>
      <c r="P123" s="658">
        <f>Calculations!O124/Calculations!O$9</f>
        <v>0</v>
      </c>
      <c r="Q123" s="658">
        <f>Calculations!P124/Calculations!P$9</f>
        <v>0</v>
      </c>
      <c r="R123" s="658">
        <f>Calculations!Q124/Calculations!Q$9</f>
        <v>0</v>
      </c>
      <c r="S123" s="658">
        <f>Calculations!R124/Calculations!R$9</f>
        <v>0</v>
      </c>
      <c r="T123" s="658">
        <f>Calculations!S124/Calculations!S$9</f>
        <v>0</v>
      </c>
      <c r="U123" s="658">
        <f>Calculations!T124/Calculations!T$9</f>
        <v>0</v>
      </c>
      <c r="V123" s="658">
        <f>Calculations!U124/Calculations!U$9</f>
        <v>0</v>
      </c>
      <c r="W123" s="658">
        <f>Calculations!V124/Calculations!V$9</f>
        <v>0</v>
      </c>
      <c r="X123" s="658">
        <f>Calculations!W124/Calculations!W$9</f>
        <v>0</v>
      </c>
      <c r="Y123" s="658">
        <f>Calculations!X124/Calculations!X$9</f>
        <v>0</v>
      </c>
      <c r="Z123" s="658">
        <f>Calculations!Y124/Calculations!Y$9</f>
        <v>0</v>
      </c>
    </row>
    <row r="124" spans="3:26" ht="16.5" customHeight="1" x14ac:dyDescent="0.2">
      <c r="C124" s="512"/>
      <c r="D124" s="655" t="str">
        <f>Calculations!C125</f>
        <v>Risk 2</v>
      </c>
      <c r="E124" s="656">
        <f t="shared" si="18"/>
        <v>0</v>
      </c>
      <c r="F124" s="658">
        <f>Calculations!E125/Calculations!E$9</f>
        <v>0</v>
      </c>
      <c r="G124" s="658">
        <f>Calculations!F125/Calculations!F$9</f>
        <v>0</v>
      </c>
      <c r="H124" s="658">
        <f>Calculations!G125/Calculations!G$9</f>
        <v>0</v>
      </c>
      <c r="I124" s="658">
        <f>Calculations!H125/Calculations!H$9</f>
        <v>0</v>
      </c>
      <c r="J124" s="658">
        <f>Calculations!I125/Calculations!I$9</f>
        <v>0</v>
      </c>
      <c r="K124" s="658">
        <f>Calculations!J125/Calculations!J$9</f>
        <v>0</v>
      </c>
      <c r="L124" s="658">
        <f>Calculations!K125/Calculations!K$9</f>
        <v>0</v>
      </c>
      <c r="M124" s="658">
        <f>Calculations!L125/Calculations!L$9</f>
        <v>0</v>
      </c>
      <c r="N124" s="658">
        <f>Calculations!M125/Calculations!M$9</f>
        <v>0</v>
      </c>
      <c r="O124" s="658">
        <f>Calculations!N125/Calculations!N$9</f>
        <v>0</v>
      </c>
      <c r="P124" s="658">
        <f>Calculations!O125/Calculations!O$9</f>
        <v>0</v>
      </c>
      <c r="Q124" s="658">
        <f>Calculations!P125/Calculations!P$9</f>
        <v>0</v>
      </c>
      <c r="R124" s="658">
        <f>Calculations!Q125/Calculations!Q$9</f>
        <v>0</v>
      </c>
      <c r="S124" s="658">
        <f>Calculations!R125/Calculations!R$9</f>
        <v>0</v>
      </c>
      <c r="T124" s="658">
        <f>Calculations!S125/Calculations!S$9</f>
        <v>0</v>
      </c>
      <c r="U124" s="658">
        <f>Calculations!T125/Calculations!T$9</f>
        <v>0</v>
      </c>
      <c r="V124" s="658">
        <f>Calculations!U125/Calculations!U$9</f>
        <v>0</v>
      </c>
      <c r="W124" s="658">
        <f>Calculations!V125/Calculations!V$9</f>
        <v>0</v>
      </c>
      <c r="X124" s="658">
        <f>Calculations!W125/Calculations!W$9</f>
        <v>0</v>
      </c>
      <c r="Y124" s="658">
        <f>Calculations!X125/Calculations!X$9</f>
        <v>0</v>
      </c>
      <c r="Z124" s="658">
        <f>Calculations!Y125/Calculations!Y$9</f>
        <v>0</v>
      </c>
    </row>
    <row r="125" spans="3:26" ht="16.5" customHeight="1" x14ac:dyDescent="0.2">
      <c r="C125" s="512"/>
      <c r="D125" s="655" t="str">
        <f>Calculations!C126</f>
        <v>Risk 3</v>
      </c>
      <c r="E125" s="656">
        <f t="shared" si="18"/>
        <v>0</v>
      </c>
      <c r="F125" s="658">
        <f>Calculations!E126/Calculations!E$9</f>
        <v>0</v>
      </c>
      <c r="G125" s="658">
        <f>Calculations!F126/Calculations!F$9</f>
        <v>0</v>
      </c>
      <c r="H125" s="658">
        <f>Calculations!G126/Calculations!G$9</f>
        <v>0</v>
      </c>
      <c r="I125" s="658">
        <f>Calculations!H126/Calculations!H$9</f>
        <v>0</v>
      </c>
      <c r="J125" s="658">
        <f>Calculations!I126/Calculations!I$9</f>
        <v>0</v>
      </c>
      <c r="K125" s="658">
        <f>Calculations!J126/Calculations!J$9</f>
        <v>0</v>
      </c>
      <c r="L125" s="658">
        <f>Calculations!K126/Calculations!K$9</f>
        <v>0</v>
      </c>
      <c r="M125" s="658">
        <f>Calculations!L126/Calculations!L$9</f>
        <v>0</v>
      </c>
      <c r="N125" s="658">
        <f>Calculations!M126/Calculations!M$9</f>
        <v>0</v>
      </c>
      <c r="O125" s="658">
        <f>Calculations!N126/Calculations!N$9</f>
        <v>0</v>
      </c>
      <c r="P125" s="658">
        <f>Calculations!O126/Calculations!O$9</f>
        <v>0</v>
      </c>
      <c r="Q125" s="658">
        <f>Calculations!P126/Calculations!P$9</f>
        <v>0</v>
      </c>
      <c r="R125" s="658">
        <f>Calculations!Q126/Calculations!Q$9</f>
        <v>0</v>
      </c>
      <c r="S125" s="658">
        <f>Calculations!R126/Calculations!R$9</f>
        <v>0</v>
      </c>
      <c r="T125" s="658">
        <f>Calculations!S126/Calculations!S$9</f>
        <v>0</v>
      </c>
      <c r="U125" s="658">
        <f>Calculations!T126/Calculations!T$9</f>
        <v>0</v>
      </c>
      <c r="V125" s="658">
        <f>Calculations!U126/Calculations!U$9</f>
        <v>0</v>
      </c>
      <c r="W125" s="658">
        <f>Calculations!V126/Calculations!V$9</f>
        <v>0</v>
      </c>
      <c r="X125" s="658">
        <f>Calculations!W126/Calculations!W$9</f>
        <v>0</v>
      </c>
      <c r="Y125" s="658">
        <f>Calculations!X126/Calculations!X$9</f>
        <v>0</v>
      </c>
      <c r="Z125" s="658">
        <f>Calculations!Y126/Calculations!Y$9</f>
        <v>0</v>
      </c>
    </row>
    <row r="126" spans="3:26" ht="16.5" customHeight="1" x14ac:dyDescent="0.2">
      <c r="C126" s="512"/>
      <c r="D126" s="655" t="str">
        <f>Calculations!C127</f>
        <v>Risk 4</v>
      </c>
      <c r="E126" s="656">
        <f t="shared" si="18"/>
        <v>0</v>
      </c>
      <c r="F126" s="658">
        <f>Calculations!E127/Calculations!E$9</f>
        <v>0</v>
      </c>
      <c r="G126" s="658">
        <f>Calculations!F127/Calculations!F$9</f>
        <v>0</v>
      </c>
      <c r="H126" s="658">
        <f>Calculations!G127/Calculations!G$9</f>
        <v>0</v>
      </c>
      <c r="I126" s="658">
        <f>Calculations!H127/Calculations!H$9</f>
        <v>0</v>
      </c>
      <c r="J126" s="658">
        <f>Calculations!I127/Calculations!I$9</f>
        <v>0</v>
      </c>
      <c r="K126" s="658">
        <f>Calculations!J127/Calculations!J$9</f>
        <v>0</v>
      </c>
      <c r="L126" s="658">
        <f>Calculations!K127/Calculations!K$9</f>
        <v>0</v>
      </c>
      <c r="M126" s="658">
        <f>Calculations!L127/Calculations!L$9</f>
        <v>0</v>
      </c>
      <c r="N126" s="658">
        <f>Calculations!M127/Calculations!M$9</f>
        <v>0</v>
      </c>
      <c r="O126" s="658">
        <f>Calculations!N127/Calculations!N$9</f>
        <v>0</v>
      </c>
      <c r="P126" s="658">
        <f>Calculations!O127/Calculations!O$9</f>
        <v>0</v>
      </c>
      <c r="Q126" s="658">
        <f>Calculations!P127/Calculations!P$9</f>
        <v>0</v>
      </c>
      <c r="R126" s="658">
        <f>Calculations!Q127/Calculations!Q$9</f>
        <v>0</v>
      </c>
      <c r="S126" s="658">
        <f>Calculations!R127/Calculations!R$9</f>
        <v>0</v>
      </c>
      <c r="T126" s="658">
        <f>Calculations!S127/Calculations!S$9</f>
        <v>0</v>
      </c>
      <c r="U126" s="658">
        <f>Calculations!T127/Calculations!T$9</f>
        <v>0</v>
      </c>
      <c r="V126" s="658">
        <f>Calculations!U127/Calculations!U$9</f>
        <v>0</v>
      </c>
      <c r="W126" s="658">
        <f>Calculations!V127/Calculations!V$9</f>
        <v>0</v>
      </c>
      <c r="X126" s="658">
        <f>Calculations!W127/Calculations!W$9</f>
        <v>0</v>
      </c>
      <c r="Y126" s="658">
        <f>Calculations!X127/Calculations!X$9</f>
        <v>0</v>
      </c>
      <c r="Z126" s="658">
        <f>Calculations!Y127/Calculations!Y$9</f>
        <v>0</v>
      </c>
    </row>
    <row r="127" spans="3:26" ht="16.5" customHeight="1" x14ac:dyDescent="0.2">
      <c r="C127" s="512"/>
      <c r="D127" s="655" t="str">
        <f>Calculations!C128</f>
        <v>Risk 5</v>
      </c>
      <c r="E127" s="656">
        <f t="shared" si="18"/>
        <v>0</v>
      </c>
      <c r="F127" s="658">
        <f>Calculations!E128/Calculations!E$9</f>
        <v>0</v>
      </c>
      <c r="G127" s="658">
        <f>Calculations!F128/Calculations!F$9</f>
        <v>0</v>
      </c>
      <c r="H127" s="658">
        <f>Calculations!G128/Calculations!G$9</f>
        <v>0</v>
      </c>
      <c r="I127" s="658">
        <f>Calculations!H128/Calculations!H$9</f>
        <v>0</v>
      </c>
      <c r="J127" s="658">
        <f>Calculations!I128/Calculations!I$9</f>
        <v>0</v>
      </c>
      <c r="K127" s="658">
        <f>Calculations!J128/Calculations!J$9</f>
        <v>0</v>
      </c>
      <c r="L127" s="658">
        <f>Calculations!K128/Calculations!K$9</f>
        <v>0</v>
      </c>
      <c r="M127" s="658">
        <f>Calculations!L128/Calculations!L$9</f>
        <v>0</v>
      </c>
      <c r="N127" s="658">
        <f>Calculations!M128/Calculations!M$9</f>
        <v>0</v>
      </c>
      <c r="O127" s="658">
        <f>Calculations!N128/Calculations!N$9</f>
        <v>0</v>
      </c>
      <c r="P127" s="658">
        <f>Calculations!O128/Calculations!O$9</f>
        <v>0</v>
      </c>
      <c r="Q127" s="658">
        <f>Calculations!P128/Calculations!P$9</f>
        <v>0</v>
      </c>
      <c r="R127" s="658">
        <f>Calculations!Q128/Calculations!Q$9</f>
        <v>0</v>
      </c>
      <c r="S127" s="658">
        <f>Calculations!R128/Calculations!R$9</f>
        <v>0</v>
      </c>
      <c r="T127" s="658">
        <f>Calculations!S128/Calculations!S$9</f>
        <v>0</v>
      </c>
      <c r="U127" s="658">
        <f>Calculations!T128/Calculations!T$9</f>
        <v>0</v>
      </c>
      <c r="V127" s="658">
        <f>Calculations!U128/Calculations!U$9</f>
        <v>0</v>
      </c>
      <c r="W127" s="658">
        <f>Calculations!V128/Calculations!V$9</f>
        <v>0</v>
      </c>
      <c r="X127" s="658">
        <f>Calculations!W128/Calculations!W$9</f>
        <v>0</v>
      </c>
      <c r="Y127" s="658">
        <f>Calculations!X128/Calculations!X$9</f>
        <v>0</v>
      </c>
      <c r="Z127" s="658">
        <f>Calculations!Y128/Calculations!Y$9</f>
        <v>0</v>
      </c>
    </row>
    <row r="128" spans="3:26" ht="16.5" customHeight="1" x14ac:dyDescent="0.2">
      <c r="C128" s="512"/>
      <c r="D128" s="655" t="s">
        <v>254</v>
      </c>
      <c r="E128" s="656">
        <f t="shared" ref="E128:Z128" si="19">SUM(E109:E127)-E111</f>
        <v>0</v>
      </c>
      <c r="F128" s="656">
        <f t="shared" si="19"/>
        <v>0</v>
      </c>
      <c r="G128" s="656">
        <f t="shared" si="19"/>
        <v>0</v>
      </c>
      <c r="H128" s="656">
        <f t="shared" si="19"/>
        <v>0</v>
      </c>
      <c r="I128" s="656">
        <f t="shared" si="19"/>
        <v>0</v>
      </c>
      <c r="J128" s="656">
        <f t="shared" si="19"/>
        <v>0</v>
      </c>
      <c r="K128" s="656">
        <f t="shared" si="19"/>
        <v>0</v>
      </c>
      <c r="L128" s="656">
        <f t="shared" si="19"/>
        <v>0</v>
      </c>
      <c r="M128" s="656">
        <f t="shared" si="19"/>
        <v>0</v>
      </c>
      <c r="N128" s="656">
        <f t="shared" si="19"/>
        <v>0</v>
      </c>
      <c r="O128" s="656">
        <f t="shared" si="19"/>
        <v>0</v>
      </c>
      <c r="P128" s="656">
        <f t="shared" si="19"/>
        <v>0</v>
      </c>
      <c r="Q128" s="656">
        <f t="shared" si="19"/>
        <v>0</v>
      </c>
      <c r="R128" s="656">
        <f t="shared" si="19"/>
        <v>0</v>
      </c>
      <c r="S128" s="656">
        <f t="shared" si="19"/>
        <v>0</v>
      </c>
      <c r="T128" s="656">
        <f t="shared" si="19"/>
        <v>0</v>
      </c>
      <c r="U128" s="656">
        <f t="shared" si="19"/>
        <v>0</v>
      </c>
      <c r="V128" s="656">
        <f t="shared" si="19"/>
        <v>0</v>
      </c>
      <c r="W128" s="656">
        <f t="shared" si="19"/>
        <v>0</v>
      </c>
      <c r="X128" s="656">
        <f t="shared" si="19"/>
        <v>0</v>
      </c>
      <c r="Y128" s="656">
        <f t="shared" si="19"/>
        <v>0</v>
      </c>
      <c r="Z128" s="656">
        <f t="shared" si="19"/>
        <v>0</v>
      </c>
    </row>
    <row r="129" spans="3:26" ht="16.5" customHeight="1" x14ac:dyDescent="0.2">
      <c r="C129" s="512"/>
      <c r="D129" s="512"/>
      <c r="E129" s="512"/>
      <c r="F129" s="512"/>
      <c r="G129" s="512"/>
      <c r="H129" s="512"/>
      <c r="I129" s="512"/>
      <c r="J129" s="512"/>
      <c r="K129" s="512"/>
      <c r="L129" s="512"/>
      <c r="M129" s="512"/>
      <c r="N129" s="512"/>
      <c r="O129" s="512"/>
      <c r="P129" s="512"/>
      <c r="Q129" s="512"/>
      <c r="R129" s="512"/>
      <c r="S129" s="512"/>
      <c r="T129" s="512"/>
      <c r="U129" s="512"/>
      <c r="V129" s="512"/>
      <c r="W129" s="512"/>
      <c r="X129" s="512"/>
      <c r="Y129" s="512"/>
      <c r="Z129" s="512"/>
    </row>
    <row r="130" spans="3:26" ht="16.5" customHeight="1" x14ac:dyDescent="0.25">
      <c r="C130" s="512"/>
      <c r="D130" s="650" t="str">
        <f>'User Input'!D169</f>
        <v xml:space="preserve">Option 5: </v>
      </c>
      <c r="E130" s="512"/>
      <c r="F130" s="512"/>
      <c r="G130" s="512"/>
      <c r="H130" s="512"/>
      <c r="I130" s="512"/>
      <c r="J130" s="512"/>
      <c r="K130" s="512"/>
      <c r="L130" s="512"/>
      <c r="M130" s="512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512"/>
      <c r="Y130" s="512"/>
      <c r="Z130" s="512"/>
    </row>
    <row r="131" spans="3:26" ht="16.5" customHeight="1" x14ac:dyDescent="0.25">
      <c r="C131" s="512"/>
      <c r="D131" s="498"/>
      <c r="E131" s="512"/>
      <c r="F131" s="512"/>
      <c r="G131" s="512"/>
      <c r="H131" s="512"/>
      <c r="I131" s="512"/>
      <c r="J131" s="512"/>
      <c r="K131" s="512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</row>
    <row r="132" spans="3:26" ht="16.5" customHeight="1" x14ac:dyDescent="0.25">
      <c r="C132" s="512"/>
      <c r="D132" s="653"/>
      <c r="E132" s="716"/>
      <c r="F132" s="716"/>
      <c r="G132" s="716"/>
      <c r="H132" s="716"/>
      <c r="I132" s="716"/>
      <c r="J132" s="716"/>
      <c r="K132" s="716"/>
      <c r="L132" s="716"/>
      <c r="M132" s="716"/>
      <c r="N132" s="716"/>
      <c r="O132" s="716"/>
      <c r="P132" s="716"/>
      <c r="Q132" s="716"/>
      <c r="R132" s="716"/>
      <c r="S132" s="716"/>
      <c r="T132" s="716"/>
      <c r="U132" s="716"/>
      <c r="V132" s="716"/>
      <c r="W132" s="716"/>
      <c r="X132" s="716"/>
      <c r="Y132" s="716"/>
      <c r="Z132" s="716"/>
    </row>
    <row r="133" spans="3:26" ht="16.5" customHeight="1" x14ac:dyDescent="0.25">
      <c r="C133" s="512"/>
      <c r="D133" s="653"/>
      <c r="E133" s="654" t="s">
        <v>254</v>
      </c>
      <c r="F133" s="654">
        <f>'User Input'!$E$6</f>
        <v>2017</v>
      </c>
      <c r="G133" s="654">
        <f>F133+1</f>
        <v>2018</v>
      </c>
      <c r="H133" s="654">
        <f t="shared" ref="H133:Z133" si="20">G133+1</f>
        <v>2019</v>
      </c>
      <c r="I133" s="654">
        <f t="shared" si="20"/>
        <v>2020</v>
      </c>
      <c r="J133" s="654">
        <f t="shared" si="20"/>
        <v>2021</v>
      </c>
      <c r="K133" s="654">
        <f t="shared" si="20"/>
        <v>2022</v>
      </c>
      <c r="L133" s="654">
        <f t="shared" si="20"/>
        <v>2023</v>
      </c>
      <c r="M133" s="654">
        <f t="shared" si="20"/>
        <v>2024</v>
      </c>
      <c r="N133" s="654">
        <f t="shared" si="20"/>
        <v>2025</v>
      </c>
      <c r="O133" s="654">
        <f t="shared" si="20"/>
        <v>2026</v>
      </c>
      <c r="P133" s="654">
        <f t="shared" si="20"/>
        <v>2027</v>
      </c>
      <c r="Q133" s="654">
        <f t="shared" si="20"/>
        <v>2028</v>
      </c>
      <c r="R133" s="654">
        <f t="shared" si="20"/>
        <v>2029</v>
      </c>
      <c r="S133" s="654">
        <f t="shared" si="20"/>
        <v>2030</v>
      </c>
      <c r="T133" s="654">
        <f t="shared" si="20"/>
        <v>2031</v>
      </c>
      <c r="U133" s="654">
        <f t="shared" si="20"/>
        <v>2032</v>
      </c>
      <c r="V133" s="654">
        <f t="shared" si="20"/>
        <v>2033</v>
      </c>
      <c r="W133" s="654">
        <f t="shared" si="20"/>
        <v>2034</v>
      </c>
      <c r="X133" s="654">
        <f t="shared" si="20"/>
        <v>2035</v>
      </c>
      <c r="Y133" s="654">
        <f t="shared" si="20"/>
        <v>2036</v>
      </c>
      <c r="Z133" s="654">
        <f t="shared" si="20"/>
        <v>2037</v>
      </c>
    </row>
    <row r="134" spans="3:26" ht="16.5" customHeight="1" x14ac:dyDescent="0.2">
      <c r="C134" s="512"/>
      <c r="D134" s="655" t="str">
        <f>Calculations!C134</f>
        <v>Capital Costs</v>
      </c>
      <c r="E134" s="656">
        <f>SUM(F134:Z134)</f>
        <v>0</v>
      </c>
      <c r="F134" s="658">
        <f>Calculations!E134/Calculations!E$9</f>
        <v>0</v>
      </c>
      <c r="G134" s="658">
        <f>Calculations!F134/Calculations!F$9</f>
        <v>0</v>
      </c>
      <c r="H134" s="658">
        <f>Calculations!G134/Calculations!G$9</f>
        <v>0</v>
      </c>
      <c r="I134" s="658">
        <f>Calculations!H134/Calculations!H$9</f>
        <v>0</v>
      </c>
      <c r="J134" s="658">
        <f>Calculations!I134/Calculations!I$9</f>
        <v>0</v>
      </c>
      <c r="K134" s="658">
        <f>Calculations!J134/Calculations!J$9</f>
        <v>0</v>
      </c>
      <c r="L134" s="658">
        <f>Calculations!K134/Calculations!K$9</f>
        <v>0</v>
      </c>
      <c r="M134" s="658">
        <f>Calculations!L134/Calculations!L$9</f>
        <v>0</v>
      </c>
      <c r="N134" s="658">
        <f>Calculations!M134/Calculations!M$9</f>
        <v>0</v>
      </c>
      <c r="O134" s="658">
        <f>Calculations!N134/Calculations!N$9</f>
        <v>0</v>
      </c>
      <c r="P134" s="658">
        <f>Calculations!O134/Calculations!O$9</f>
        <v>0</v>
      </c>
      <c r="Q134" s="658">
        <f>Calculations!P134/Calculations!P$9</f>
        <v>0</v>
      </c>
      <c r="R134" s="658">
        <f>Calculations!Q134/Calculations!Q$9</f>
        <v>0</v>
      </c>
      <c r="S134" s="658">
        <f>Calculations!R134/Calculations!R$9</f>
        <v>0</v>
      </c>
      <c r="T134" s="658">
        <f>Calculations!S134/Calculations!S$9</f>
        <v>0</v>
      </c>
      <c r="U134" s="658">
        <f>Calculations!T134/Calculations!T$9</f>
        <v>0</v>
      </c>
      <c r="V134" s="658">
        <f>Calculations!U134/Calculations!U$9</f>
        <v>0</v>
      </c>
      <c r="W134" s="658">
        <f>Calculations!V134/Calculations!V$9</f>
        <v>0</v>
      </c>
      <c r="X134" s="658">
        <f>Calculations!W134/Calculations!W$9</f>
        <v>0</v>
      </c>
      <c r="Y134" s="658">
        <f>Calculations!X134/Calculations!X$9</f>
        <v>0</v>
      </c>
      <c r="Z134" s="658">
        <f>Calculations!Y134/Calculations!Y$9</f>
        <v>0</v>
      </c>
    </row>
    <row r="135" spans="3:26" ht="16.5" customHeight="1" x14ac:dyDescent="0.2">
      <c r="C135" s="512"/>
      <c r="D135" s="655" t="str">
        <f>Calculations!C135</f>
        <v>Maintenance Costs</v>
      </c>
      <c r="E135" s="656">
        <f>SUM(F135:Z135)</f>
        <v>0</v>
      </c>
      <c r="F135" s="658">
        <f>Calculations!E135/Calculations!E$9</f>
        <v>0</v>
      </c>
      <c r="G135" s="658">
        <f>Calculations!F135/Calculations!F$9</f>
        <v>0</v>
      </c>
      <c r="H135" s="658">
        <f>Calculations!G135/Calculations!G$9</f>
        <v>0</v>
      </c>
      <c r="I135" s="658">
        <f>Calculations!H135/Calculations!H$9</f>
        <v>0</v>
      </c>
      <c r="J135" s="658">
        <f>Calculations!I135/Calculations!I$9</f>
        <v>0</v>
      </c>
      <c r="K135" s="658">
        <f>Calculations!J135/Calculations!J$9</f>
        <v>0</v>
      </c>
      <c r="L135" s="658">
        <f>Calculations!K135/Calculations!K$9</f>
        <v>0</v>
      </c>
      <c r="M135" s="658">
        <f>Calculations!L135/Calculations!L$9</f>
        <v>0</v>
      </c>
      <c r="N135" s="658">
        <f>Calculations!M135/Calculations!M$9</f>
        <v>0</v>
      </c>
      <c r="O135" s="658">
        <f>Calculations!N135/Calculations!N$9</f>
        <v>0</v>
      </c>
      <c r="P135" s="658">
        <f>Calculations!O135/Calculations!O$9</f>
        <v>0</v>
      </c>
      <c r="Q135" s="658">
        <f>Calculations!P135/Calculations!P$9</f>
        <v>0</v>
      </c>
      <c r="R135" s="658">
        <f>Calculations!Q135/Calculations!Q$9</f>
        <v>0</v>
      </c>
      <c r="S135" s="658">
        <f>Calculations!R135/Calculations!R$9</f>
        <v>0</v>
      </c>
      <c r="T135" s="658">
        <f>Calculations!S135/Calculations!S$9</f>
        <v>0</v>
      </c>
      <c r="U135" s="658">
        <f>Calculations!T135/Calculations!T$9</f>
        <v>0</v>
      </c>
      <c r="V135" s="658">
        <f>Calculations!U135/Calculations!U$9</f>
        <v>0</v>
      </c>
      <c r="W135" s="658">
        <f>Calculations!V135/Calculations!V$9</f>
        <v>0</v>
      </c>
      <c r="X135" s="658">
        <f>Calculations!W135/Calculations!W$9</f>
        <v>0</v>
      </c>
      <c r="Y135" s="658">
        <f>Calculations!X135/Calculations!X$9</f>
        <v>0</v>
      </c>
      <c r="Z135" s="658">
        <f>Calculations!Y135/Calculations!Y$9</f>
        <v>0</v>
      </c>
    </row>
    <row r="136" spans="3:26" ht="16.5" customHeight="1" x14ac:dyDescent="0.2">
      <c r="C136" s="512"/>
      <c r="D136" s="655" t="str">
        <f>Calculations!C136</f>
        <v>Negative Impact on Revenue (STPIS)</v>
      </c>
      <c r="E136" s="656">
        <f t="shared" ref="E136:Z136" si="21">SUM(E137:E140)</f>
        <v>0</v>
      </c>
      <c r="F136" s="656">
        <f t="shared" si="21"/>
        <v>0</v>
      </c>
      <c r="G136" s="656">
        <f t="shared" si="21"/>
        <v>0</v>
      </c>
      <c r="H136" s="656">
        <f t="shared" si="21"/>
        <v>0</v>
      </c>
      <c r="I136" s="656">
        <f t="shared" si="21"/>
        <v>0</v>
      </c>
      <c r="J136" s="656">
        <f t="shared" si="21"/>
        <v>0</v>
      </c>
      <c r="K136" s="656">
        <f t="shared" si="21"/>
        <v>0</v>
      </c>
      <c r="L136" s="656">
        <f t="shared" si="21"/>
        <v>0</v>
      </c>
      <c r="M136" s="656">
        <f t="shared" si="21"/>
        <v>0</v>
      </c>
      <c r="N136" s="656">
        <f t="shared" si="21"/>
        <v>0</v>
      </c>
      <c r="O136" s="656">
        <f t="shared" si="21"/>
        <v>0</v>
      </c>
      <c r="P136" s="656">
        <f t="shared" si="21"/>
        <v>0</v>
      </c>
      <c r="Q136" s="656">
        <f t="shared" si="21"/>
        <v>0</v>
      </c>
      <c r="R136" s="656">
        <f t="shared" si="21"/>
        <v>0</v>
      </c>
      <c r="S136" s="656">
        <f t="shared" si="21"/>
        <v>0</v>
      </c>
      <c r="T136" s="656">
        <f t="shared" si="21"/>
        <v>0</v>
      </c>
      <c r="U136" s="656">
        <f t="shared" si="21"/>
        <v>0</v>
      </c>
      <c r="V136" s="656">
        <f t="shared" si="21"/>
        <v>0</v>
      </c>
      <c r="W136" s="656">
        <f t="shared" si="21"/>
        <v>0</v>
      </c>
      <c r="X136" s="656">
        <f t="shared" si="21"/>
        <v>0</v>
      </c>
      <c r="Y136" s="656">
        <f t="shared" si="21"/>
        <v>0</v>
      </c>
      <c r="Z136" s="656">
        <f t="shared" si="21"/>
        <v>0</v>
      </c>
    </row>
    <row r="137" spans="3:26" ht="16.5" customHeight="1" x14ac:dyDescent="0.2">
      <c r="C137" s="512"/>
      <c r="D137" s="659" t="str">
        <f>Calculations!C137</f>
        <v>SAIFI sustained</v>
      </c>
      <c r="E137" s="656">
        <f t="shared" ref="E137:E152" si="22">SUM(F137:Z137)</f>
        <v>0</v>
      </c>
      <c r="F137" s="658">
        <f>Calculations!E137/Calculations!E$9</f>
        <v>0</v>
      </c>
      <c r="G137" s="658">
        <f>Calculations!F137/Calculations!F$9</f>
        <v>0</v>
      </c>
      <c r="H137" s="658">
        <f>Calculations!G137/Calculations!G$9</f>
        <v>0</v>
      </c>
      <c r="I137" s="658">
        <f>Calculations!H137/Calculations!H$9</f>
        <v>0</v>
      </c>
      <c r="J137" s="658">
        <f>Calculations!I137/Calculations!I$9</f>
        <v>0</v>
      </c>
      <c r="K137" s="658">
        <f>Calculations!J137/Calculations!J$9</f>
        <v>0</v>
      </c>
      <c r="L137" s="658">
        <f>Calculations!K137/Calculations!K$9</f>
        <v>0</v>
      </c>
      <c r="M137" s="658">
        <f>Calculations!L137/Calculations!L$9</f>
        <v>0</v>
      </c>
      <c r="N137" s="658">
        <f>Calculations!M137/Calculations!M$9</f>
        <v>0</v>
      </c>
      <c r="O137" s="658">
        <f>Calculations!N137/Calculations!N$9</f>
        <v>0</v>
      </c>
      <c r="P137" s="658">
        <f>Calculations!O137/Calculations!O$9</f>
        <v>0</v>
      </c>
      <c r="Q137" s="658">
        <f>Calculations!P137/Calculations!P$9</f>
        <v>0</v>
      </c>
      <c r="R137" s="658">
        <f>Calculations!Q137/Calculations!Q$9</f>
        <v>0</v>
      </c>
      <c r="S137" s="658">
        <f>Calculations!R137/Calculations!R$9</f>
        <v>0</v>
      </c>
      <c r="T137" s="658">
        <f>Calculations!S137/Calculations!S$9</f>
        <v>0</v>
      </c>
      <c r="U137" s="658">
        <f>Calculations!T137/Calculations!T$9</f>
        <v>0</v>
      </c>
      <c r="V137" s="658">
        <f>Calculations!U137/Calculations!U$9</f>
        <v>0</v>
      </c>
      <c r="W137" s="658">
        <f>Calculations!V137/Calculations!V$9</f>
        <v>0</v>
      </c>
      <c r="X137" s="658">
        <f>Calculations!W137/Calculations!W$9</f>
        <v>0</v>
      </c>
      <c r="Y137" s="658">
        <f>Calculations!X137/Calculations!X$9</f>
        <v>0</v>
      </c>
      <c r="Z137" s="658">
        <f>Calculations!Y137/Calculations!Y$9</f>
        <v>0</v>
      </c>
    </row>
    <row r="138" spans="3:26" ht="16.5" customHeight="1" x14ac:dyDescent="0.2">
      <c r="C138" s="512"/>
      <c r="D138" s="659" t="str">
        <f>Calculations!C138</f>
        <v>SAIDI accidental</v>
      </c>
      <c r="E138" s="656">
        <f t="shared" si="22"/>
        <v>0</v>
      </c>
      <c r="F138" s="658">
        <f>Calculations!E138/Calculations!E$9</f>
        <v>0</v>
      </c>
      <c r="G138" s="658">
        <f>Calculations!F138/Calculations!F$9</f>
        <v>0</v>
      </c>
      <c r="H138" s="658">
        <f>Calculations!G138/Calculations!G$9</f>
        <v>0</v>
      </c>
      <c r="I138" s="658">
        <f>Calculations!H138/Calculations!H$9</f>
        <v>0</v>
      </c>
      <c r="J138" s="658">
        <f>Calculations!I138/Calculations!I$9</f>
        <v>0</v>
      </c>
      <c r="K138" s="658">
        <f>Calculations!J138/Calculations!J$9</f>
        <v>0</v>
      </c>
      <c r="L138" s="658">
        <f>Calculations!K138/Calculations!K$9</f>
        <v>0</v>
      </c>
      <c r="M138" s="658">
        <f>Calculations!L138/Calculations!L$9</f>
        <v>0</v>
      </c>
      <c r="N138" s="658">
        <f>Calculations!M138/Calculations!M$9</f>
        <v>0</v>
      </c>
      <c r="O138" s="658">
        <f>Calculations!N138/Calculations!N$9</f>
        <v>0</v>
      </c>
      <c r="P138" s="658">
        <f>Calculations!O138/Calculations!O$9</f>
        <v>0</v>
      </c>
      <c r="Q138" s="658">
        <f>Calculations!P138/Calculations!P$9</f>
        <v>0</v>
      </c>
      <c r="R138" s="658">
        <f>Calculations!Q138/Calculations!Q$9</f>
        <v>0</v>
      </c>
      <c r="S138" s="658">
        <f>Calculations!R138/Calculations!R$9</f>
        <v>0</v>
      </c>
      <c r="T138" s="658">
        <f>Calculations!S138/Calculations!S$9</f>
        <v>0</v>
      </c>
      <c r="U138" s="658">
        <f>Calculations!T138/Calculations!T$9</f>
        <v>0</v>
      </c>
      <c r="V138" s="658">
        <f>Calculations!U138/Calculations!U$9</f>
        <v>0</v>
      </c>
      <c r="W138" s="658">
        <f>Calculations!V138/Calculations!V$9</f>
        <v>0</v>
      </c>
      <c r="X138" s="658">
        <f>Calculations!W138/Calculations!W$9</f>
        <v>0</v>
      </c>
      <c r="Y138" s="658">
        <f>Calculations!X138/Calculations!X$9</f>
        <v>0</v>
      </c>
      <c r="Z138" s="658">
        <f>Calculations!Y138/Calculations!Y$9</f>
        <v>0</v>
      </c>
    </row>
    <row r="139" spans="3:26" ht="16.5" customHeight="1" x14ac:dyDescent="0.2">
      <c r="C139" s="512"/>
      <c r="D139" s="659" t="str">
        <f>Calculations!C139</f>
        <v>MAIFI momentary</v>
      </c>
      <c r="E139" s="656">
        <f t="shared" si="22"/>
        <v>0</v>
      </c>
      <c r="F139" s="658">
        <f>Calculations!E139/Calculations!E$9</f>
        <v>0</v>
      </c>
      <c r="G139" s="658">
        <f>Calculations!F139/Calculations!F$9</f>
        <v>0</v>
      </c>
      <c r="H139" s="658">
        <f>Calculations!G139/Calculations!G$9</f>
        <v>0</v>
      </c>
      <c r="I139" s="658">
        <f>Calculations!H139/Calculations!H$9</f>
        <v>0</v>
      </c>
      <c r="J139" s="658">
        <f>Calculations!I139/Calculations!I$9</f>
        <v>0</v>
      </c>
      <c r="K139" s="658">
        <f>Calculations!J139/Calculations!J$9</f>
        <v>0</v>
      </c>
      <c r="L139" s="658">
        <f>Calculations!K139/Calculations!K$9</f>
        <v>0</v>
      </c>
      <c r="M139" s="658">
        <f>Calculations!L139/Calculations!L$9</f>
        <v>0</v>
      </c>
      <c r="N139" s="658">
        <f>Calculations!M139/Calculations!M$9</f>
        <v>0</v>
      </c>
      <c r="O139" s="658">
        <f>Calculations!N139/Calculations!N$9</f>
        <v>0</v>
      </c>
      <c r="P139" s="658">
        <f>Calculations!O139/Calculations!O$9</f>
        <v>0</v>
      </c>
      <c r="Q139" s="658">
        <f>Calculations!P139/Calculations!P$9</f>
        <v>0</v>
      </c>
      <c r="R139" s="658">
        <f>Calculations!Q139/Calculations!Q$9</f>
        <v>0</v>
      </c>
      <c r="S139" s="658">
        <f>Calculations!R139/Calculations!R$9</f>
        <v>0</v>
      </c>
      <c r="T139" s="658">
        <f>Calculations!S139/Calculations!S$9</f>
        <v>0</v>
      </c>
      <c r="U139" s="658">
        <f>Calculations!T139/Calculations!T$9</f>
        <v>0</v>
      </c>
      <c r="V139" s="658">
        <f>Calculations!U139/Calculations!U$9</f>
        <v>0</v>
      </c>
      <c r="W139" s="658">
        <f>Calculations!V139/Calculations!V$9</f>
        <v>0</v>
      </c>
      <c r="X139" s="658">
        <f>Calculations!W139/Calculations!W$9</f>
        <v>0</v>
      </c>
      <c r="Y139" s="658">
        <f>Calculations!X139/Calculations!X$9</f>
        <v>0</v>
      </c>
      <c r="Z139" s="658">
        <f>Calculations!Y139/Calculations!Y$9</f>
        <v>0</v>
      </c>
    </row>
    <row r="140" spans="3:26" ht="16.5" customHeight="1" x14ac:dyDescent="0.2">
      <c r="C140" s="512"/>
      <c r="D140" s="659" t="str">
        <f>Calculations!C140</f>
        <v>Call centre response</v>
      </c>
      <c r="E140" s="656">
        <f t="shared" si="22"/>
        <v>0</v>
      </c>
      <c r="F140" s="658">
        <f>Calculations!E140/Calculations!E$9</f>
        <v>0</v>
      </c>
      <c r="G140" s="658">
        <f>Calculations!F140/Calculations!F$9</f>
        <v>0</v>
      </c>
      <c r="H140" s="658">
        <f>Calculations!G140/Calculations!G$9</f>
        <v>0</v>
      </c>
      <c r="I140" s="658">
        <f>Calculations!H140/Calculations!H$9</f>
        <v>0</v>
      </c>
      <c r="J140" s="658">
        <f>Calculations!I140/Calculations!I$9</f>
        <v>0</v>
      </c>
      <c r="K140" s="658">
        <f>Calculations!J140/Calculations!J$9</f>
        <v>0</v>
      </c>
      <c r="L140" s="658">
        <f>Calculations!K140/Calculations!K$9</f>
        <v>0</v>
      </c>
      <c r="M140" s="658">
        <f>Calculations!L140/Calculations!L$9</f>
        <v>0</v>
      </c>
      <c r="N140" s="658">
        <f>Calculations!M140/Calculations!M$9</f>
        <v>0</v>
      </c>
      <c r="O140" s="658">
        <f>Calculations!N140/Calculations!N$9</f>
        <v>0</v>
      </c>
      <c r="P140" s="658">
        <f>Calculations!O140/Calculations!O$9</f>
        <v>0</v>
      </c>
      <c r="Q140" s="658">
        <f>Calculations!P140/Calculations!P$9</f>
        <v>0</v>
      </c>
      <c r="R140" s="658">
        <f>Calculations!Q140/Calculations!Q$9</f>
        <v>0</v>
      </c>
      <c r="S140" s="658">
        <f>Calculations!R140/Calculations!R$9</f>
        <v>0</v>
      </c>
      <c r="T140" s="658">
        <f>Calculations!S140/Calculations!S$9</f>
        <v>0</v>
      </c>
      <c r="U140" s="658">
        <f>Calculations!T140/Calculations!T$9</f>
        <v>0</v>
      </c>
      <c r="V140" s="658">
        <f>Calculations!U140/Calculations!U$9</f>
        <v>0</v>
      </c>
      <c r="W140" s="658">
        <f>Calculations!V140/Calculations!V$9</f>
        <v>0</v>
      </c>
      <c r="X140" s="658">
        <f>Calculations!W140/Calculations!W$9</f>
        <v>0</v>
      </c>
      <c r="Y140" s="658">
        <f>Calculations!X140/Calculations!X$9</f>
        <v>0</v>
      </c>
      <c r="Z140" s="658">
        <f>Calculations!Y140/Calculations!Y$9</f>
        <v>0</v>
      </c>
    </row>
    <row r="141" spans="3:26" ht="16.5" customHeight="1" x14ac:dyDescent="0.2">
      <c r="C141" s="512"/>
      <c r="D141" s="655" t="str">
        <f>Calculations!C141</f>
        <v>Network Outage Costs</v>
      </c>
      <c r="E141" s="656">
        <f t="shared" si="22"/>
        <v>0</v>
      </c>
      <c r="F141" s="658">
        <f>Calculations!E141/Calculations!E$9</f>
        <v>0</v>
      </c>
      <c r="G141" s="658">
        <f>Calculations!F141/Calculations!F$9</f>
        <v>0</v>
      </c>
      <c r="H141" s="658">
        <f>Calculations!G141/Calculations!G$9</f>
        <v>0</v>
      </c>
      <c r="I141" s="658">
        <f>Calculations!H141/Calculations!H$9</f>
        <v>0</v>
      </c>
      <c r="J141" s="658">
        <f>Calculations!I141/Calculations!I$9</f>
        <v>0</v>
      </c>
      <c r="K141" s="658">
        <f>Calculations!J141/Calculations!J$9</f>
        <v>0</v>
      </c>
      <c r="L141" s="658">
        <f>Calculations!K141/Calculations!K$9</f>
        <v>0</v>
      </c>
      <c r="M141" s="658">
        <f>Calculations!L141/Calculations!L$9</f>
        <v>0</v>
      </c>
      <c r="N141" s="658">
        <f>Calculations!M141/Calculations!M$9</f>
        <v>0</v>
      </c>
      <c r="O141" s="658">
        <f>Calculations!N141/Calculations!N$9</f>
        <v>0</v>
      </c>
      <c r="P141" s="658">
        <f>Calculations!O141/Calculations!O$9</f>
        <v>0</v>
      </c>
      <c r="Q141" s="658">
        <f>Calculations!P141/Calculations!P$9</f>
        <v>0</v>
      </c>
      <c r="R141" s="658">
        <f>Calculations!Q141/Calculations!Q$9</f>
        <v>0</v>
      </c>
      <c r="S141" s="658">
        <f>Calculations!R141/Calculations!R$9</f>
        <v>0</v>
      </c>
      <c r="T141" s="658">
        <f>Calculations!S141/Calculations!S$9</f>
        <v>0</v>
      </c>
      <c r="U141" s="658">
        <f>Calculations!T141/Calculations!T$9</f>
        <v>0</v>
      </c>
      <c r="V141" s="658">
        <f>Calculations!U141/Calculations!U$9</f>
        <v>0</v>
      </c>
      <c r="W141" s="658">
        <f>Calculations!V141/Calculations!V$9</f>
        <v>0</v>
      </c>
      <c r="X141" s="658">
        <f>Calculations!W141/Calculations!W$9</f>
        <v>0</v>
      </c>
      <c r="Y141" s="658">
        <f>Calculations!X141/Calculations!X$9</f>
        <v>0</v>
      </c>
      <c r="Z141" s="658">
        <f>Calculations!Y141/Calculations!Y$9</f>
        <v>0</v>
      </c>
    </row>
    <row r="142" spans="3:26" ht="16.5" customHeight="1" x14ac:dyDescent="0.2">
      <c r="C142" s="512"/>
      <c r="D142" s="655" t="str">
        <f>Calculations!C142</f>
        <v>Loss of F Factor Benefit</v>
      </c>
      <c r="E142" s="656">
        <f t="shared" si="22"/>
        <v>0</v>
      </c>
      <c r="F142" s="658">
        <f>Calculations!E142/Calculations!E$9</f>
        <v>0</v>
      </c>
      <c r="G142" s="658">
        <f>Calculations!F142/Calculations!F$9</f>
        <v>0</v>
      </c>
      <c r="H142" s="658">
        <f>Calculations!G142/Calculations!G$9</f>
        <v>0</v>
      </c>
      <c r="I142" s="658">
        <f>Calculations!H142/Calculations!H$9</f>
        <v>0</v>
      </c>
      <c r="J142" s="658">
        <f>Calculations!I142/Calculations!I$9</f>
        <v>0</v>
      </c>
      <c r="K142" s="658">
        <f>Calculations!J142/Calculations!J$9</f>
        <v>0</v>
      </c>
      <c r="L142" s="658">
        <f>Calculations!K142/Calculations!K$9</f>
        <v>0</v>
      </c>
      <c r="M142" s="658">
        <f>Calculations!L142/Calculations!L$9</f>
        <v>0</v>
      </c>
      <c r="N142" s="658">
        <f>Calculations!M142/Calculations!M$9</f>
        <v>0</v>
      </c>
      <c r="O142" s="658">
        <f>Calculations!N142/Calculations!N$9</f>
        <v>0</v>
      </c>
      <c r="P142" s="658">
        <f>Calculations!O142/Calculations!O$9</f>
        <v>0</v>
      </c>
      <c r="Q142" s="658">
        <f>Calculations!P142/Calculations!P$9</f>
        <v>0</v>
      </c>
      <c r="R142" s="658">
        <f>Calculations!Q142/Calculations!Q$9</f>
        <v>0</v>
      </c>
      <c r="S142" s="658">
        <f>Calculations!R142/Calculations!R$9</f>
        <v>0</v>
      </c>
      <c r="T142" s="658">
        <f>Calculations!S142/Calculations!S$9</f>
        <v>0</v>
      </c>
      <c r="U142" s="658">
        <f>Calculations!T142/Calculations!T$9</f>
        <v>0</v>
      </c>
      <c r="V142" s="658">
        <f>Calculations!U142/Calculations!U$9</f>
        <v>0</v>
      </c>
      <c r="W142" s="658">
        <f>Calculations!V142/Calculations!V$9</f>
        <v>0</v>
      </c>
      <c r="X142" s="658">
        <f>Calculations!W142/Calculations!W$9</f>
        <v>0</v>
      </c>
      <c r="Y142" s="658">
        <f>Calculations!X142/Calculations!X$9</f>
        <v>0</v>
      </c>
      <c r="Z142" s="658">
        <f>Calculations!Y142/Calculations!Y$9</f>
        <v>0</v>
      </c>
    </row>
    <row r="143" spans="3:26" ht="16.5" customHeight="1" x14ac:dyDescent="0.2">
      <c r="C143" s="512"/>
      <c r="D143" s="655" t="str">
        <f>Calculations!C143</f>
        <v>Cost 1</v>
      </c>
      <c r="E143" s="656">
        <f t="shared" si="22"/>
        <v>0</v>
      </c>
      <c r="F143" s="658">
        <f>Calculations!E143/Calculations!E$9</f>
        <v>0</v>
      </c>
      <c r="G143" s="658">
        <f>Calculations!F143/Calculations!F$9</f>
        <v>0</v>
      </c>
      <c r="H143" s="658">
        <f>Calculations!G143/Calculations!G$9</f>
        <v>0</v>
      </c>
      <c r="I143" s="658">
        <f>Calculations!H143/Calculations!H$9</f>
        <v>0</v>
      </c>
      <c r="J143" s="658">
        <f>Calculations!I143/Calculations!I$9</f>
        <v>0</v>
      </c>
      <c r="K143" s="658">
        <f>Calculations!J143/Calculations!J$9</f>
        <v>0</v>
      </c>
      <c r="L143" s="658">
        <f>Calculations!K143/Calculations!K$9</f>
        <v>0</v>
      </c>
      <c r="M143" s="658">
        <f>Calculations!L143/Calculations!L$9</f>
        <v>0</v>
      </c>
      <c r="N143" s="658">
        <f>Calculations!M143/Calculations!M$9</f>
        <v>0</v>
      </c>
      <c r="O143" s="658">
        <f>Calculations!N143/Calculations!N$9</f>
        <v>0</v>
      </c>
      <c r="P143" s="658">
        <f>Calculations!O143/Calculations!O$9</f>
        <v>0</v>
      </c>
      <c r="Q143" s="658">
        <f>Calculations!P143/Calculations!P$9</f>
        <v>0</v>
      </c>
      <c r="R143" s="658">
        <f>Calculations!Q143/Calculations!Q$9</f>
        <v>0</v>
      </c>
      <c r="S143" s="658">
        <f>Calculations!R143/Calculations!R$9</f>
        <v>0</v>
      </c>
      <c r="T143" s="658">
        <f>Calculations!S143/Calculations!S$9</f>
        <v>0</v>
      </c>
      <c r="U143" s="658">
        <f>Calculations!T143/Calculations!T$9</f>
        <v>0</v>
      </c>
      <c r="V143" s="658">
        <f>Calculations!U143/Calculations!U$9</f>
        <v>0</v>
      </c>
      <c r="W143" s="658">
        <f>Calculations!V143/Calculations!V$9</f>
        <v>0</v>
      </c>
      <c r="X143" s="658">
        <f>Calculations!W143/Calculations!W$9</f>
        <v>0</v>
      </c>
      <c r="Y143" s="658">
        <f>Calculations!X143/Calculations!X$9</f>
        <v>0</v>
      </c>
      <c r="Z143" s="658">
        <f>Calculations!Y143/Calculations!Y$9</f>
        <v>0</v>
      </c>
    </row>
    <row r="144" spans="3:26" ht="16.5" customHeight="1" x14ac:dyDescent="0.2">
      <c r="C144" s="512"/>
      <c r="D144" s="655" t="str">
        <f>Calculations!C144</f>
        <v>Cost 2</v>
      </c>
      <c r="E144" s="656">
        <f t="shared" si="22"/>
        <v>0</v>
      </c>
      <c r="F144" s="658">
        <f>Calculations!E144/Calculations!E$9</f>
        <v>0</v>
      </c>
      <c r="G144" s="658">
        <f>Calculations!F144/Calculations!F$9</f>
        <v>0</v>
      </c>
      <c r="H144" s="658">
        <f>Calculations!G144/Calculations!G$9</f>
        <v>0</v>
      </c>
      <c r="I144" s="658">
        <f>Calculations!H144/Calculations!H$9</f>
        <v>0</v>
      </c>
      <c r="J144" s="658">
        <f>Calculations!I144/Calculations!I$9</f>
        <v>0</v>
      </c>
      <c r="K144" s="658">
        <f>Calculations!J144/Calculations!J$9</f>
        <v>0</v>
      </c>
      <c r="L144" s="658">
        <f>Calculations!K144/Calculations!K$9</f>
        <v>0</v>
      </c>
      <c r="M144" s="658">
        <f>Calculations!L144/Calculations!L$9</f>
        <v>0</v>
      </c>
      <c r="N144" s="658">
        <f>Calculations!M144/Calculations!M$9</f>
        <v>0</v>
      </c>
      <c r="O144" s="658">
        <f>Calculations!N144/Calculations!N$9</f>
        <v>0</v>
      </c>
      <c r="P144" s="658">
        <f>Calculations!O144/Calculations!O$9</f>
        <v>0</v>
      </c>
      <c r="Q144" s="658">
        <f>Calculations!P144/Calculations!P$9</f>
        <v>0</v>
      </c>
      <c r="R144" s="658">
        <f>Calculations!Q144/Calculations!Q$9</f>
        <v>0</v>
      </c>
      <c r="S144" s="658">
        <f>Calculations!R144/Calculations!R$9</f>
        <v>0</v>
      </c>
      <c r="T144" s="658">
        <f>Calculations!S144/Calculations!S$9</f>
        <v>0</v>
      </c>
      <c r="U144" s="658">
        <f>Calculations!T144/Calculations!T$9</f>
        <v>0</v>
      </c>
      <c r="V144" s="658">
        <f>Calculations!U144/Calculations!U$9</f>
        <v>0</v>
      </c>
      <c r="W144" s="658">
        <f>Calculations!V144/Calculations!V$9</f>
        <v>0</v>
      </c>
      <c r="X144" s="658">
        <f>Calculations!W144/Calculations!W$9</f>
        <v>0</v>
      </c>
      <c r="Y144" s="658">
        <f>Calculations!X144/Calculations!X$9</f>
        <v>0</v>
      </c>
      <c r="Z144" s="658">
        <f>Calculations!Y144/Calculations!Y$9</f>
        <v>0</v>
      </c>
    </row>
    <row r="145" spans="3:26" ht="16.5" customHeight="1" x14ac:dyDescent="0.2">
      <c r="C145" s="512"/>
      <c r="D145" s="655" t="str">
        <f>Calculations!C145</f>
        <v>Cost 3</v>
      </c>
      <c r="E145" s="656">
        <f t="shared" si="22"/>
        <v>0</v>
      </c>
      <c r="F145" s="658">
        <f>Calculations!E145/Calculations!E$9</f>
        <v>0</v>
      </c>
      <c r="G145" s="658">
        <f>Calculations!F145/Calculations!F$9</f>
        <v>0</v>
      </c>
      <c r="H145" s="658">
        <f>Calculations!G145/Calculations!G$9</f>
        <v>0</v>
      </c>
      <c r="I145" s="658">
        <f>Calculations!H145/Calculations!H$9</f>
        <v>0</v>
      </c>
      <c r="J145" s="658">
        <f>Calculations!I145/Calculations!I$9</f>
        <v>0</v>
      </c>
      <c r="K145" s="658">
        <f>Calculations!J145/Calculations!J$9</f>
        <v>0</v>
      </c>
      <c r="L145" s="658">
        <f>Calculations!K145/Calculations!K$9</f>
        <v>0</v>
      </c>
      <c r="M145" s="658">
        <f>Calculations!L145/Calculations!L$9</f>
        <v>0</v>
      </c>
      <c r="N145" s="658">
        <f>Calculations!M145/Calculations!M$9</f>
        <v>0</v>
      </c>
      <c r="O145" s="658">
        <f>Calculations!N145/Calculations!N$9</f>
        <v>0</v>
      </c>
      <c r="P145" s="658">
        <f>Calculations!O145/Calculations!O$9</f>
        <v>0</v>
      </c>
      <c r="Q145" s="658">
        <f>Calculations!P145/Calculations!P$9</f>
        <v>0</v>
      </c>
      <c r="R145" s="658">
        <f>Calculations!Q145/Calculations!Q$9</f>
        <v>0</v>
      </c>
      <c r="S145" s="658">
        <f>Calculations!R145/Calculations!R$9</f>
        <v>0</v>
      </c>
      <c r="T145" s="658">
        <f>Calculations!S145/Calculations!S$9</f>
        <v>0</v>
      </c>
      <c r="U145" s="658">
        <f>Calculations!T145/Calculations!T$9</f>
        <v>0</v>
      </c>
      <c r="V145" s="658">
        <f>Calculations!U145/Calculations!U$9</f>
        <v>0</v>
      </c>
      <c r="W145" s="658">
        <f>Calculations!V145/Calculations!V$9</f>
        <v>0</v>
      </c>
      <c r="X145" s="658">
        <f>Calculations!W145/Calculations!W$9</f>
        <v>0</v>
      </c>
      <c r="Y145" s="658">
        <f>Calculations!X145/Calculations!X$9</f>
        <v>0</v>
      </c>
      <c r="Z145" s="658">
        <f>Calculations!Y145/Calculations!Y$9</f>
        <v>0</v>
      </c>
    </row>
    <row r="146" spans="3:26" ht="16.5" customHeight="1" x14ac:dyDescent="0.2">
      <c r="C146" s="512"/>
      <c r="D146" s="655" t="str">
        <f>Calculations!C146</f>
        <v>Cost 4</v>
      </c>
      <c r="E146" s="656">
        <f t="shared" si="22"/>
        <v>0</v>
      </c>
      <c r="F146" s="658">
        <f>Calculations!E146/Calculations!E$9</f>
        <v>0</v>
      </c>
      <c r="G146" s="658">
        <f>Calculations!F146/Calculations!F$9</f>
        <v>0</v>
      </c>
      <c r="H146" s="658">
        <f>Calculations!G146/Calculations!G$9</f>
        <v>0</v>
      </c>
      <c r="I146" s="658">
        <f>Calculations!H146/Calculations!H$9</f>
        <v>0</v>
      </c>
      <c r="J146" s="658">
        <f>Calculations!I146/Calculations!I$9</f>
        <v>0</v>
      </c>
      <c r="K146" s="658">
        <f>Calculations!J146/Calculations!J$9</f>
        <v>0</v>
      </c>
      <c r="L146" s="658">
        <f>Calculations!K146/Calculations!K$9</f>
        <v>0</v>
      </c>
      <c r="M146" s="658">
        <f>Calculations!L146/Calculations!L$9</f>
        <v>0</v>
      </c>
      <c r="N146" s="658">
        <f>Calculations!M146/Calculations!M$9</f>
        <v>0</v>
      </c>
      <c r="O146" s="658">
        <f>Calculations!N146/Calculations!N$9</f>
        <v>0</v>
      </c>
      <c r="P146" s="658">
        <f>Calculations!O146/Calculations!O$9</f>
        <v>0</v>
      </c>
      <c r="Q146" s="658">
        <f>Calculations!P146/Calculations!P$9</f>
        <v>0</v>
      </c>
      <c r="R146" s="658">
        <f>Calculations!Q146/Calculations!Q$9</f>
        <v>0</v>
      </c>
      <c r="S146" s="658">
        <f>Calculations!R146/Calculations!R$9</f>
        <v>0</v>
      </c>
      <c r="T146" s="658">
        <f>Calculations!S146/Calculations!S$9</f>
        <v>0</v>
      </c>
      <c r="U146" s="658">
        <f>Calculations!T146/Calculations!T$9</f>
        <v>0</v>
      </c>
      <c r="V146" s="658">
        <f>Calculations!U146/Calculations!U$9</f>
        <v>0</v>
      </c>
      <c r="W146" s="658">
        <f>Calculations!V146/Calculations!V$9</f>
        <v>0</v>
      </c>
      <c r="X146" s="658">
        <f>Calculations!W146/Calculations!W$9</f>
        <v>0</v>
      </c>
      <c r="Y146" s="658">
        <f>Calculations!X146/Calculations!X$9</f>
        <v>0</v>
      </c>
      <c r="Z146" s="658">
        <f>Calculations!Y146/Calculations!Y$9</f>
        <v>0</v>
      </c>
    </row>
    <row r="147" spans="3:26" ht="16.5" customHeight="1" x14ac:dyDescent="0.2">
      <c r="C147" s="512"/>
      <c r="D147" s="655" t="str">
        <f>Calculations!C147</f>
        <v>Cost 5</v>
      </c>
      <c r="E147" s="656">
        <f t="shared" si="22"/>
        <v>0</v>
      </c>
      <c r="F147" s="658">
        <f>Calculations!E147/Calculations!E$9</f>
        <v>0</v>
      </c>
      <c r="G147" s="658">
        <f>Calculations!F147/Calculations!F$9</f>
        <v>0</v>
      </c>
      <c r="H147" s="658">
        <f>Calculations!G147/Calculations!G$9</f>
        <v>0</v>
      </c>
      <c r="I147" s="658">
        <f>Calculations!H147/Calculations!H$9</f>
        <v>0</v>
      </c>
      <c r="J147" s="658">
        <f>Calculations!I147/Calculations!I$9</f>
        <v>0</v>
      </c>
      <c r="K147" s="658">
        <f>Calculations!J147/Calculations!J$9</f>
        <v>0</v>
      </c>
      <c r="L147" s="658">
        <f>Calculations!K147/Calculations!K$9</f>
        <v>0</v>
      </c>
      <c r="M147" s="658">
        <f>Calculations!L147/Calculations!L$9</f>
        <v>0</v>
      </c>
      <c r="N147" s="658">
        <f>Calculations!M147/Calculations!M$9</f>
        <v>0</v>
      </c>
      <c r="O147" s="658">
        <f>Calculations!N147/Calculations!N$9</f>
        <v>0</v>
      </c>
      <c r="P147" s="658">
        <f>Calculations!O147/Calculations!O$9</f>
        <v>0</v>
      </c>
      <c r="Q147" s="658">
        <f>Calculations!P147/Calculations!P$9</f>
        <v>0</v>
      </c>
      <c r="R147" s="658">
        <f>Calculations!Q147/Calculations!Q$9</f>
        <v>0</v>
      </c>
      <c r="S147" s="658">
        <f>Calculations!R147/Calculations!R$9</f>
        <v>0</v>
      </c>
      <c r="T147" s="658">
        <f>Calculations!S147/Calculations!S$9</f>
        <v>0</v>
      </c>
      <c r="U147" s="658">
        <f>Calculations!T147/Calculations!T$9</f>
        <v>0</v>
      </c>
      <c r="V147" s="658">
        <f>Calculations!U147/Calculations!U$9</f>
        <v>0</v>
      </c>
      <c r="W147" s="658">
        <f>Calculations!V147/Calculations!V$9</f>
        <v>0</v>
      </c>
      <c r="X147" s="658">
        <f>Calculations!W147/Calculations!W$9</f>
        <v>0</v>
      </c>
      <c r="Y147" s="658">
        <f>Calculations!X147/Calculations!X$9</f>
        <v>0</v>
      </c>
      <c r="Z147" s="658">
        <f>Calculations!Y147/Calculations!Y$9</f>
        <v>0</v>
      </c>
    </row>
    <row r="148" spans="3:26" ht="16.5" customHeight="1" x14ac:dyDescent="0.2">
      <c r="C148" s="512"/>
      <c r="D148" s="655" t="str">
        <f>Calculations!C148</f>
        <v>Risk 1</v>
      </c>
      <c r="E148" s="656">
        <f t="shared" si="22"/>
        <v>0</v>
      </c>
      <c r="F148" s="658">
        <f>Calculations!E148/Calculations!E$9</f>
        <v>0</v>
      </c>
      <c r="G148" s="658">
        <f>Calculations!F148/Calculations!F$9</f>
        <v>0</v>
      </c>
      <c r="H148" s="658">
        <f>Calculations!G148/Calculations!G$9</f>
        <v>0</v>
      </c>
      <c r="I148" s="658">
        <f>Calculations!H148/Calculations!H$9</f>
        <v>0</v>
      </c>
      <c r="J148" s="658">
        <f>Calculations!I148/Calculations!I$9</f>
        <v>0</v>
      </c>
      <c r="K148" s="658">
        <f>Calculations!J148/Calculations!J$9</f>
        <v>0</v>
      </c>
      <c r="L148" s="658">
        <f>Calculations!K148/Calculations!K$9</f>
        <v>0</v>
      </c>
      <c r="M148" s="658">
        <f>Calculations!L148/Calculations!L$9</f>
        <v>0</v>
      </c>
      <c r="N148" s="658">
        <f>Calculations!M148/Calculations!M$9</f>
        <v>0</v>
      </c>
      <c r="O148" s="658">
        <f>Calculations!N148/Calculations!N$9</f>
        <v>0</v>
      </c>
      <c r="P148" s="658">
        <f>Calculations!O148/Calculations!O$9</f>
        <v>0</v>
      </c>
      <c r="Q148" s="658">
        <f>Calculations!P148/Calculations!P$9</f>
        <v>0</v>
      </c>
      <c r="R148" s="658">
        <f>Calculations!Q148/Calculations!Q$9</f>
        <v>0</v>
      </c>
      <c r="S148" s="658">
        <f>Calculations!R148/Calculations!R$9</f>
        <v>0</v>
      </c>
      <c r="T148" s="658">
        <f>Calculations!S148/Calculations!S$9</f>
        <v>0</v>
      </c>
      <c r="U148" s="658">
        <f>Calculations!T148/Calculations!T$9</f>
        <v>0</v>
      </c>
      <c r="V148" s="658">
        <f>Calculations!U148/Calculations!U$9</f>
        <v>0</v>
      </c>
      <c r="W148" s="658">
        <f>Calculations!V148/Calculations!V$9</f>
        <v>0</v>
      </c>
      <c r="X148" s="658">
        <f>Calculations!W148/Calculations!W$9</f>
        <v>0</v>
      </c>
      <c r="Y148" s="658">
        <f>Calculations!X148/Calculations!X$9</f>
        <v>0</v>
      </c>
      <c r="Z148" s="658">
        <f>Calculations!Y148/Calculations!Y$9</f>
        <v>0</v>
      </c>
    </row>
    <row r="149" spans="3:26" ht="16.5" customHeight="1" x14ac:dyDescent="0.2">
      <c r="C149" s="512"/>
      <c r="D149" s="655" t="str">
        <f>Calculations!C149</f>
        <v>Risk 2</v>
      </c>
      <c r="E149" s="656">
        <f t="shared" si="22"/>
        <v>0</v>
      </c>
      <c r="F149" s="658">
        <f>Calculations!E149/Calculations!E$9</f>
        <v>0</v>
      </c>
      <c r="G149" s="658">
        <f>Calculations!F149/Calculations!F$9</f>
        <v>0</v>
      </c>
      <c r="H149" s="658">
        <f>Calculations!G149/Calculations!G$9</f>
        <v>0</v>
      </c>
      <c r="I149" s="658">
        <f>Calculations!H149/Calculations!H$9</f>
        <v>0</v>
      </c>
      <c r="J149" s="658">
        <f>Calculations!I149/Calculations!I$9</f>
        <v>0</v>
      </c>
      <c r="K149" s="658">
        <f>Calculations!J149/Calculations!J$9</f>
        <v>0</v>
      </c>
      <c r="L149" s="658">
        <f>Calculations!K149/Calculations!K$9</f>
        <v>0</v>
      </c>
      <c r="M149" s="658">
        <f>Calculations!L149/Calculations!L$9</f>
        <v>0</v>
      </c>
      <c r="N149" s="658">
        <f>Calculations!M149/Calculations!M$9</f>
        <v>0</v>
      </c>
      <c r="O149" s="658">
        <f>Calculations!N149/Calculations!N$9</f>
        <v>0</v>
      </c>
      <c r="P149" s="658">
        <f>Calculations!O149/Calculations!O$9</f>
        <v>0</v>
      </c>
      <c r="Q149" s="658">
        <f>Calculations!P149/Calculations!P$9</f>
        <v>0</v>
      </c>
      <c r="R149" s="658">
        <f>Calculations!Q149/Calculations!Q$9</f>
        <v>0</v>
      </c>
      <c r="S149" s="658">
        <f>Calculations!R149/Calculations!R$9</f>
        <v>0</v>
      </c>
      <c r="T149" s="658">
        <f>Calculations!S149/Calculations!S$9</f>
        <v>0</v>
      </c>
      <c r="U149" s="658">
        <f>Calculations!T149/Calculations!T$9</f>
        <v>0</v>
      </c>
      <c r="V149" s="658">
        <f>Calculations!U149/Calculations!U$9</f>
        <v>0</v>
      </c>
      <c r="W149" s="658">
        <f>Calculations!V149/Calculations!V$9</f>
        <v>0</v>
      </c>
      <c r="X149" s="658">
        <f>Calculations!W149/Calculations!W$9</f>
        <v>0</v>
      </c>
      <c r="Y149" s="658">
        <f>Calculations!X149/Calculations!X$9</f>
        <v>0</v>
      </c>
      <c r="Z149" s="658">
        <f>Calculations!Y149/Calculations!Y$9</f>
        <v>0</v>
      </c>
    </row>
    <row r="150" spans="3:26" ht="16.5" customHeight="1" x14ac:dyDescent="0.2">
      <c r="C150" s="512"/>
      <c r="D150" s="655" t="str">
        <f>Calculations!C150</f>
        <v>Risk 3</v>
      </c>
      <c r="E150" s="656">
        <f t="shared" si="22"/>
        <v>0</v>
      </c>
      <c r="F150" s="658">
        <f>Calculations!E150/Calculations!E$9</f>
        <v>0</v>
      </c>
      <c r="G150" s="658">
        <f>Calculations!F150/Calculations!F$9</f>
        <v>0</v>
      </c>
      <c r="H150" s="658">
        <f>Calculations!G150/Calculations!G$9</f>
        <v>0</v>
      </c>
      <c r="I150" s="658">
        <f>Calculations!H150/Calculations!H$9</f>
        <v>0</v>
      </c>
      <c r="J150" s="658">
        <f>Calculations!I150/Calculations!I$9</f>
        <v>0</v>
      </c>
      <c r="K150" s="658">
        <f>Calculations!J150/Calculations!J$9</f>
        <v>0</v>
      </c>
      <c r="L150" s="658">
        <f>Calculations!K150/Calculations!K$9</f>
        <v>0</v>
      </c>
      <c r="M150" s="658">
        <f>Calculations!L150/Calculations!L$9</f>
        <v>0</v>
      </c>
      <c r="N150" s="658">
        <f>Calculations!M150/Calculations!M$9</f>
        <v>0</v>
      </c>
      <c r="O150" s="658">
        <f>Calculations!N150/Calculations!N$9</f>
        <v>0</v>
      </c>
      <c r="P150" s="658">
        <f>Calculations!O150/Calculations!O$9</f>
        <v>0</v>
      </c>
      <c r="Q150" s="658">
        <f>Calculations!P150/Calculations!P$9</f>
        <v>0</v>
      </c>
      <c r="R150" s="658">
        <f>Calculations!Q150/Calculations!Q$9</f>
        <v>0</v>
      </c>
      <c r="S150" s="658">
        <f>Calculations!R150/Calculations!R$9</f>
        <v>0</v>
      </c>
      <c r="T150" s="658">
        <f>Calculations!S150/Calculations!S$9</f>
        <v>0</v>
      </c>
      <c r="U150" s="658">
        <f>Calculations!T150/Calculations!T$9</f>
        <v>0</v>
      </c>
      <c r="V150" s="658">
        <f>Calculations!U150/Calculations!U$9</f>
        <v>0</v>
      </c>
      <c r="W150" s="658">
        <f>Calculations!V150/Calculations!V$9</f>
        <v>0</v>
      </c>
      <c r="X150" s="658">
        <f>Calculations!W150/Calculations!W$9</f>
        <v>0</v>
      </c>
      <c r="Y150" s="658">
        <f>Calculations!X150/Calculations!X$9</f>
        <v>0</v>
      </c>
      <c r="Z150" s="658">
        <f>Calculations!Y150/Calculations!Y$9</f>
        <v>0</v>
      </c>
    </row>
    <row r="151" spans="3:26" ht="16.5" customHeight="1" x14ac:dyDescent="0.2">
      <c r="C151" s="512"/>
      <c r="D151" s="655" t="str">
        <f>Calculations!C151</f>
        <v>Risk 4</v>
      </c>
      <c r="E151" s="656">
        <f t="shared" si="22"/>
        <v>0</v>
      </c>
      <c r="F151" s="658">
        <f>Calculations!E151/Calculations!E$9</f>
        <v>0</v>
      </c>
      <c r="G151" s="658">
        <f>Calculations!F151/Calculations!F$9</f>
        <v>0</v>
      </c>
      <c r="H151" s="658">
        <f>Calculations!G151/Calculations!G$9</f>
        <v>0</v>
      </c>
      <c r="I151" s="658">
        <f>Calculations!H151/Calculations!H$9</f>
        <v>0</v>
      </c>
      <c r="J151" s="658">
        <f>Calculations!I151/Calculations!I$9</f>
        <v>0</v>
      </c>
      <c r="K151" s="658">
        <f>Calculations!J151/Calculations!J$9</f>
        <v>0</v>
      </c>
      <c r="L151" s="658">
        <f>Calculations!K151/Calculations!K$9</f>
        <v>0</v>
      </c>
      <c r="M151" s="658">
        <f>Calculations!L151/Calculations!L$9</f>
        <v>0</v>
      </c>
      <c r="N151" s="658">
        <f>Calculations!M151/Calculations!M$9</f>
        <v>0</v>
      </c>
      <c r="O151" s="658">
        <f>Calculations!N151/Calculations!N$9</f>
        <v>0</v>
      </c>
      <c r="P151" s="658">
        <f>Calculations!O151/Calculations!O$9</f>
        <v>0</v>
      </c>
      <c r="Q151" s="658">
        <f>Calculations!P151/Calculations!P$9</f>
        <v>0</v>
      </c>
      <c r="R151" s="658">
        <f>Calculations!Q151/Calculations!Q$9</f>
        <v>0</v>
      </c>
      <c r="S151" s="658">
        <f>Calculations!R151/Calculations!R$9</f>
        <v>0</v>
      </c>
      <c r="T151" s="658">
        <f>Calculations!S151/Calculations!S$9</f>
        <v>0</v>
      </c>
      <c r="U151" s="658">
        <f>Calculations!T151/Calculations!T$9</f>
        <v>0</v>
      </c>
      <c r="V151" s="658">
        <f>Calculations!U151/Calculations!U$9</f>
        <v>0</v>
      </c>
      <c r="W151" s="658">
        <f>Calculations!V151/Calculations!V$9</f>
        <v>0</v>
      </c>
      <c r="X151" s="658">
        <f>Calculations!W151/Calculations!W$9</f>
        <v>0</v>
      </c>
      <c r="Y151" s="658">
        <f>Calculations!X151/Calculations!X$9</f>
        <v>0</v>
      </c>
      <c r="Z151" s="658">
        <f>Calculations!Y151/Calculations!Y$9</f>
        <v>0</v>
      </c>
    </row>
    <row r="152" spans="3:26" ht="16.5" customHeight="1" x14ac:dyDescent="0.2">
      <c r="C152" s="512"/>
      <c r="D152" s="655" t="str">
        <f>Calculations!C152</f>
        <v>Risk 5</v>
      </c>
      <c r="E152" s="656">
        <f t="shared" si="22"/>
        <v>0</v>
      </c>
      <c r="F152" s="658">
        <f>Calculations!E152/Calculations!E$9</f>
        <v>0</v>
      </c>
      <c r="G152" s="658">
        <f>Calculations!F152/Calculations!F$9</f>
        <v>0</v>
      </c>
      <c r="H152" s="658">
        <f>Calculations!G152/Calculations!G$9</f>
        <v>0</v>
      </c>
      <c r="I152" s="658">
        <f>Calculations!H152/Calculations!H$9</f>
        <v>0</v>
      </c>
      <c r="J152" s="658">
        <f>Calculations!I152/Calculations!I$9</f>
        <v>0</v>
      </c>
      <c r="K152" s="658">
        <f>Calculations!J152/Calculations!J$9</f>
        <v>0</v>
      </c>
      <c r="L152" s="658">
        <f>Calculations!K152/Calculations!K$9</f>
        <v>0</v>
      </c>
      <c r="M152" s="658">
        <f>Calculations!L152/Calculations!L$9</f>
        <v>0</v>
      </c>
      <c r="N152" s="658">
        <f>Calculations!M152/Calculations!M$9</f>
        <v>0</v>
      </c>
      <c r="O152" s="658">
        <f>Calculations!N152/Calculations!N$9</f>
        <v>0</v>
      </c>
      <c r="P152" s="658">
        <f>Calculations!O152/Calculations!O$9</f>
        <v>0</v>
      </c>
      <c r="Q152" s="658">
        <f>Calculations!P152/Calculations!P$9</f>
        <v>0</v>
      </c>
      <c r="R152" s="658">
        <f>Calculations!Q152/Calculations!Q$9</f>
        <v>0</v>
      </c>
      <c r="S152" s="658">
        <f>Calculations!R152/Calculations!R$9</f>
        <v>0</v>
      </c>
      <c r="T152" s="658">
        <f>Calculations!S152/Calculations!S$9</f>
        <v>0</v>
      </c>
      <c r="U152" s="658">
        <f>Calculations!T152/Calculations!T$9</f>
        <v>0</v>
      </c>
      <c r="V152" s="658">
        <f>Calculations!U152/Calculations!U$9</f>
        <v>0</v>
      </c>
      <c r="W152" s="658">
        <f>Calculations!V152/Calculations!V$9</f>
        <v>0</v>
      </c>
      <c r="X152" s="658">
        <f>Calculations!W152/Calculations!W$9</f>
        <v>0</v>
      </c>
      <c r="Y152" s="658">
        <f>Calculations!X152/Calculations!X$9</f>
        <v>0</v>
      </c>
      <c r="Z152" s="658">
        <f>Calculations!Y152/Calculations!Y$9</f>
        <v>0</v>
      </c>
    </row>
    <row r="153" spans="3:26" ht="16.5" customHeight="1" x14ac:dyDescent="0.2">
      <c r="C153" s="512"/>
      <c r="D153" s="655" t="s">
        <v>254</v>
      </c>
      <c r="E153" s="656">
        <f t="shared" ref="E153:Z153" si="23">SUM(E134:E152)-E136</f>
        <v>0</v>
      </c>
      <c r="F153" s="656">
        <f t="shared" si="23"/>
        <v>0</v>
      </c>
      <c r="G153" s="656">
        <f t="shared" si="23"/>
        <v>0</v>
      </c>
      <c r="H153" s="656">
        <f t="shared" si="23"/>
        <v>0</v>
      </c>
      <c r="I153" s="656">
        <f t="shared" si="23"/>
        <v>0</v>
      </c>
      <c r="J153" s="656">
        <f t="shared" si="23"/>
        <v>0</v>
      </c>
      <c r="K153" s="656">
        <f t="shared" si="23"/>
        <v>0</v>
      </c>
      <c r="L153" s="656">
        <f t="shared" si="23"/>
        <v>0</v>
      </c>
      <c r="M153" s="656">
        <f t="shared" si="23"/>
        <v>0</v>
      </c>
      <c r="N153" s="656">
        <f t="shared" si="23"/>
        <v>0</v>
      </c>
      <c r="O153" s="656">
        <f t="shared" si="23"/>
        <v>0</v>
      </c>
      <c r="P153" s="656">
        <f t="shared" si="23"/>
        <v>0</v>
      </c>
      <c r="Q153" s="656">
        <f t="shared" si="23"/>
        <v>0</v>
      </c>
      <c r="R153" s="656">
        <f t="shared" si="23"/>
        <v>0</v>
      </c>
      <c r="S153" s="656">
        <f t="shared" si="23"/>
        <v>0</v>
      </c>
      <c r="T153" s="656">
        <f t="shared" si="23"/>
        <v>0</v>
      </c>
      <c r="U153" s="656">
        <f t="shared" si="23"/>
        <v>0</v>
      </c>
      <c r="V153" s="656">
        <f t="shared" si="23"/>
        <v>0</v>
      </c>
      <c r="W153" s="656">
        <f t="shared" si="23"/>
        <v>0</v>
      </c>
      <c r="X153" s="656">
        <f t="shared" si="23"/>
        <v>0</v>
      </c>
      <c r="Y153" s="656">
        <f t="shared" si="23"/>
        <v>0</v>
      </c>
      <c r="Z153" s="656">
        <f t="shared" si="23"/>
        <v>0</v>
      </c>
    </row>
    <row r="154" spans="3:26" ht="16.5" customHeight="1" x14ac:dyDescent="0.2">
      <c r="C154" s="512"/>
      <c r="D154" s="512"/>
      <c r="E154" s="512"/>
      <c r="F154" s="512"/>
      <c r="G154" s="512"/>
      <c r="H154" s="512"/>
      <c r="I154" s="512"/>
      <c r="J154" s="512"/>
      <c r="K154" s="512"/>
      <c r="L154" s="512"/>
      <c r="M154" s="512"/>
      <c r="N154" s="512"/>
      <c r="O154" s="512"/>
      <c r="P154" s="512"/>
      <c r="Q154" s="512"/>
      <c r="R154" s="512"/>
      <c r="S154" s="512"/>
      <c r="T154" s="512"/>
      <c r="U154" s="512"/>
      <c r="V154" s="512"/>
      <c r="W154" s="512"/>
      <c r="X154" s="512"/>
      <c r="Y154" s="512"/>
      <c r="Z154" s="512"/>
    </row>
    <row r="155" spans="3:26" ht="16.5" customHeight="1" x14ac:dyDescent="0.2">
      <c r="C155" s="512"/>
      <c r="D155" s="512"/>
      <c r="E155" s="512"/>
      <c r="F155" s="512"/>
      <c r="G155" s="512"/>
      <c r="H155" s="512"/>
      <c r="I155" s="512"/>
      <c r="J155" s="512"/>
      <c r="K155" s="512"/>
      <c r="L155" s="512"/>
      <c r="M155" s="512"/>
      <c r="N155" s="512"/>
      <c r="O155" s="512"/>
      <c r="P155" s="512"/>
      <c r="Q155" s="512"/>
      <c r="R155" s="512"/>
      <c r="S155" s="512"/>
      <c r="T155" s="512"/>
      <c r="U155" s="512"/>
      <c r="V155" s="512"/>
      <c r="W155" s="512"/>
      <c r="X155" s="512"/>
      <c r="Y155" s="512"/>
      <c r="Z155" s="512"/>
    </row>
    <row r="156" spans="3:26" ht="16.5" customHeight="1" x14ac:dyDescent="0.2">
      <c r="C156" s="512"/>
      <c r="D156" s="512"/>
      <c r="E156" s="512"/>
      <c r="F156" s="512"/>
      <c r="G156" s="512"/>
      <c r="H156" s="512"/>
      <c r="I156" s="512"/>
      <c r="J156" s="512"/>
      <c r="K156" s="512"/>
      <c r="L156" s="512"/>
      <c r="M156" s="512"/>
      <c r="N156" s="512"/>
      <c r="O156" s="512"/>
      <c r="P156" s="512"/>
      <c r="Q156" s="512"/>
      <c r="R156" s="512"/>
      <c r="S156" s="512"/>
      <c r="T156" s="512"/>
      <c r="U156" s="512"/>
      <c r="V156" s="512"/>
      <c r="W156" s="512"/>
      <c r="X156" s="512"/>
      <c r="Y156" s="512"/>
      <c r="Z156" s="512"/>
    </row>
    <row r="157" spans="3:26" ht="16.5" customHeight="1" x14ac:dyDescent="0.2">
      <c r="C157" s="512"/>
      <c r="D157" s="512"/>
      <c r="E157" s="512"/>
      <c r="F157" s="512"/>
      <c r="G157" s="512"/>
      <c r="H157" s="512"/>
      <c r="I157" s="512"/>
      <c r="J157" s="512"/>
      <c r="K157" s="512"/>
      <c r="L157" s="512"/>
      <c r="M157" s="512"/>
      <c r="N157" s="512"/>
      <c r="O157" s="512"/>
      <c r="P157" s="512"/>
      <c r="Q157" s="512"/>
      <c r="R157" s="512"/>
      <c r="S157" s="512"/>
      <c r="T157" s="512"/>
      <c r="U157" s="512"/>
      <c r="V157" s="512"/>
      <c r="W157" s="512"/>
      <c r="X157" s="512"/>
      <c r="Y157" s="512"/>
      <c r="Z157" s="512"/>
    </row>
    <row r="158" spans="3:26" ht="16.5" customHeight="1" x14ac:dyDescent="0.2">
      <c r="C158" s="512"/>
      <c r="D158" s="512"/>
      <c r="E158" s="512"/>
      <c r="F158" s="512"/>
      <c r="G158" s="512"/>
      <c r="H158" s="512"/>
      <c r="I158" s="512"/>
      <c r="J158" s="512"/>
      <c r="K158" s="512"/>
      <c r="L158" s="512"/>
      <c r="M158" s="512"/>
      <c r="N158" s="512"/>
      <c r="O158" s="512"/>
      <c r="P158" s="512"/>
      <c r="Q158" s="512"/>
      <c r="R158" s="512"/>
      <c r="S158" s="512"/>
      <c r="T158" s="512"/>
      <c r="U158" s="512"/>
      <c r="V158" s="512"/>
      <c r="W158" s="512"/>
      <c r="X158" s="512"/>
      <c r="Y158" s="512"/>
      <c r="Z158" s="512"/>
    </row>
    <row r="159" spans="3:26" ht="16.5" customHeight="1" x14ac:dyDescent="0.2">
      <c r="C159" s="512"/>
      <c r="D159" s="512"/>
      <c r="E159" s="512"/>
      <c r="F159" s="512"/>
      <c r="G159" s="512"/>
      <c r="H159" s="512"/>
      <c r="I159" s="512"/>
      <c r="J159" s="512"/>
      <c r="K159" s="512"/>
      <c r="L159" s="512"/>
      <c r="M159" s="512"/>
      <c r="N159" s="512"/>
      <c r="O159" s="512"/>
      <c r="P159" s="512"/>
      <c r="Q159" s="512"/>
      <c r="R159" s="512"/>
      <c r="S159" s="512"/>
      <c r="T159" s="512"/>
      <c r="U159" s="512"/>
      <c r="V159" s="512"/>
      <c r="W159" s="512"/>
      <c r="X159" s="512"/>
      <c r="Y159" s="512"/>
      <c r="Z159" s="512"/>
    </row>
    <row r="160" spans="3:26" ht="16.5" customHeight="1" x14ac:dyDescent="0.2">
      <c r="C160" s="512"/>
      <c r="D160" s="512"/>
      <c r="E160" s="512"/>
      <c r="F160" s="512"/>
      <c r="G160" s="512"/>
      <c r="H160" s="512"/>
      <c r="I160" s="512"/>
      <c r="J160" s="512"/>
      <c r="K160" s="512"/>
      <c r="L160" s="512"/>
      <c r="M160" s="512"/>
      <c r="N160" s="512"/>
      <c r="O160" s="512"/>
      <c r="P160" s="512"/>
      <c r="Q160" s="512"/>
      <c r="R160" s="512"/>
      <c r="S160" s="512"/>
      <c r="T160" s="512"/>
      <c r="U160" s="512"/>
      <c r="V160" s="512"/>
      <c r="W160" s="512"/>
      <c r="X160" s="512"/>
      <c r="Y160" s="512"/>
      <c r="Z160" s="512"/>
    </row>
    <row r="161" spans="4:26" ht="16.5" customHeight="1" x14ac:dyDescent="0.2">
      <c r="D161" s="512"/>
      <c r="E161" s="512"/>
      <c r="F161" s="512"/>
      <c r="G161" s="512"/>
      <c r="H161" s="512"/>
      <c r="I161" s="512"/>
      <c r="J161" s="512"/>
      <c r="K161" s="512"/>
      <c r="L161" s="512"/>
      <c r="M161" s="512"/>
      <c r="N161" s="512"/>
      <c r="O161" s="512"/>
      <c r="P161" s="512"/>
      <c r="Q161" s="512"/>
      <c r="R161" s="512"/>
      <c r="S161" s="512"/>
      <c r="T161" s="512"/>
      <c r="U161" s="512"/>
      <c r="V161" s="512"/>
      <c r="W161" s="512"/>
      <c r="X161" s="512"/>
      <c r="Y161" s="512"/>
      <c r="Z161" s="512"/>
    </row>
    <row r="162" spans="4:26" ht="16.5" customHeight="1" x14ac:dyDescent="0.2">
      <c r="D162" s="512"/>
      <c r="E162" s="512"/>
      <c r="F162" s="512"/>
      <c r="G162" s="512"/>
      <c r="H162" s="512"/>
      <c r="I162" s="512"/>
      <c r="J162" s="512"/>
      <c r="K162" s="512"/>
      <c r="L162" s="512"/>
      <c r="M162" s="512"/>
      <c r="N162" s="512"/>
      <c r="O162" s="512"/>
      <c r="P162" s="512"/>
      <c r="Q162" s="512"/>
      <c r="R162" s="512"/>
      <c r="S162" s="512"/>
      <c r="T162" s="512"/>
      <c r="U162" s="512"/>
      <c r="V162" s="512"/>
      <c r="W162" s="512"/>
      <c r="X162" s="512"/>
      <c r="Y162" s="512"/>
      <c r="Z162" s="512"/>
    </row>
    <row r="163" spans="4:26" ht="16.5" customHeight="1" x14ac:dyDescent="0.2">
      <c r="D163" s="512"/>
      <c r="E163" s="512"/>
      <c r="F163" s="512"/>
      <c r="G163" s="512"/>
      <c r="H163" s="512"/>
      <c r="I163" s="512"/>
      <c r="J163" s="512"/>
      <c r="K163" s="512"/>
      <c r="L163" s="512"/>
      <c r="M163" s="512"/>
      <c r="N163" s="512"/>
      <c r="O163" s="512"/>
      <c r="P163" s="512"/>
      <c r="Q163" s="512"/>
      <c r="R163" s="512"/>
      <c r="S163" s="512"/>
      <c r="T163" s="512"/>
      <c r="U163" s="512"/>
      <c r="V163" s="512"/>
      <c r="W163" s="512"/>
      <c r="X163" s="512"/>
      <c r="Y163" s="512"/>
      <c r="Z163" s="512"/>
    </row>
    <row r="164" spans="4:26" ht="16.5" customHeight="1" x14ac:dyDescent="0.2">
      <c r="D164" s="512"/>
      <c r="E164" s="512"/>
      <c r="F164" s="512"/>
      <c r="G164" s="512"/>
      <c r="H164" s="512"/>
      <c r="I164" s="512"/>
      <c r="J164" s="512"/>
      <c r="K164" s="512"/>
      <c r="L164" s="512"/>
      <c r="M164" s="512"/>
      <c r="N164" s="512"/>
      <c r="O164" s="512"/>
      <c r="P164" s="512"/>
      <c r="Q164" s="512"/>
      <c r="R164" s="512"/>
      <c r="S164" s="512"/>
      <c r="T164" s="512"/>
      <c r="U164" s="512"/>
      <c r="V164" s="512"/>
      <c r="W164" s="512"/>
      <c r="X164" s="512"/>
      <c r="Y164" s="512"/>
      <c r="Z164" s="512"/>
    </row>
    <row r="165" spans="4:26" ht="16.5" customHeight="1" x14ac:dyDescent="0.2">
      <c r="D165" s="512"/>
      <c r="E165" s="512"/>
      <c r="F165" s="512"/>
      <c r="G165" s="512"/>
      <c r="H165" s="512"/>
      <c r="I165" s="512"/>
      <c r="J165" s="512"/>
      <c r="K165" s="512"/>
      <c r="L165" s="512"/>
      <c r="M165" s="512"/>
      <c r="N165" s="512"/>
      <c r="O165" s="512"/>
      <c r="P165" s="512"/>
      <c r="Q165" s="512"/>
      <c r="R165" s="512"/>
      <c r="S165" s="512"/>
      <c r="T165" s="512"/>
      <c r="U165" s="512"/>
      <c r="V165" s="512"/>
      <c r="W165" s="512"/>
      <c r="X165" s="512"/>
      <c r="Y165" s="512"/>
      <c r="Z165" s="512"/>
    </row>
    <row r="166" spans="4:26" ht="16.5" customHeight="1" x14ac:dyDescent="0.2">
      <c r="D166" s="512"/>
      <c r="E166" s="512"/>
      <c r="F166" s="512"/>
      <c r="G166" s="512"/>
      <c r="H166" s="512"/>
      <c r="I166" s="512"/>
      <c r="J166" s="512"/>
      <c r="K166" s="512"/>
      <c r="L166" s="512"/>
      <c r="M166" s="512"/>
      <c r="N166" s="512"/>
      <c r="O166" s="512"/>
      <c r="P166" s="512"/>
      <c r="Q166" s="512"/>
      <c r="R166" s="512"/>
      <c r="S166" s="512"/>
      <c r="T166" s="512"/>
      <c r="U166" s="512"/>
      <c r="V166" s="512"/>
      <c r="W166" s="512"/>
      <c r="X166" s="512"/>
      <c r="Y166" s="512"/>
      <c r="Z166" s="512"/>
    </row>
    <row r="167" spans="4:26" ht="16.5" customHeight="1" x14ac:dyDescent="0.2">
      <c r="D167" s="512"/>
      <c r="E167" s="512"/>
      <c r="F167" s="512"/>
      <c r="G167" s="512"/>
      <c r="H167" s="512"/>
      <c r="I167" s="512"/>
      <c r="J167" s="512"/>
      <c r="K167" s="512"/>
      <c r="L167" s="512"/>
      <c r="M167" s="512"/>
      <c r="N167" s="512"/>
      <c r="O167" s="512"/>
      <c r="P167" s="512"/>
      <c r="Q167" s="512"/>
      <c r="R167" s="512"/>
      <c r="S167" s="512"/>
      <c r="T167" s="512"/>
      <c r="U167" s="512"/>
      <c r="V167" s="512"/>
      <c r="W167" s="512"/>
      <c r="X167" s="512"/>
      <c r="Y167" s="512"/>
      <c r="Z167" s="512"/>
    </row>
    <row r="168" spans="4:26" ht="16.5" customHeight="1" x14ac:dyDescent="0.2">
      <c r="D168" s="512"/>
      <c r="E168" s="512"/>
      <c r="F168" s="512"/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512"/>
      <c r="R168" s="512"/>
      <c r="S168" s="512"/>
      <c r="T168" s="512"/>
      <c r="U168" s="512"/>
      <c r="V168" s="512"/>
      <c r="W168" s="512"/>
      <c r="X168" s="512"/>
      <c r="Y168" s="512"/>
      <c r="Z168" s="512"/>
    </row>
    <row r="169" spans="4:26" ht="16.5" customHeight="1" x14ac:dyDescent="0.2">
      <c r="D169" s="512"/>
      <c r="E169" s="512"/>
      <c r="F169" s="512"/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512"/>
      <c r="Y169" s="512"/>
      <c r="Z169" s="512"/>
    </row>
    <row r="170" spans="4:26" ht="16.5" customHeight="1" x14ac:dyDescent="0.2">
      <c r="D170" s="512"/>
      <c r="E170" s="512"/>
      <c r="F170" s="512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512"/>
      <c r="Y170" s="512"/>
      <c r="Z170" s="512"/>
    </row>
    <row r="171" spans="4:26" ht="16.5" customHeight="1" x14ac:dyDescent="0.2">
      <c r="D171" s="512"/>
      <c r="E171" s="512"/>
      <c r="F171" s="512"/>
      <c r="G171" s="512"/>
      <c r="H171" s="512"/>
      <c r="I171" s="512"/>
      <c r="J171" s="512"/>
      <c r="K171" s="512"/>
      <c r="L171" s="512"/>
      <c r="M171" s="512"/>
      <c r="N171" s="512"/>
      <c r="O171" s="512"/>
      <c r="P171" s="512"/>
      <c r="Q171" s="512"/>
      <c r="R171" s="512"/>
      <c r="S171" s="512"/>
      <c r="T171" s="512"/>
      <c r="U171" s="512"/>
      <c r="V171" s="512"/>
      <c r="W171" s="512"/>
      <c r="X171" s="512"/>
      <c r="Y171" s="512"/>
      <c r="Z171" s="512"/>
    </row>
    <row r="172" spans="4:26" ht="16.5" customHeight="1" x14ac:dyDescent="0.2">
      <c r="D172" s="512"/>
      <c r="E172" s="512"/>
      <c r="F172" s="512"/>
      <c r="G172" s="512"/>
      <c r="H172" s="512"/>
      <c r="I172" s="512"/>
      <c r="J172" s="512"/>
      <c r="K172" s="512"/>
      <c r="L172" s="512"/>
      <c r="M172" s="512"/>
      <c r="N172" s="512"/>
      <c r="O172" s="512"/>
      <c r="P172" s="512"/>
      <c r="Q172" s="512"/>
      <c r="R172" s="512"/>
      <c r="S172" s="512"/>
      <c r="T172" s="512"/>
      <c r="U172" s="512"/>
      <c r="V172" s="512"/>
      <c r="W172" s="512"/>
      <c r="X172" s="512"/>
      <c r="Y172" s="512"/>
      <c r="Z172" s="512"/>
    </row>
    <row r="173" spans="4:26" ht="16.5" customHeight="1" x14ac:dyDescent="0.2">
      <c r="D173" s="512"/>
      <c r="E173" s="512"/>
      <c r="F173" s="512"/>
      <c r="G173" s="512"/>
      <c r="H173" s="512"/>
      <c r="I173" s="512"/>
      <c r="J173" s="512"/>
      <c r="K173" s="512"/>
      <c r="L173" s="512"/>
      <c r="M173" s="512"/>
      <c r="N173" s="512"/>
      <c r="O173" s="512"/>
      <c r="P173" s="512"/>
      <c r="Q173" s="512"/>
      <c r="R173" s="512"/>
      <c r="S173" s="512"/>
      <c r="T173" s="512"/>
      <c r="U173" s="512"/>
      <c r="V173" s="512"/>
      <c r="W173" s="512"/>
      <c r="X173" s="512"/>
      <c r="Y173" s="512"/>
      <c r="Z173" s="512"/>
    </row>
    <row r="174" spans="4:26" ht="16.5" customHeight="1" x14ac:dyDescent="0.2">
      <c r="D174" s="512"/>
      <c r="E174" s="512"/>
      <c r="F174" s="512"/>
      <c r="G174" s="512"/>
      <c r="H174" s="512"/>
      <c r="I174" s="512"/>
      <c r="J174" s="512"/>
      <c r="K174" s="512"/>
      <c r="L174" s="512"/>
      <c r="M174" s="512"/>
      <c r="N174" s="512"/>
      <c r="O174" s="512"/>
      <c r="P174" s="512"/>
      <c r="Q174" s="512"/>
      <c r="R174" s="512"/>
      <c r="S174" s="512"/>
      <c r="T174" s="512"/>
      <c r="U174" s="512"/>
      <c r="V174" s="512"/>
      <c r="W174" s="512"/>
      <c r="X174" s="512"/>
      <c r="Y174" s="512"/>
      <c r="Z174" s="512"/>
    </row>
    <row r="175" spans="4:26" ht="16.5" customHeight="1" x14ac:dyDescent="0.2">
      <c r="D175" s="512"/>
      <c r="E175" s="512"/>
      <c r="F175" s="512"/>
      <c r="G175" s="512"/>
      <c r="H175" s="512"/>
      <c r="I175" s="512"/>
      <c r="J175" s="512"/>
      <c r="K175" s="512"/>
      <c r="L175" s="512"/>
      <c r="M175" s="512"/>
      <c r="N175" s="512"/>
      <c r="O175" s="512"/>
      <c r="P175" s="512"/>
      <c r="Q175" s="512"/>
      <c r="R175" s="512"/>
      <c r="S175" s="512"/>
      <c r="T175" s="512"/>
      <c r="U175" s="512"/>
      <c r="V175" s="512"/>
      <c r="W175" s="512"/>
      <c r="X175" s="512"/>
      <c r="Y175" s="512"/>
      <c r="Z175" s="512"/>
    </row>
    <row r="176" spans="4:26" ht="16.5" customHeight="1" x14ac:dyDescent="0.2">
      <c r="D176" s="512"/>
      <c r="E176" s="512"/>
      <c r="F176" s="512"/>
      <c r="G176" s="512"/>
      <c r="H176" s="512"/>
      <c r="I176" s="512"/>
      <c r="J176" s="512"/>
      <c r="K176" s="512"/>
      <c r="L176" s="512"/>
      <c r="M176" s="512"/>
      <c r="N176" s="512"/>
      <c r="O176" s="512"/>
      <c r="P176" s="512"/>
      <c r="Q176" s="512"/>
      <c r="R176" s="512"/>
      <c r="S176" s="512"/>
      <c r="T176" s="512"/>
      <c r="U176" s="512"/>
      <c r="V176" s="512"/>
      <c r="W176" s="512"/>
      <c r="X176" s="512"/>
      <c r="Y176" s="512"/>
      <c r="Z176" s="512"/>
    </row>
    <row r="177" spans="4:26" ht="16.5" customHeight="1" x14ac:dyDescent="0.2">
      <c r="D177" s="512"/>
      <c r="E177" s="512"/>
      <c r="F177" s="512"/>
      <c r="G177" s="512"/>
      <c r="H177" s="512"/>
      <c r="I177" s="512"/>
      <c r="J177" s="512"/>
      <c r="K177" s="512"/>
      <c r="L177" s="512"/>
      <c r="M177" s="512"/>
      <c r="N177" s="512"/>
      <c r="O177" s="512"/>
      <c r="P177" s="512"/>
      <c r="Q177" s="512"/>
      <c r="R177" s="512"/>
      <c r="S177" s="512"/>
      <c r="T177" s="512"/>
      <c r="U177" s="512"/>
      <c r="V177" s="512"/>
      <c r="W177" s="512"/>
      <c r="X177" s="512"/>
      <c r="Y177" s="512"/>
      <c r="Z177" s="512"/>
    </row>
    <row r="178" spans="4:26" ht="16.5" customHeight="1" x14ac:dyDescent="0.2">
      <c r="D178" s="512"/>
      <c r="E178" s="512"/>
      <c r="F178" s="512"/>
      <c r="G178" s="512"/>
      <c r="H178" s="512"/>
      <c r="I178" s="512"/>
      <c r="J178" s="512"/>
      <c r="K178" s="512"/>
      <c r="L178" s="512"/>
      <c r="M178" s="512"/>
      <c r="N178" s="512"/>
      <c r="O178" s="512"/>
      <c r="P178" s="512"/>
      <c r="Q178" s="512"/>
      <c r="R178" s="512"/>
      <c r="S178" s="512"/>
      <c r="T178" s="512"/>
      <c r="U178" s="512"/>
      <c r="V178" s="512"/>
      <c r="W178" s="512"/>
      <c r="X178" s="512"/>
      <c r="Y178" s="512"/>
      <c r="Z178" s="512"/>
    </row>
    <row r="179" spans="4:26" ht="16.5" customHeight="1" x14ac:dyDescent="0.2">
      <c r="D179" s="512"/>
      <c r="E179" s="512"/>
      <c r="F179" s="512"/>
      <c r="G179" s="512"/>
      <c r="H179" s="512"/>
      <c r="I179" s="512"/>
      <c r="J179" s="512"/>
      <c r="K179" s="512"/>
      <c r="L179" s="512"/>
      <c r="M179" s="512"/>
      <c r="N179" s="512"/>
      <c r="O179" s="512"/>
      <c r="P179" s="512"/>
      <c r="Q179" s="512"/>
      <c r="R179" s="512"/>
      <c r="S179" s="512"/>
      <c r="T179" s="512"/>
      <c r="U179" s="512"/>
      <c r="V179" s="512"/>
      <c r="W179" s="512"/>
      <c r="X179" s="512"/>
      <c r="Y179" s="512"/>
      <c r="Z179" s="512"/>
    </row>
    <row r="180" spans="4:26" ht="16.5" customHeight="1" x14ac:dyDescent="0.2">
      <c r="D180" s="512"/>
      <c r="E180" s="512"/>
      <c r="F180" s="512"/>
      <c r="G180" s="512"/>
      <c r="H180" s="512"/>
      <c r="I180" s="512"/>
      <c r="J180" s="512"/>
      <c r="K180" s="512"/>
      <c r="L180" s="512"/>
      <c r="M180" s="512"/>
      <c r="N180" s="512"/>
      <c r="O180" s="512"/>
      <c r="P180" s="512"/>
      <c r="Q180" s="512"/>
      <c r="R180" s="512"/>
      <c r="S180" s="512"/>
      <c r="T180" s="512"/>
      <c r="U180" s="512"/>
      <c r="V180" s="512"/>
      <c r="W180" s="512"/>
      <c r="X180" s="512"/>
      <c r="Y180" s="512"/>
      <c r="Z180" s="512"/>
    </row>
    <row r="181" spans="4:26" ht="16.5" customHeight="1" x14ac:dyDescent="0.2">
      <c r="D181" s="512"/>
      <c r="E181" s="512"/>
      <c r="F181" s="512"/>
      <c r="G181" s="512"/>
      <c r="H181" s="512"/>
      <c r="I181" s="512"/>
      <c r="J181" s="512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2"/>
      <c r="V181" s="512"/>
      <c r="W181" s="512"/>
      <c r="X181" s="512"/>
      <c r="Y181" s="512"/>
      <c r="Z181" s="512"/>
    </row>
    <row r="182" spans="4:26" ht="16.5" customHeight="1" x14ac:dyDescent="0.2">
      <c r="D182" s="512"/>
      <c r="E182" s="512"/>
      <c r="F182" s="512"/>
      <c r="G182" s="512"/>
      <c r="H182" s="512"/>
      <c r="I182" s="512"/>
      <c r="J182" s="512"/>
      <c r="K182" s="512"/>
      <c r="L182" s="512"/>
      <c r="M182" s="512"/>
      <c r="N182" s="512"/>
      <c r="O182" s="512"/>
      <c r="P182" s="512"/>
      <c r="Q182" s="512"/>
      <c r="R182" s="512"/>
      <c r="S182" s="512"/>
      <c r="T182" s="512"/>
      <c r="U182" s="512"/>
      <c r="V182" s="512"/>
      <c r="W182" s="512"/>
      <c r="X182" s="512"/>
      <c r="Y182" s="512"/>
      <c r="Z182" s="512"/>
    </row>
    <row r="183" spans="4:26" ht="16.5" customHeight="1" x14ac:dyDescent="0.2">
      <c r="D183" s="512"/>
      <c r="E183" s="512"/>
      <c r="F183" s="512"/>
      <c r="G183" s="512"/>
      <c r="H183" s="512"/>
      <c r="I183" s="512"/>
      <c r="J183" s="512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512"/>
      <c r="Y183" s="512"/>
      <c r="Z183" s="512"/>
    </row>
    <row r="184" spans="4:26" ht="16.5" customHeight="1" x14ac:dyDescent="0.2">
      <c r="D184" s="512"/>
      <c r="E184" s="512"/>
      <c r="F184" s="512"/>
      <c r="G184" s="512"/>
      <c r="H184" s="512"/>
      <c r="I184" s="512"/>
      <c r="J184" s="512"/>
      <c r="K184" s="512"/>
      <c r="L184" s="512"/>
      <c r="M184" s="512"/>
      <c r="N184" s="512"/>
      <c r="O184" s="512"/>
      <c r="P184" s="512"/>
      <c r="Q184" s="512"/>
      <c r="R184" s="512"/>
      <c r="S184" s="512"/>
      <c r="T184" s="512"/>
      <c r="U184" s="512"/>
      <c r="V184" s="512"/>
      <c r="W184" s="512"/>
      <c r="X184" s="512"/>
      <c r="Y184" s="512"/>
      <c r="Z184" s="512"/>
    </row>
    <row r="185" spans="4:26" ht="16.5" customHeight="1" x14ac:dyDescent="0.2">
      <c r="D185" s="512"/>
      <c r="E185" s="512"/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2"/>
      <c r="W185" s="512"/>
      <c r="X185" s="512"/>
      <c r="Y185" s="512"/>
      <c r="Z185" s="512"/>
    </row>
    <row r="186" spans="4:26" ht="16.5" customHeight="1" x14ac:dyDescent="0.2">
      <c r="D186" s="512"/>
      <c r="E186" s="512"/>
      <c r="F186" s="512"/>
      <c r="G186" s="512"/>
      <c r="H186" s="512"/>
      <c r="I186" s="512"/>
      <c r="J186" s="512"/>
      <c r="K186" s="512"/>
      <c r="L186" s="512"/>
      <c r="M186" s="512"/>
      <c r="N186" s="512"/>
      <c r="O186" s="512"/>
      <c r="P186" s="512"/>
      <c r="Q186" s="512"/>
      <c r="R186" s="512"/>
      <c r="S186" s="512"/>
      <c r="T186" s="512"/>
      <c r="U186" s="512"/>
      <c r="V186" s="512"/>
      <c r="W186" s="512"/>
      <c r="X186" s="512"/>
      <c r="Y186" s="512"/>
      <c r="Z186" s="512"/>
    </row>
    <row r="187" spans="4:26" ht="16.5" customHeight="1" x14ac:dyDescent="0.2">
      <c r="D187" s="512"/>
      <c r="E187" s="512"/>
      <c r="F187" s="512"/>
      <c r="G187" s="512"/>
      <c r="H187" s="512"/>
      <c r="I187" s="512"/>
      <c r="J187" s="512"/>
      <c r="K187" s="512"/>
      <c r="L187" s="512"/>
      <c r="M187" s="512"/>
      <c r="N187" s="512"/>
      <c r="O187" s="512"/>
      <c r="P187" s="512"/>
      <c r="Q187" s="512"/>
      <c r="R187" s="512"/>
      <c r="S187" s="512"/>
      <c r="T187" s="512"/>
      <c r="U187" s="512"/>
      <c r="V187" s="512"/>
      <c r="W187" s="512"/>
      <c r="X187" s="512"/>
      <c r="Y187" s="512"/>
      <c r="Z187" s="512"/>
    </row>
    <row r="188" spans="4:26" ht="16.5" customHeight="1" x14ac:dyDescent="0.2">
      <c r="D188" s="512"/>
      <c r="E188" s="512"/>
      <c r="F188" s="512"/>
      <c r="G188" s="512"/>
      <c r="H188" s="512"/>
      <c r="I188" s="512"/>
      <c r="J188" s="512"/>
      <c r="K188" s="512"/>
      <c r="L188" s="512"/>
      <c r="M188" s="512"/>
      <c r="N188" s="512"/>
      <c r="O188" s="512"/>
      <c r="P188" s="512"/>
      <c r="Q188" s="512"/>
      <c r="R188" s="512"/>
      <c r="S188" s="512"/>
      <c r="T188" s="512"/>
      <c r="U188" s="512"/>
      <c r="V188" s="512"/>
      <c r="W188" s="512"/>
      <c r="X188" s="512"/>
      <c r="Y188" s="512"/>
      <c r="Z188" s="512"/>
    </row>
    <row r="189" spans="4:26" ht="16.5" customHeight="1" x14ac:dyDescent="0.2">
      <c r="D189" s="512"/>
      <c r="E189" s="512"/>
      <c r="F189" s="512"/>
      <c r="G189" s="512"/>
      <c r="H189" s="512"/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2"/>
      <c r="Z189" s="512"/>
    </row>
    <row r="190" spans="4:26" ht="16.5" customHeight="1" x14ac:dyDescent="0.2">
      <c r="D190" s="512"/>
      <c r="E190" s="512"/>
      <c r="F190" s="512"/>
      <c r="G190" s="512"/>
      <c r="H190" s="512"/>
      <c r="I190" s="512"/>
      <c r="J190" s="512"/>
      <c r="K190" s="512"/>
      <c r="L190" s="512"/>
      <c r="M190" s="512"/>
      <c r="N190" s="512"/>
      <c r="O190" s="512"/>
      <c r="P190" s="512"/>
      <c r="Q190" s="512"/>
      <c r="R190" s="512"/>
      <c r="S190" s="512"/>
      <c r="T190" s="512"/>
      <c r="U190" s="512"/>
      <c r="V190" s="512"/>
      <c r="W190" s="512"/>
      <c r="X190" s="512"/>
      <c r="Y190" s="512"/>
      <c r="Z190" s="512"/>
    </row>
    <row r="191" spans="4:26" ht="16.5" customHeight="1" x14ac:dyDescent="0.2">
      <c r="D191" s="512"/>
      <c r="E191" s="512"/>
      <c r="F191" s="512"/>
      <c r="G191" s="512"/>
      <c r="H191" s="512"/>
      <c r="I191" s="512"/>
      <c r="J191" s="512"/>
      <c r="K191" s="512"/>
      <c r="L191" s="512"/>
      <c r="M191" s="512"/>
      <c r="N191" s="512"/>
      <c r="O191" s="512"/>
      <c r="P191" s="512"/>
      <c r="Q191" s="512"/>
      <c r="R191" s="512"/>
      <c r="S191" s="512"/>
      <c r="T191" s="512"/>
      <c r="U191" s="512"/>
      <c r="V191" s="512"/>
      <c r="W191" s="512"/>
      <c r="X191" s="512"/>
      <c r="Y191" s="512"/>
      <c r="Z191" s="512"/>
    </row>
    <row r="192" spans="4:26" ht="16.5" customHeight="1" x14ac:dyDescent="0.2">
      <c r="D192" s="512"/>
      <c r="E192" s="512"/>
      <c r="F192" s="512"/>
      <c r="G192" s="512"/>
      <c r="H192" s="512"/>
      <c r="I192" s="512"/>
      <c r="J192" s="512"/>
      <c r="K192" s="512"/>
      <c r="L192" s="512"/>
      <c r="M192" s="512"/>
      <c r="N192" s="512"/>
      <c r="O192" s="512"/>
      <c r="P192" s="512"/>
      <c r="Q192" s="512"/>
      <c r="R192" s="512"/>
      <c r="S192" s="512"/>
      <c r="T192" s="512"/>
      <c r="U192" s="512"/>
      <c r="V192" s="512"/>
      <c r="W192" s="512"/>
      <c r="X192" s="512"/>
      <c r="Y192" s="512"/>
      <c r="Z192" s="512"/>
    </row>
    <row r="193" spans="4:26" ht="16.5" customHeight="1" x14ac:dyDescent="0.2">
      <c r="D193" s="512"/>
      <c r="E193" s="512"/>
      <c r="F193" s="512"/>
      <c r="G193" s="512"/>
      <c r="H193" s="512"/>
      <c r="I193" s="512"/>
      <c r="J193" s="512"/>
      <c r="K193" s="512"/>
      <c r="L193" s="512"/>
      <c r="M193" s="512"/>
      <c r="N193" s="512"/>
      <c r="O193" s="512"/>
      <c r="P193" s="512"/>
      <c r="Q193" s="512"/>
      <c r="R193" s="512"/>
      <c r="S193" s="512"/>
      <c r="T193" s="512"/>
      <c r="U193" s="512"/>
      <c r="V193" s="512"/>
      <c r="W193" s="512"/>
      <c r="X193" s="512"/>
      <c r="Y193" s="512"/>
      <c r="Z193" s="512"/>
    </row>
    <row r="194" spans="4:26" ht="16.5" customHeight="1" x14ac:dyDescent="0.2">
      <c r="D194" s="512"/>
      <c r="E194" s="512"/>
      <c r="F194" s="512"/>
      <c r="G194" s="512"/>
      <c r="H194" s="512"/>
      <c r="I194" s="512"/>
      <c r="J194" s="512"/>
      <c r="K194" s="512"/>
      <c r="L194" s="512"/>
      <c r="M194" s="512"/>
      <c r="N194" s="512"/>
      <c r="O194" s="512"/>
      <c r="P194" s="512"/>
      <c r="Q194" s="512"/>
      <c r="R194" s="512"/>
      <c r="S194" s="512"/>
      <c r="T194" s="512"/>
      <c r="U194" s="512"/>
      <c r="V194" s="512"/>
      <c r="W194" s="512"/>
      <c r="X194" s="512"/>
      <c r="Y194" s="512"/>
      <c r="Z194" s="512"/>
    </row>
    <row r="195" spans="4:26" ht="16.5" customHeight="1" x14ac:dyDescent="0.2">
      <c r="D195" s="512"/>
      <c r="E195" s="512"/>
      <c r="F195" s="512"/>
      <c r="G195" s="512"/>
      <c r="H195" s="512"/>
      <c r="I195" s="512"/>
      <c r="J195" s="512"/>
      <c r="K195" s="512"/>
      <c r="L195" s="512"/>
      <c r="M195" s="512"/>
      <c r="N195" s="512"/>
      <c r="O195" s="512"/>
      <c r="P195" s="512"/>
      <c r="Q195" s="512"/>
      <c r="R195" s="512"/>
      <c r="S195" s="512"/>
      <c r="T195" s="512"/>
      <c r="U195" s="512"/>
      <c r="V195" s="512"/>
      <c r="W195" s="512"/>
      <c r="X195" s="512"/>
      <c r="Y195" s="512"/>
      <c r="Z195" s="512"/>
    </row>
    <row r="196" spans="4:26" ht="16.5" customHeight="1" x14ac:dyDescent="0.2">
      <c r="D196" s="512"/>
      <c r="E196" s="512"/>
      <c r="F196" s="512"/>
      <c r="G196" s="512"/>
      <c r="H196" s="512"/>
      <c r="I196" s="512"/>
      <c r="J196" s="512"/>
      <c r="K196" s="512"/>
      <c r="L196" s="512"/>
      <c r="M196" s="512"/>
      <c r="N196" s="512"/>
      <c r="O196" s="512"/>
      <c r="P196" s="512"/>
      <c r="Q196" s="512"/>
      <c r="R196" s="512"/>
      <c r="S196" s="512"/>
      <c r="T196" s="512"/>
      <c r="U196" s="512"/>
      <c r="V196" s="512"/>
      <c r="W196" s="512"/>
      <c r="X196" s="512"/>
      <c r="Y196" s="512"/>
      <c r="Z196" s="512"/>
    </row>
    <row r="197" spans="4:26" ht="16.5" customHeight="1" x14ac:dyDescent="0.2">
      <c r="D197" s="512"/>
      <c r="E197" s="512"/>
      <c r="F197" s="512"/>
      <c r="G197" s="512"/>
      <c r="H197" s="512"/>
      <c r="I197" s="512"/>
      <c r="J197" s="512"/>
      <c r="K197" s="512"/>
      <c r="L197" s="512"/>
      <c r="M197" s="512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  <c r="Z197" s="512"/>
    </row>
    <row r="198" spans="4:26" ht="16.5" customHeight="1" x14ac:dyDescent="0.2">
      <c r="D198" s="512"/>
      <c r="E198" s="512"/>
      <c r="F198" s="512"/>
      <c r="G198" s="512"/>
      <c r="H198" s="512"/>
      <c r="I198" s="512"/>
      <c r="J198" s="512"/>
      <c r="K198" s="512"/>
      <c r="L198" s="512"/>
      <c r="M198" s="512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  <c r="Z198" s="512"/>
    </row>
    <row r="199" spans="4:26" ht="16.5" customHeight="1" x14ac:dyDescent="0.2">
      <c r="D199" s="512"/>
      <c r="E199" s="512"/>
      <c r="F199" s="512"/>
      <c r="G199" s="512"/>
      <c r="H199" s="512"/>
      <c r="I199" s="512"/>
      <c r="J199" s="512"/>
      <c r="K199" s="512"/>
      <c r="L199" s="512"/>
      <c r="M199" s="512"/>
      <c r="N199" s="512"/>
      <c r="O199" s="512"/>
      <c r="P199" s="512"/>
      <c r="Q199" s="512"/>
      <c r="R199" s="512"/>
      <c r="S199" s="512"/>
      <c r="T199" s="512"/>
      <c r="U199" s="512"/>
      <c r="V199" s="512"/>
      <c r="W199" s="512"/>
      <c r="X199" s="512"/>
      <c r="Y199" s="512"/>
      <c r="Z199" s="512"/>
    </row>
    <row r="200" spans="4:26" ht="16.5" customHeight="1" x14ac:dyDescent="0.2">
      <c r="D200" s="512"/>
      <c r="E200" s="512"/>
      <c r="F200" s="512"/>
      <c r="G200" s="512"/>
      <c r="H200" s="512"/>
      <c r="I200" s="512"/>
      <c r="J200" s="512"/>
      <c r="K200" s="512"/>
      <c r="L200" s="512"/>
      <c r="M200" s="512"/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Z200" s="512"/>
    </row>
    <row r="201" spans="4:26" ht="16.5" customHeight="1" x14ac:dyDescent="0.2">
      <c r="D201" s="512"/>
      <c r="E201" s="512"/>
      <c r="F201" s="512"/>
      <c r="G201" s="512"/>
      <c r="H201" s="512"/>
      <c r="I201" s="512"/>
      <c r="J201" s="512"/>
      <c r="K201" s="512"/>
      <c r="L201" s="512"/>
      <c r="M201" s="512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  <c r="Z201" s="512"/>
    </row>
    <row r="202" spans="4:26" ht="16.5" customHeight="1" x14ac:dyDescent="0.2">
      <c r="D202" s="512"/>
      <c r="E202" s="512"/>
      <c r="F202" s="512"/>
      <c r="G202" s="512"/>
      <c r="H202" s="512"/>
      <c r="I202" s="512"/>
      <c r="J202" s="512"/>
      <c r="K202" s="512"/>
      <c r="L202" s="512"/>
      <c r="M202" s="512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12"/>
    </row>
    <row r="203" spans="4:26" ht="16.5" customHeight="1" x14ac:dyDescent="0.2">
      <c r="D203" s="512"/>
      <c r="E203" s="512"/>
      <c r="F203" s="512"/>
      <c r="G203" s="512"/>
      <c r="H203" s="512"/>
      <c r="I203" s="512"/>
      <c r="J203" s="512"/>
      <c r="K203" s="512"/>
      <c r="L203" s="512"/>
      <c r="M203" s="512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  <c r="Z203" s="512"/>
    </row>
    <row r="204" spans="4:26" ht="16.5" customHeight="1" x14ac:dyDescent="0.2">
      <c r="D204" s="512"/>
      <c r="E204" s="512"/>
      <c r="F204" s="512"/>
      <c r="G204" s="512"/>
      <c r="H204" s="512"/>
      <c r="I204" s="512"/>
      <c r="J204" s="512"/>
      <c r="K204" s="512"/>
      <c r="L204" s="512"/>
      <c r="M204" s="512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  <c r="Z204" s="512"/>
    </row>
    <row r="205" spans="4:26" ht="16.5" customHeight="1" x14ac:dyDescent="0.2">
      <c r="D205" s="512"/>
      <c r="E205" s="512"/>
      <c r="F205" s="512"/>
      <c r="G205" s="512"/>
      <c r="H205" s="512"/>
      <c r="I205" s="512"/>
      <c r="J205" s="512"/>
      <c r="K205" s="512"/>
      <c r="L205" s="512"/>
      <c r="M205" s="512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  <c r="Z205" s="512"/>
    </row>
    <row r="206" spans="4:26" ht="16.5" customHeight="1" x14ac:dyDescent="0.2">
      <c r="D206" s="512"/>
      <c r="E206" s="512"/>
      <c r="F206" s="512"/>
      <c r="G206" s="512"/>
      <c r="H206" s="512"/>
      <c r="I206" s="512"/>
      <c r="J206" s="512"/>
      <c r="K206" s="512"/>
      <c r="L206" s="512"/>
      <c r="M206" s="512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  <c r="Z206" s="512"/>
    </row>
    <row r="207" spans="4:26" ht="16.5" customHeight="1" x14ac:dyDescent="0.2">
      <c r="D207" s="512"/>
      <c r="E207" s="512"/>
      <c r="F207" s="512"/>
      <c r="G207" s="512"/>
      <c r="H207" s="512"/>
      <c r="I207" s="512"/>
      <c r="J207" s="512"/>
      <c r="K207" s="512"/>
      <c r="L207" s="512"/>
      <c r="M207" s="51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  <c r="Z207" s="512"/>
    </row>
    <row r="208" spans="4:26" ht="16.5" customHeight="1" x14ac:dyDescent="0.2">
      <c r="D208" s="512"/>
      <c r="E208" s="512"/>
      <c r="F208" s="512"/>
      <c r="G208" s="512"/>
      <c r="H208" s="512"/>
      <c r="I208" s="512"/>
      <c r="J208" s="512"/>
      <c r="K208" s="512"/>
      <c r="L208" s="512"/>
      <c r="M208" s="512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Z208" s="512"/>
    </row>
    <row r="209" spans="4:26" ht="16.5" customHeight="1" x14ac:dyDescent="0.2">
      <c r="D209" s="512"/>
      <c r="E209" s="512"/>
      <c r="F209" s="512"/>
      <c r="G209" s="512"/>
      <c r="H209" s="512"/>
      <c r="I209" s="512"/>
      <c r="J209" s="512"/>
      <c r="K209" s="512"/>
      <c r="L209" s="512"/>
      <c r="M209" s="512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  <c r="Z209" s="512"/>
    </row>
    <row r="210" spans="4:26" ht="16.5" customHeight="1" x14ac:dyDescent="0.2">
      <c r="D210" s="512"/>
      <c r="E210" s="512"/>
      <c r="F210" s="512"/>
      <c r="G210" s="512"/>
      <c r="H210" s="512"/>
      <c r="I210" s="512"/>
      <c r="J210" s="512"/>
      <c r="K210" s="512"/>
      <c r="L210" s="512"/>
      <c r="M210" s="512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  <c r="Z210" s="512"/>
    </row>
    <row r="211" spans="4:26" ht="16.5" customHeight="1" x14ac:dyDescent="0.2">
      <c r="D211" s="512"/>
      <c r="E211" s="512"/>
      <c r="F211" s="512"/>
      <c r="G211" s="512"/>
      <c r="H211" s="512"/>
      <c r="I211" s="512"/>
      <c r="J211" s="512"/>
      <c r="K211" s="512"/>
      <c r="L211" s="512"/>
      <c r="M211" s="51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  <c r="Z211" s="512"/>
    </row>
    <row r="212" spans="4:26" ht="16.5" customHeight="1" x14ac:dyDescent="0.2">
      <c r="D212" s="512"/>
      <c r="E212" s="512"/>
      <c r="F212" s="512"/>
      <c r="G212" s="512"/>
      <c r="H212" s="512"/>
      <c r="I212" s="512"/>
      <c r="J212" s="512"/>
      <c r="K212" s="512"/>
      <c r="L212" s="512"/>
      <c r="M212" s="512"/>
      <c r="N212" s="512"/>
      <c r="O212" s="512"/>
      <c r="P212" s="512"/>
      <c r="Q212" s="512"/>
      <c r="R212" s="512"/>
      <c r="S212" s="512"/>
      <c r="T212" s="512"/>
      <c r="U212" s="512"/>
      <c r="V212" s="512"/>
      <c r="W212" s="512"/>
      <c r="X212" s="512"/>
      <c r="Y212" s="512"/>
      <c r="Z212" s="512"/>
    </row>
    <row r="213" spans="4:26" ht="16.5" customHeight="1" x14ac:dyDescent="0.2">
      <c r="D213" s="512"/>
      <c r="E213" s="512"/>
      <c r="F213" s="512"/>
      <c r="G213" s="512"/>
      <c r="H213" s="512"/>
      <c r="I213" s="512"/>
      <c r="J213" s="512"/>
      <c r="K213" s="512"/>
      <c r="L213" s="512"/>
      <c r="M213" s="512"/>
      <c r="N213" s="512"/>
      <c r="O213" s="512"/>
      <c r="P213" s="512"/>
      <c r="Q213" s="512"/>
      <c r="R213" s="512"/>
      <c r="S213" s="512"/>
      <c r="T213" s="512"/>
      <c r="U213" s="512"/>
      <c r="V213" s="512"/>
      <c r="W213" s="512"/>
      <c r="X213" s="512"/>
      <c r="Y213" s="512"/>
      <c r="Z213" s="512"/>
    </row>
    <row r="214" spans="4:26" ht="16.5" customHeight="1" x14ac:dyDescent="0.2">
      <c r="D214" s="512"/>
      <c r="E214" s="512"/>
      <c r="F214" s="512"/>
      <c r="G214" s="512"/>
      <c r="H214" s="512"/>
      <c r="I214" s="512"/>
      <c r="J214" s="512"/>
      <c r="K214" s="512"/>
      <c r="L214" s="512"/>
      <c r="M214" s="512"/>
      <c r="N214" s="512"/>
      <c r="O214" s="512"/>
      <c r="P214" s="512"/>
      <c r="Q214" s="512"/>
      <c r="R214" s="512"/>
      <c r="S214" s="512"/>
      <c r="T214" s="512"/>
      <c r="U214" s="512"/>
      <c r="V214" s="512"/>
      <c r="W214" s="512"/>
      <c r="X214" s="512"/>
      <c r="Y214" s="512"/>
      <c r="Z214" s="512"/>
    </row>
    <row r="215" spans="4:26" ht="16.5" customHeight="1" x14ac:dyDescent="0.2">
      <c r="D215" s="512"/>
      <c r="E215" s="512"/>
      <c r="F215" s="512"/>
      <c r="G215" s="512"/>
      <c r="H215" s="512"/>
      <c r="I215" s="512"/>
      <c r="J215" s="512"/>
      <c r="K215" s="512"/>
      <c r="L215" s="512"/>
      <c r="M215" s="512"/>
      <c r="N215" s="512"/>
      <c r="O215" s="512"/>
      <c r="P215" s="512"/>
      <c r="Q215" s="512"/>
      <c r="R215" s="512"/>
      <c r="S215" s="512"/>
      <c r="T215" s="512"/>
      <c r="U215" s="512"/>
      <c r="V215" s="512"/>
      <c r="W215" s="512"/>
      <c r="X215" s="512"/>
      <c r="Y215" s="512"/>
      <c r="Z215" s="512"/>
    </row>
    <row r="216" spans="4:26" ht="16.5" customHeight="1" x14ac:dyDescent="0.2">
      <c r="D216" s="512"/>
      <c r="E216" s="512"/>
      <c r="F216" s="512"/>
      <c r="G216" s="512"/>
      <c r="H216" s="512"/>
      <c r="I216" s="512"/>
      <c r="J216" s="512"/>
      <c r="K216" s="512"/>
      <c r="L216" s="512"/>
      <c r="M216" s="512"/>
      <c r="N216" s="512"/>
      <c r="O216" s="512"/>
      <c r="P216" s="512"/>
      <c r="Q216" s="512"/>
      <c r="R216" s="512"/>
      <c r="S216" s="512"/>
      <c r="T216" s="512"/>
      <c r="U216" s="512"/>
      <c r="V216" s="512"/>
      <c r="W216" s="512"/>
      <c r="X216" s="512"/>
      <c r="Y216" s="512"/>
      <c r="Z216" s="512"/>
    </row>
    <row r="217" spans="4:26" ht="16.5" customHeight="1" x14ac:dyDescent="0.2">
      <c r="D217" s="512"/>
      <c r="E217" s="512"/>
      <c r="F217" s="512"/>
      <c r="G217" s="512"/>
      <c r="H217" s="512"/>
      <c r="I217" s="512"/>
      <c r="J217" s="512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512"/>
      <c r="Y217" s="512"/>
      <c r="Z217" s="512"/>
    </row>
    <row r="218" spans="4:26" ht="16.5" customHeight="1" x14ac:dyDescent="0.2">
      <c r="D218" s="512"/>
      <c r="E218" s="512"/>
      <c r="F218" s="512"/>
      <c r="G218" s="512"/>
      <c r="H218" s="512"/>
      <c r="I218" s="512"/>
      <c r="J218" s="512"/>
      <c r="K218" s="512"/>
      <c r="L218" s="512"/>
      <c r="M218" s="512"/>
      <c r="N218" s="512"/>
      <c r="O218" s="512"/>
      <c r="P218" s="512"/>
      <c r="Q218" s="512"/>
      <c r="R218" s="512"/>
      <c r="S218" s="512"/>
      <c r="T218" s="512"/>
      <c r="U218" s="512"/>
      <c r="V218" s="512"/>
      <c r="W218" s="512"/>
      <c r="X218" s="512"/>
      <c r="Y218" s="512"/>
      <c r="Z218" s="512"/>
    </row>
    <row r="219" spans="4:26" ht="16.5" customHeight="1" x14ac:dyDescent="0.2">
      <c r="D219" s="512"/>
      <c r="E219" s="512"/>
      <c r="F219" s="512"/>
      <c r="G219" s="512"/>
      <c r="H219" s="512"/>
      <c r="I219" s="512"/>
      <c r="J219" s="512"/>
      <c r="K219" s="512"/>
      <c r="L219" s="512"/>
      <c r="M219" s="512"/>
      <c r="N219" s="512"/>
      <c r="O219" s="512"/>
      <c r="P219" s="512"/>
      <c r="Q219" s="512"/>
      <c r="R219" s="512"/>
      <c r="S219" s="512"/>
      <c r="T219" s="512"/>
      <c r="U219" s="512"/>
      <c r="V219" s="512"/>
      <c r="W219" s="512"/>
      <c r="X219" s="512"/>
      <c r="Y219" s="512"/>
      <c r="Z219" s="512"/>
    </row>
    <row r="220" spans="4:26" ht="16.5" customHeight="1" x14ac:dyDescent="0.2">
      <c r="D220" s="512"/>
      <c r="E220" s="512"/>
      <c r="F220" s="512"/>
      <c r="G220" s="512"/>
      <c r="H220" s="512"/>
      <c r="I220" s="512"/>
      <c r="J220" s="512"/>
      <c r="K220" s="512"/>
      <c r="L220" s="512"/>
      <c r="M220" s="512"/>
      <c r="N220" s="512"/>
      <c r="O220" s="512"/>
      <c r="P220" s="512"/>
      <c r="Q220" s="512"/>
      <c r="R220" s="512"/>
      <c r="S220" s="512"/>
      <c r="T220" s="512"/>
      <c r="U220" s="512"/>
      <c r="V220" s="512"/>
      <c r="W220" s="512"/>
      <c r="X220" s="512"/>
      <c r="Y220" s="512"/>
      <c r="Z220" s="512"/>
    </row>
    <row r="221" spans="4:26" ht="16.5" customHeight="1" x14ac:dyDescent="0.2">
      <c r="D221" s="512"/>
      <c r="E221" s="512"/>
      <c r="F221" s="512"/>
      <c r="G221" s="512"/>
      <c r="H221" s="512"/>
      <c r="I221" s="512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2"/>
      <c r="Z221" s="512"/>
    </row>
    <row r="222" spans="4:26" ht="16.5" customHeight="1" x14ac:dyDescent="0.2">
      <c r="D222" s="512"/>
      <c r="E222" s="512"/>
      <c r="F222" s="512"/>
      <c r="G222" s="512"/>
      <c r="H222" s="512"/>
      <c r="I222" s="512"/>
      <c r="J222" s="512"/>
      <c r="K222" s="512"/>
      <c r="L222" s="512"/>
      <c r="M222" s="512"/>
      <c r="N222" s="512"/>
      <c r="O222" s="512"/>
      <c r="P222" s="512"/>
      <c r="Q222" s="512"/>
      <c r="R222" s="512"/>
      <c r="S222" s="512"/>
      <c r="T222" s="512"/>
      <c r="U222" s="512"/>
      <c r="V222" s="512"/>
      <c r="W222" s="512"/>
      <c r="X222" s="512"/>
      <c r="Y222" s="512"/>
      <c r="Z222" s="512"/>
    </row>
    <row r="223" spans="4:26" ht="16.5" customHeight="1" x14ac:dyDescent="0.2">
      <c r="D223" s="512"/>
      <c r="E223" s="512"/>
      <c r="F223" s="512"/>
      <c r="G223" s="512"/>
      <c r="H223" s="512"/>
      <c r="I223" s="512"/>
      <c r="J223" s="512"/>
      <c r="K223" s="512"/>
      <c r="L223" s="512"/>
      <c r="M223" s="512"/>
      <c r="N223" s="512"/>
      <c r="O223" s="512"/>
      <c r="P223" s="512"/>
      <c r="Q223" s="512"/>
      <c r="R223" s="512"/>
      <c r="S223" s="512"/>
      <c r="T223" s="512"/>
      <c r="U223" s="512"/>
      <c r="V223" s="512"/>
      <c r="W223" s="512"/>
      <c r="X223" s="512"/>
      <c r="Y223" s="512"/>
      <c r="Z223" s="512"/>
    </row>
    <row r="224" spans="4:26" ht="16.5" customHeight="1" x14ac:dyDescent="0.2">
      <c r="D224" s="512"/>
      <c r="E224" s="512"/>
      <c r="F224" s="512"/>
      <c r="G224" s="512"/>
      <c r="H224" s="512"/>
      <c r="I224" s="512"/>
      <c r="J224" s="512"/>
      <c r="K224" s="512"/>
      <c r="L224" s="512"/>
      <c r="M224" s="512"/>
      <c r="N224" s="512"/>
      <c r="O224" s="512"/>
      <c r="P224" s="512"/>
      <c r="Q224" s="512"/>
      <c r="R224" s="512"/>
      <c r="S224" s="512"/>
      <c r="T224" s="512"/>
      <c r="U224" s="512"/>
      <c r="V224" s="512"/>
      <c r="W224" s="512"/>
      <c r="X224" s="512"/>
      <c r="Y224" s="512"/>
      <c r="Z224" s="512"/>
    </row>
    <row r="225" spans="4:26" ht="16.5" customHeight="1" x14ac:dyDescent="0.2">
      <c r="D225" s="512"/>
      <c r="E225" s="512"/>
      <c r="F225" s="512"/>
      <c r="G225" s="512"/>
      <c r="H225" s="512"/>
      <c r="I225" s="512"/>
      <c r="J225" s="512"/>
      <c r="K225" s="512"/>
      <c r="L225" s="512"/>
      <c r="M225" s="512"/>
      <c r="N225" s="512"/>
      <c r="O225" s="512"/>
      <c r="P225" s="512"/>
      <c r="Q225" s="512"/>
      <c r="R225" s="512"/>
      <c r="S225" s="512"/>
      <c r="T225" s="512"/>
      <c r="U225" s="512"/>
      <c r="V225" s="512"/>
      <c r="W225" s="512"/>
      <c r="X225" s="512"/>
      <c r="Y225" s="512"/>
      <c r="Z225" s="512"/>
    </row>
    <row r="226" spans="4:26" ht="16.5" customHeight="1" x14ac:dyDescent="0.2">
      <c r="D226" s="512"/>
      <c r="E226" s="512"/>
      <c r="F226" s="512"/>
      <c r="G226" s="512"/>
      <c r="H226" s="512"/>
      <c r="I226" s="512"/>
      <c r="J226" s="512"/>
      <c r="K226" s="512"/>
      <c r="L226" s="512"/>
      <c r="M226" s="512"/>
      <c r="N226" s="512"/>
      <c r="O226" s="512"/>
      <c r="P226" s="512"/>
      <c r="Q226" s="512"/>
      <c r="R226" s="512"/>
      <c r="S226" s="512"/>
      <c r="T226" s="512"/>
      <c r="U226" s="512"/>
      <c r="V226" s="512"/>
      <c r="W226" s="512"/>
      <c r="X226" s="512"/>
      <c r="Y226" s="512"/>
      <c r="Z226" s="512"/>
    </row>
    <row r="227" spans="4:26" ht="16.5" customHeight="1" x14ac:dyDescent="0.2"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2"/>
      <c r="Z227" s="512"/>
    </row>
    <row r="228" spans="4:26" ht="16.5" customHeight="1" x14ac:dyDescent="0.2">
      <c r="D228" s="512"/>
      <c r="E228" s="512"/>
      <c r="F228" s="512"/>
      <c r="G228" s="512"/>
      <c r="H228" s="512"/>
      <c r="I228" s="512"/>
      <c r="J228" s="512"/>
      <c r="K228" s="512"/>
      <c r="L228" s="512"/>
      <c r="M228" s="512"/>
      <c r="N228" s="512"/>
      <c r="O228" s="512"/>
      <c r="P228" s="512"/>
      <c r="Q228" s="512"/>
      <c r="R228" s="512"/>
      <c r="S228" s="512"/>
      <c r="T228" s="512"/>
      <c r="U228" s="512"/>
      <c r="V228" s="512"/>
      <c r="W228" s="512"/>
      <c r="X228" s="512"/>
      <c r="Y228" s="512"/>
      <c r="Z228" s="512"/>
    </row>
    <row r="229" spans="4:26" ht="16.5" customHeight="1" x14ac:dyDescent="0.2">
      <c r="D229" s="512"/>
      <c r="E229" s="512"/>
      <c r="F229" s="512"/>
      <c r="G229" s="512"/>
      <c r="H229" s="512"/>
      <c r="I229" s="512"/>
      <c r="J229" s="512"/>
      <c r="K229" s="512"/>
      <c r="L229" s="512"/>
      <c r="M229" s="512"/>
      <c r="N229" s="512"/>
      <c r="O229" s="512"/>
      <c r="P229" s="512"/>
      <c r="Q229" s="512"/>
      <c r="R229" s="512"/>
      <c r="S229" s="512"/>
      <c r="T229" s="512"/>
      <c r="U229" s="512"/>
      <c r="V229" s="512"/>
      <c r="W229" s="512"/>
      <c r="X229" s="512"/>
      <c r="Y229" s="512"/>
      <c r="Z229" s="512"/>
    </row>
    <row r="230" spans="4:26" ht="16.5" customHeight="1" x14ac:dyDescent="0.2">
      <c r="D230" s="512"/>
      <c r="E230" s="512"/>
      <c r="F230" s="512"/>
      <c r="G230" s="512"/>
      <c r="H230" s="512"/>
      <c r="I230" s="512"/>
      <c r="J230" s="512"/>
      <c r="K230" s="512"/>
      <c r="L230" s="512"/>
      <c r="M230" s="512"/>
      <c r="N230" s="512"/>
      <c r="O230" s="512"/>
      <c r="P230" s="512"/>
      <c r="Q230" s="512"/>
      <c r="R230" s="512"/>
      <c r="S230" s="512"/>
      <c r="T230" s="512"/>
      <c r="U230" s="512"/>
      <c r="V230" s="512"/>
      <c r="W230" s="512"/>
      <c r="X230" s="512"/>
      <c r="Y230" s="512"/>
      <c r="Z230" s="512"/>
    </row>
    <row r="231" spans="4:26" ht="16.5" customHeight="1" x14ac:dyDescent="0.2">
      <c r="D231" s="512"/>
      <c r="E231" s="512"/>
      <c r="F231" s="512"/>
      <c r="G231" s="512"/>
      <c r="H231" s="512"/>
      <c r="I231" s="512"/>
      <c r="J231" s="512"/>
      <c r="K231" s="512"/>
      <c r="L231" s="512"/>
      <c r="M231" s="512"/>
      <c r="N231" s="512"/>
      <c r="O231" s="512"/>
      <c r="P231" s="512"/>
      <c r="Q231" s="512"/>
      <c r="R231" s="512"/>
      <c r="S231" s="512"/>
      <c r="T231" s="512"/>
      <c r="U231" s="512"/>
      <c r="V231" s="512"/>
      <c r="W231" s="512"/>
      <c r="X231" s="512"/>
      <c r="Y231" s="512"/>
      <c r="Z231" s="512"/>
    </row>
    <row r="232" spans="4:26" ht="16.5" customHeight="1" x14ac:dyDescent="0.2">
      <c r="D232" s="512"/>
      <c r="E232" s="512"/>
      <c r="F232" s="512"/>
      <c r="G232" s="512"/>
      <c r="H232" s="512"/>
      <c r="I232" s="512"/>
      <c r="J232" s="512"/>
      <c r="K232" s="512"/>
      <c r="L232" s="512"/>
      <c r="M232" s="512"/>
      <c r="N232" s="512"/>
      <c r="O232" s="512"/>
      <c r="P232" s="512"/>
      <c r="Q232" s="512"/>
      <c r="R232" s="512"/>
      <c r="S232" s="512"/>
      <c r="T232" s="512"/>
      <c r="U232" s="512"/>
      <c r="V232" s="512"/>
      <c r="W232" s="512"/>
      <c r="X232" s="512"/>
      <c r="Y232" s="512"/>
      <c r="Z232" s="512"/>
    </row>
    <row r="233" spans="4:26" ht="16.5" customHeight="1" x14ac:dyDescent="0.2">
      <c r="D233" s="512"/>
      <c r="E233" s="512"/>
      <c r="F233" s="512"/>
      <c r="G233" s="512"/>
      <c r="H233" s="512"/>
      <c r="I233" s="512"/>
      <c r="J233" s="512"/>
      <c r="K233" s="512"/>
      <c r="L233" s="512"/>
      <c r="M233" s="512"/>
      <c r="N233" s="512"/>
      <c r="O233" s="512"/>
      <c r="P233" s="512"/>
      <c r="Q233" s="512"/>
      <c r="R233" s="512"/>
      <c r="S233" s="512"/>
      <c r="T233" s="512"/>
      <c r="U233" s="512"/>
      <c r="V233" s="512"/>
      <c r="W233" s="512"/>
      <c r="X233" s="512"/>
      <c r="Y233" s="512"/>
      <c r="Z233" s="512"/>
    </row>
    <row r="234" spans="4:26" ht="16.5" customHeight="1" x14ac:dyDescent="0.2">
      <c r="D234" s="512"/>
      <c r="E234" s="512"/>
      <c r="F234" s="512"/>
      <c r="G234" s="512"/>
      <c r="H234" s="512"/>
      <c r="I234" s="512"/>
      <c r="J234" s="512"/>
      <c r="K234" s="512"/>
      <c r="L234" s="512"/>
      <c r="M234" s="512"/>
      <c r="N234" s="512"/>
      <c r="O234" s="512"/>
      <c r="P234" s="512"/>
      <c r="Q234" s="512"/>
      <c r="R234" s="512"/>
      <c r="S234" s="512"/>
      <c r="T234" s="512"/>
      <c r="U234" s="512"/>
      <c r="V234" s="512"/>
      <c r="W234" s="512"/>
      <c r="X234" s="512"/>
      <c r="Y234" s="512"/>
      <c r="Z234" s="512"/>
    </row>
    <row r="235" spans="4:26" ht="16.5" customHeight="1" x14ac:dyDescent="0.2">
      <c r="D235" s="512"/>
      <c r="E235" s="512"/>
      <c r="F235" s="512"/>
      <c r="G235" s="512"/>
      <c r="H235" s="512"/>
      <c r="I235" s="512"/>
      <c r="J235" s="512"/>
      <c r="K235" s="512"/>
      <c r="L235" s="512"/>
      <c r="M235" s="512"/>
      <c r="N235" s="512"/>
      <c r="O235" s="512"/>
      <c r="P235" s="512"/>
      <c r="Q235" s="512"/>
      <c r="R235" s="512"/>
      <c r="S235" s="512"/>
      <c r="T235" s="512"/>
      <c r="U235" s="512"/>
      <c r="V235" s="512"/>
      <c r="W235" s="512"/>
      <c r="X235" s="512"/>
      <c r="Y235" s="512"/>
      <c r="Z235" s="512"/>
    </row>
    <row r="236" spans="4:26" ht="16.5" customHeight="1" x14ac:dyDescent="0.2">
      <c r="D236" s="512"/>
      <c r="E236" s="512"/>
      <c r="F236" s="512"/>
      <c r="G236" s="512"/>
      <c r="H236" s="512"/>
      <c r="I236" s="512"/>
      <c r="J236" s="512"/>
      <c r="K236" s="512"/>
      <c r="L236" s="512"/>
      <c r="M236" s="512"/>
      <c r="N236" s="512"/>
      <c r="O236" s="512"/>
      <c r="P236" s="512"/>
      <c r="Q236" s="512"/>
      <c r="R236" s="512"/>
      <c r="S236" s="512"/>
      <c r="T236" s="512"/>
      <c r="U236" s="512"/>
      <c r="V236" s="512"/>
      <c r="W236" s="512"/>
      <c r="X236" s="512"/>
      <c r="Y236" s="512"/>
      <c r="Z236" s="512"/>
    </row>
    <row r="237" spans="4:26" ht="16.5" customHeight="1" x14ac:dyDescent="0.2">
      <c r="D237" s="512"/>
      <c r="E237" s="512"/>
      <c r="F237" s="512"/>
      <c r="G237" s="512"/>
      <c r="H237" s="512"/>
      <c r="I237" s="512"/>
      <c r="J237" s="512"/>
      <c r="K237" s="512"/>
      <c r="L237" s="512"/>
      <c r="M237" s="512"/>
      <c r="N237" s="512"/>
      <c r="O237" s="512"/>
      <c r="P237" s="512"/>
      <c r="Q237" s="512"/>
      <c r="R237" s="512"/>
      <c r="S237" s="512"/>
      <c r="T237" s="512"/>
      <c r="U237" s="512"/>
      <c r="V237" s="512"/>
      <c r="W237" s="512"/>
      <c r="X237" s="512"/>
      <c r="Y237" s="512"/>
      <c r="Z237" s="512"/>
    </row>
    <row r="238" spans="4:26" ht="16.5" customHeight="1" x14ac:dyDescent="0.2">
      <c r="D238" s="512"/>
      <c r="E238" s="512"/>
      <c r="F238" s="512"/>
      <c r="G238" s="512"/>
      <c r="H238" s="512"/>
      <c r="I238" s="512"/>
      <c r="J238" s="512"/>
      <c r="K238" s="512"/>
      <c r="L238" s="512"/>
      <c r="M238" s="512"/>
      <c r="N238" s="512"/>
      <c r="O238" s="512"/>
      <c r="P238" s="512"/>
      <c r="Q238" s="512"/>
      <c r="R238" s="512"/>
      <c r="S238" s="512"/>
      <c r="T238" s="512"/>
      <c r="U238" s="512"/>
      <c r="V238" s="512"/>
      <c r="W238" s="512"/>
      <c r="X238" s="512"/>
      <c r="Y238" s="512"/>
      <c r="Z238" s="512"/>
    </row>
    <row r="239" spans="4:26" ht="16.5" customHeight="1" x14ac:dyDescent="0.2">
      <c r="D239" s="512"/>
      <c r="E239" s="512"/>
      <c r="F239" s="512"/>
      <c r="G239" s="512"/>
      <c r="H239" s="512"/>
      <c r="I239" s="512"/>
      <c r="J239" s="512"/>
      <c r="K239" s="512"/>
      <c r="L239" s="512"/>
      <c r="M239" s="512"/>
      <c r="N239" s="512"/>
      <c r="O239" s="512"/>
      <c r="P239" s="512"/>
      <c r="Q239" s="512"/>
      <c r="R239" s="512"/>
      <c r="S239" s="512"/>
      <c r="T239" s="512"/>
      <c r="U239" s="512"/>
      <c r="V239" s="512"/>
      <c r="W239" s="512"/>
      <c r="X239" s="512"/>
      <c r="Y239" s="512"/>
      <c r="Z239" s="512"/>
    </row>
    <row r="240" spans="4:26" ht="16.5" customHeight="1" x14ac:dyDescent="0.2">
      <c r="D240" s="512"/>
      <c r="E240" s="512"/>
      <c r="F240" s="512"/>
      <c r="G240" s="512"/>
      <c r="H240" s="512"/>
      <c r="I240" s="512"/>
      <c r="J240" s="512"/>
      <c r="K240" s="512"/>
      <c r="L240" s="512"/>
      <c r="M240" s="512"/>
      <c r="N240" s="512"/>
      <c r="O240" s="512"/>
      <c r="P240" s="512"/>
      <c r="Q240" s="512"/>
      <c r="R240" s="512"/>
      <c r="S240" s="512"/>
      <c r="T240" s="512"/>
      <c r="U240" s="512"/>
      <c r="V240" s="512"/>
      <c r="W240" s="512"/>
      <c r="X240" s="512"/>
      <c r="Y240" s="512"/>
      <c r="Z240" s="512"/>
    </row>
    <row r="241" spans="4:26" ht="16.5" customHeight="1" x14ac:dyDescent="0.2">
      <c r="D241" s="512"/>
      <c r="E241" s="512"/>
      <c r="F241" s="512"/>
      <c r="G241" s="512"/>
      <c r="H241" s="512"/>
      <c r="I241" s="512"/>
      <c r="J241" s="512"/>
      <c r="K241" s="512"/>
      <c r="L241" s="512"/>
      <c r="M241" s="512"/>
      <c r="N241" s="512"/>
      <c r="O241" s="512"/>
      <c r="P241" s="512"/>
      <c r="Q241" s="512"/>
      <c r="R241" s="512"/>
      <c r="S241" s="512"/>
      <c r="T241" s="512"/>
      <c r="U241" s="512"/>
      <c r="V241" s="512"/>
      <c r="W241" s="512"/>
      <c r="X241" s="512"/>
      <c r="Y241" s="512"/>
      <c r="Z241" s="512"/>
    </row>
    <row r="242" spans="4:26" ht="16.5" customHeight="1" x14ac:dyDescent="0.2">
      <c r="D242" s="512"/>
      <c r="E242" s="512"/>
      <c r="F242" s="512"/>
      <c r="G242" s="512"/>
      <c r="H242" s="512"/>
      <c r="I242" s="512"/>
      <c r="J242" s="512"/>
      <c r="K242" s="512"/>
      <c r="L242" s="512"/>
      <c r="M242" s="512"/>
      <c r="N242" s="512"/>
      <c r="O242" s="512"/>
      <c r="P242" s="512"/>
      <c r="Q242" s="512"/>
      <c r="R242" s="512"/>
      <c r="S242" s="512"/>
      <c r="T242" s="512"/>
      <c r="U242" s="512"/>
      <c r="V242" s="512"/>
      <c r="W242" s="512"/>
      <c r="X242" s="512"/>
      <c r="Y242" s="512"/>
      <c r="Z242" s="512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ColWidth="8.85546875"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42578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8.8554687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272</v>
      </c>
      <c r="F13" s="46" t="s">
        <v>273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290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291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294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299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300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306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305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311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312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324</v>
      </c>
      <c r="F24" s="46" t="s">
        <v>323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ColWidth="8.85546875"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4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4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4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56.88314570559443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284</v>
      </c>
      <c r="J69" s="418" t="s">
        <v>285</v>
      </c>
      <c r="K69" s="418" t="s">
        <v>286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1" t="s">
        <v>301</v>
      </c>
      <c r="E72" s="355"/>
      <c r="F72" s="682" t="s">
        <v>302</v>
      </c>
      <c r="G72" s="682" t="s">
        <v>302</v>
      </c>
      <c r="H72" s="682" t="s">
        <v>302</v>
      </c>
      <c r="I72" s="682" t="s">
        <v>302</v>
      </c>
      <c r="J72" s="682" t="s">
        <v>302</v>
      </c>
      <c r="K72" s="682" t="s">
        <v>302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284</v>
      </c>
      <c r="J74" s="418" t="s">
        <v>285</v>
      </c>
      <c r="K74" s="418" t="s">
        <v>286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1" t="s">
        <v>301</v>
      </c>
      <c r="E77" s="355"/>
      <c r="F77" s="682" t="s">
        <v>302</v>
      </c>
      <c r="G77" s="682" t="s">
        <v>302</v>
      </c>
      <c r="H77" s="682" t="s">
        <v>302</v>
      </c>
      <c r="I77" s="682" t="s">
        <v>302</v>
      </c>
      <c r="J77" s="682" t="s">
        <v>302</v>
      </c>
      <c r="K77" s="682" t="s">
        <v>302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3" name="Drop Down 5">
              <controlPr defaultSize="0" autoLine="0" autoPict="0">
                <anchor moveWithCells="1">
                  <from>
                    <xdr:col>2</xdr:col>
                    <xdr:colOff>1790700</xdr:colOff>
                    <xdr:row>4</xdr:row>
                    <xdr:rowOff>114300</xdr:rowOff>
                  </from>
                  <to>
                    <xdr:col>4</xdr:col>
                    <xdr:colOff>28575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4" name="Drop Down 138">
              <controlPr defaultSize="0" autoLine="0" autoPict="0">
                <anchor moveWithCells="1">
                  <from>
                    <xdr:col>3</xdr:col>
                    <xdr:colOff>1219200</xdr:colOff>
                    <xdr:row>62</xdr:row>
                    <xdr:rowOff>180975</xdr:rowOff>
                  </from>
                  <to>
                    <xdr:col>5</xdr:col>
                    <xdr:colOff>28575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2016-01-04T00:20:04Z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