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perations\UE NETWORK MANAGEMENT\Asset Planning\EDPR and RIN\EDPR 2016-20\Phase 2\04_Data_Tables_&amp;_Graphs\8_Review &amp; Signoff\5. Placed to Transfer Drive\"/>
    </mc:Choice>
  </mc:AlternateContent>
  <bookViews>
    <workbookView xWindow="0" yWindow="0" windowWidth="25200" windowHeight="11385" tabRatio="796" activeTab="8"/>
  </bookViews>
  <sheets>
    <sheet name="Menu" sheetId="16" r:id="rId1"/>
    <sheet name="User Input" sheetId="3" r:id="rId2"/>
    <sheet name="Failure over time" sheetId="23" r:id="rId3"/>
    <sheet name="Calculations" sheetId="12" r:id="rId4"/>
    <sheet name="Calc (Sensitivities)" sheetId="20" r:id="rId5"/>
    <sheet name="Calculations (RIT-D)" sheetId="17" state="hidden" r:id="rId6"/>
    <sheet name="Graph Data" sheetId="24" state="hidden" r:id="rId7"/>
    <sheet name="Output" sheetId="10" r:id="rId8"/>
    <sheet name="Business Case Output" sheetId="22" r:id="rId9"/>
    <sheet name="Present Value" sheetId="21" r:id="rId10"/>
    <sheet name="Version Control" sheetId="15" r:id="rId11"/>
    <sheet name="Administrator Input" sheetId="4" r:id="rId12"/>
  </sheets>
  <definedNames>
    <definedName name="BEST_CASE_SCENARIO">'Calc (Sensitivities)'!$B$16</definedName>
    <definedName name="JENassets">#REF!</definedName>
    <definedName name="Notes">'User Input'!#REF!</definedName>
    <definedName name="_xlnm.Print_Area" localSheetId="8">'Business Case Output'!$B$2:$L$125</definedName>
    <definedName name="_xlnm.Print_Area" localSheetId="4">'Calc (Sensitivities)'!$B$5:$Y$458</definedName>
    <definedName name="_xlnm.Print_Area" localSheetId="3">Calculations!$B$1:$Y$232</definedName>
    <definedName name="_xlnm.Print_Area" localSheetId="5">'Calculations (RIT-D)'!$A$1:$AG$214</definedName>
    <definedName name="_xlnm.Print_Area" localSheetId="7">Output!$B$2:$L$128</definedName>
    <definedName name="_xlnm.Print_Area" localSheetId="1">'User Input'!$B$2:$AB$357</definedName>
    <definedName name="RegCategories">Output!$D$15:$D$23</definedName>
    <definedName name="Risk">#REF!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'Failure over time'!$D$4</definedName>
    <definedName name="solver_typ" localSheetId="2" hidden="1">1</definedName>
    <definedName name="solver_val" localSheetId="2" hidden="1">0</definedName>
    <definedName name="solver_ver" localSheetId="2" hidden="1">3</definedName>
    <definedName name="UEDassets">#REF!</definedName>
    <definedName name="Version_number">'User Input'!$C$357</definedName>
    <definedName name="WORST_CASE_SCENARIO">'Calc (Sensitivities)'!$B$242</definedName>
  </definedNames>
  <calcPr calcId="152511" calcMode="manual"/>
</workbook>
</file>

<file path=xl/calcChain.xml><?xml version="1.0" encoding="utf-8"?>
<calcChain xmlns="http://schemas.openxmlformats.org/spreadsheetml/2006/main">
  <c r="D8" i="12" l="1"/>
  <c r="E8" i="12" s="1"/>
  <c r="F8" i="12" s="1"/>
  <c r="G8" i="12" s="1"/>
  <c r="H8" i="12" s="1"/>
  <c r="I8" i="12" s="1"/>
  <c r="J8" i="12" s="1"/>
  <c r="K8" i="12" s="1"/>
  <c r="L8" i="12" s="1"/>
  <c r="M8" i="12" s="1"/>
  <c r="N8" i="12" s="1"/>
  <c r="O8" i="12" s="1"/>
  <c r="P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Z129" i="3" l="1"/>
  <c r="Y30" i="3"/>
  <c r="Z142" i="12"/>
  <c r="Z118" i="12"/>
  <c r="Z94" i="12"/>
  <c r="Z70" i="12"/>
  <c r="Z46" i="12"/>
  <c r="Z22" i="12"/>
  <c r="C22" i="3" l="1"/>
  <c r="D9" i="3"/>
  <c r="D12" i="3"/>
  <c r="D56" i="3" l="1"/>
  <c r="D85" i="3"/>
  <c r="G92" i="24"/>
  <c r="I89" i="24"/>
  <c r="G103" i="24"/>
  <c r="F103" i="24"/>
  <c r="F102" i="24"/>
  <c r="F101" i="24"/>
  <c r="F100" i="24"/>
  <c r="G99" i="24"/>
  <c r="F99" i="24"/>
  <c r="F98" i="24"/>
  <c r="F97" i="24"/>
  <c r="F96" i="24"/>
  <c r="G95" i="24"/>
  <c r="F95" i="24"/>
  <c r="F94" i="24"/>
  <c r="F93" i="24"/>
  <c r="F92" i="24"/>
  <c r="J89" i="24"/>
  <c r="F86" i="24"/>
  <c r="F79" i="24"/>
  <c r="F78" i="24"/>
  <c r="G102" i="24" s="1"/>
  <c r="F77" i="24"/>
  <c r="G101" i="24" s="1"/>
  <c r="F76" i="24"/>
  <c r="G100" i="24" s="1"/>
  <c r="F75" i="24"/>
  <c r="F74" i="24"/>
  <c r="G98" i="24" s="1"/>
  <c r="F73" i="24"/>
  <c r="G97" i="24" s="1"/>
  <c r="F72" i="24"/>
  <c r="G96" i="24" s="1"/>
  <c r="F71" i="24"/>
  <c r="F70" i="24"/>
  <c r="G94" i="24" s="1"/>
  <c r="F69" i="24"/>
  <c r="G93" i="24" s="1"/>
  <c r="F68" i="24"/>
  <c r="H65" i="24"/>
  <c r="H66" i="24"/>
  <c r="I90" i="24" s="1"/>
  <c r="H67" i="24"/>
  <c r="I91" i="24" s="1"/>
  <c r="H64" i="24"/>
  <c r="I88" i="24" s="1"/>
  <c r="F62" i="24"/>
  <c r="G86" i="24" s="1"/>
  <c r="J90" i="24" l="1"/>
  <c r="J91" i="24"/>
  <c r="J88" i="24"/>
  <c r="E151" i="24"/>
  <c r="E150" i="24"/>
  <c r="E149" i="24"/>
  <c r="E148" i="24"/>
  <c r="E147" i="24"/>
  <c r="E146" i="24"/>
  <c r="E145" i="24"/>
  <c r="E144" i="24"/>
  <c r="E143" i="24"/>
  <c r="E142" i="24"/>
  <c r="E141" i="24"/>
  <c r="E140" i="24"/>
  <c r="K139" i="24"/>
  <c r="K138" i="24"/>
  <c r="K137" i="24"/>
  <c r="K136" i="24"/>
  <c r="E134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J115" i="24"/>
  <c r="J114" i="24"/>
  <c r="J113" i="24"/>
  <c r="J112" i="24"/>
  <c r="E110" i="24"/>
  <c r="Y21" i="24" l="1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H141" i="24" s="1"/>
  <c r="G21" i="24"/>
  <c r="F21" i="24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F142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F118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F94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F70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F46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F22" i="12"/>
  <c r="G141" i="24" l="1"/>
  <c r="G117" i="24"/>
  <c r="F141" i="24"/>
  <c r="F117" i="24"/>
  <c r="Z176" i="3" l="1"/>
  <c r="Y176" i="3"/>
  <c r="W176" i="3"/>
  <c r="V176" i="3"/>
  <c r="U176" i="3"/>
  <c r="T176" i="3"/>
  <c r="S176" i="3"/>
  <c r="Q176" i="3"/>
  <c r="P176" i="3"/>
  <c r="O176" i="3"/>
  <c r="N176" i="3"/>
  <c r="M176" i="3"/>
  <c r="K176" i="3"/>
  <c r="J176" i="3"/>
  <c r="I176" i="3"/>
  <c r="H176" i="3"/>
  <c r="G176" i="3"/>
  <c r="Z175" i="3"/>
  <c r="Y175" i="3"/>
  <c r="W175" i="3"/>
  <c r="V175" i="3"/>
  <c r="U175" i="3"/>
  <c r="T175" i="3"/>
  <c r="S175" i="3"/>
  <c r="Q175" i="3"/>
  <c r="P175" i="3"/>
  <c r="O175" i="3"/>
  <c r="N175" i="3"/>
  <c r="M175" i="3"/>
  <c r="K175" i="3"/>
  <c r="J175" i="3"/>
  <c r="I175" i="3"/>
  <c r="H175" i="3"/>
  <c r="G175" i="3"/>
  <c r="Z147" i="3"/>
  <c r="Y147" i="3"/>
  <c r="W147" i="3"/>
  <c r="V147" i="3"/>
  <c r="U147" i="3"/>
  <c r="T147" i="3"/>
  <c r="S147" i="3"/>
  <c r="Q147" i="3"/>
  <c r="P147" i="3"/>
  <c r="O147" i="3"/>
  <c r="N147" i="3"/>
  <c r="M147" i="3"/>
  <c r="K147" i="3"/>
  <c r="J147" i="3"/>
  <c r="I147" i="3"/>
  <c r="H147" i="3"/>
  <c r="G147" i="3"/>
  <c r="Z146" i="3"/>
  <c r="Y146" i="3"/>
  <c r="W146" i="3"/>
  <c r="V146" i="3"/>
  <c r="U146" i="3"/>
  <c r="T146" i="3"/>
  <c r="S146" i="3"/>
  <c r="Q146" i="3"/>
  <c r="P146" i="3"/>
  <c r="O146" i="3"/>
  <c r="N146" i="3"/>
  <c r="M146" i="3"/>
  <c r="K146" i="3"/>
  <c r="J146" i="3"/>
  <c r="I146" i="3"/>
  <c r="H146" i="3"/>
  <c r="G146" i="3"/>
  <c r="Z89" i="3"/>
  <c r="Y89" i="3"/>
  <c r="W89" i="3"/>
  <c r="V89" i="3"/>
  <c r="U89" i="3"/>
  <c r="T89" i="3"/>
  <c r="S89" i="3"/>
  <c r="Q89" i="3"/>
  <c r="P89" i="3"/>
  <c r="O89" i="3"/>
  <c r="N89" i="3"/>
  <c r="M89" i="3"/>
  <c r="K89" i="3"/>
  <c r="J89" i="3"/>
  <c r="I89" i="3"/>
  <c r="H89" i="3"/>
  <c r="G89" i="3"/>
  <c r="Z88" i="3"/>
  <c r="Y88" i="3"/>
  <c r="W88" i="3"/>
  <c r="V88" i="3"/>
  <c r="U88" i="3"/>
  <c r="T88" i="3"/>
  <c r="S88" i="3"/>
  <c r="Q88" i="3"/>
  <c r="P88" i="3"/>
  <c r="O88" i="3"/>
  <c r="N88" i="3"/>
  <c r="M88" i="3"/>
  <c r="K88" i="3"/>
  <c r="J88" i="3"/>
  <c r="I88" i="3"/>
  <c r="H88" i="3"/>
  <c r="G88" i="3"/>
  <c r="Z60" i="3"/>
  <c r="Y60" i="3"/>
  <c r="W60" i="3"/>
  <c r="V60" i="3"/>
  <c r="U60" i="3"/>
  <c r="T60" i="3"/>
  <c r="S60" i="3"/>
  <c r="Q60" i="3"/>
  <c r="P60" i="3"/>
  <c r="O60" i="3"/>
  <c r="N60" i="3"/>
  <c r="M60" i="3"/>
  <c r="K60" i="3"/>
  <c r="J60" i="3"/>
  <c r="I60" i="3"/>
  <c r="H60" i="3"/>
  <c r="G60" i="3"/>
  <c r="Z59" i="3"/>
  <c r="Y59" i="3"/>
  <c r="W59" i="3"/>
  <c r="V59" i="3"/>
  <c r="U59" i="3"/>
  <c r="T59" i="3"/>
  <c r="S59" i="3"/>
  <c r="Q59" i="3"/>
  <c r="P59" i="3"/>
  <c r="O59" i="3"/>
  <c r="N59" i="3"/>
  <c r="M59" i="3"/>
  <c r="K59" i="3"/>
  <c r="J59" i="3"/>
  <c r="I59" i="3"/>
  <c r="H59" i="3"/>
  <c r="G59" i="3"/>
  <c r="Z31" i="3"/>
  <c r="Y31" i="3"/>
  <c r="W31" i="3"/>
  <c r="V31" i="3"/>
  <c r="U31" i="3"/>
  <c r="T31" i="3"/>
  <c r="S31" i="3"/>
  <c r="Q31" i="3"/>
  <c r="P31" i="3"/>
  <c r="O31" i="3"/>
  <c r="N31" i="3"/>
  <c r="M31" i="3"/>
  <c r="K31" i="3"/>
  <c r="J31" i="3"/>
  <c r="I31" i="3"/>
  <c r="H31" i="3"/>
  <c r="G31" i="3"/>
  <c r="Z30" i="3"/>
  <c r="W30" i="3"/>
  <c r="V30" i="3"/>
  <c r="U30" i="3"/>
  <c r="T30" i="3"/>
  <c r="S30" i="3"/>
  <c r="Q30" i="3"/>
  <c r="P30" i="3"/>
  <c r="O30" i="3"/>
  <c r="N30" i="3"/>
  <c r="M30" i="3"/>
  <c r="K30" i="3"/>
  <c r="J30" i="3"/>
  <c r="I30" i="3"/>
  <c r="H30" i="3"/>
  <c r="G30" i="3"/>
  <c r="Z177" i="3" l="1"/>
  <c r="Y177" i="3"/>
  <c r="W177" i="3"/>
  <c r="V177" i="3"/>
  <c r="U177" i="3"/>
  <c r="T177" i="3"/>
  <c r="S177" i="3"/>
  <c r="Q177" i="3"/>
  <c r="P177" i="3"/>
  <c r="O177" i="3"/>
  <c r="N177" i="3"/>
  <c r="M177" i="3"/>
  <c r="K177" i="3"/>
  <c r="J177" i="3"/>
  <c r="I177" i="3"/>
  <c r="H177" i="3"/>
  <c r="G177" i="3"/>
  <c r="Z148" i="3"/>
  <c r="Y148" i="3"/>
  <c r="W148" i="3"/>
  <c r="V148" i="3"/>
  <c r="U148" i="3"/>
  <c r="T148" i="3"/>
  <c r="S148" i="3"/>
  <c r="Q148" i="3"/>
  <c r="P148" i="3"/>
  <c r="O148" i="3"/>
  <c r="N148" i="3"/>
  <c r="M148" i="3"/>
  <c r="K148" i="3"/>
  <c r="J148" i="3"/>
  <c r="I148" i="3"/>
  <c r="H148" i="3"/>
  <c r="G148" i="3"/>
  <c r="D36" i="3" l="1"/>
  <c r="C17" i="3" l="1"/>
  <c r="C109" i="3" s="1"/>
  <c r="C18" i="3"/>
  <c r="C137" i="3" s="1"/>
  <c r="C19" i="3"/>
  <c r="C165" i="3" s="1"/>
  <c r="C20" i="3"/>
  <c r="C193" i="3" s="1"/>
  <c r="C16" i="3"/>
  <c r="C77" i="3" s="1"/>
  <c r="C108" i="3" l="1"/>
  <c r="C100" i="3"/>
  <c r="C134" i="3"/>
  <c r="C80" i="3"/>
  <c r="C72" i="3"/>
  <c r="C56" i="3"/>
  <c r="C62" i="3"/>
  <c r="C76" i="3"/>
  <c r="C90" i="3"/>
  <c r="C104" i="3"/>
  <c r="C120" i="3"/>
  <c r="C68" i="3"/>
  <c r="C78" i="3"/>
  <c r="C94" i="3"/>
  <c r="C106" i="3"/>
  <c r="C130" i="3"/>
  <c r="C60" i="3"/>
  <c r="C74" i="3"/>
  <c r="C88" i="3"/>
  <c r="C102" i="3"/>
  <c r="C114" i="3"/>
  <c r="C138" i="3"/>
  <c r="C158" i="3"/>
  <c r="C162" i="3"/>
  <c r="C148" i="3"/>
  <c r="C166" i="3"/>
  <c r="C61" i="3"/>
  <c r="C71" i="3"/>
  <c r="C75" i="3"/>
  <c r="C79" i="3"/>
  <c r="C89" i="3"/>
  <c r="C97" i="3"/>
  <c r="C103" i="3"/>
  <c r="C107" i="3"/>
  <c r="C117" i="3"/>
  <c r="C123" i="3"/>
  <c r="C131" i="3"/>
  <c r="C135" i="3"/>
  <c r="C143" i="3"/>
  <c r="C149" i="3"/>
  <c r="C159" i="3"/>
  <c r="C163" i="3"/>
  <c r="C167" i="3"/>
  <c r="C177" i="3"/>
  <c r="C187" i="3"/>
  <c r="C191" i="3"/>
  <c r="C195" i="3"/>
  <c r="C176" i="3"/>
  <c r="C184" i="3"/>
  <c r="C190" i="3"/>
  <c r="C194" i="3"/>
  <c r="C118" i="3"/>
  <c r="C126" i="3"/>
  <c r="C132" i="3"/>
  <c r="C136" i="3"/>
  <c r="C146" i="3"/>
  <c r="C152" i="3"/>
  <c r="C160" i="3"/>
  <c r="C164" i="3"/>
  <c r="C172" i="3"/>
  <c r="C178" i="3"/>
  <c r="C188" i="3"/>
  <c r="C192" i="3"/>
  <c r="C196" i="3"/>
  <c r="C59" i="3"/>
  <c r="C65" i="3"/>
  <c r="C73" i="3"/>
  <c r="C85" i="3"/>
  <c r="C91" i="3"/>
  <c r="C101" i="3"/>
  <c r="C105" i="3"/>
  <c r="C119" i="3"/>
  <c r="C129" i="3"/>
  <c r="C133" i="3"/>
  <c r="C147" i="3"/>
  <c r="C155" i="3"/>
  <c r="C161" i="3"/>
  <c r="C175" i="3"/>
  <c r="C181" i="3"/>
  <c r="C189" i="3"/>
  <c r="C216" i="24"/>
  <c r="C205" i="24"/>
  <c r="C191" i="24"/>
  <c r="C187" i="24"/>
  <c r="C151" i="24"/>
  <c r="C150" i="24"/>
  <c r="C149" i="24"/>
  <c r="C148" i="24"/>
  <c r="C147" i="24"/>
  <c r="C127" i="24"/>
  <c r="C126" i="24"/>
  <c r="C125" i="24"/>
  <c r="C124" i="24"/>
  <c r="C123" i="24"/>
  <c r="C103" i="24"/>
  <c r="C102" i="24"/>
  <c r="C101" i="24"/>
  <c r="C100" i="24"/>
  <c r="C99" i="24"/>
  <c r="C79" i="24"/>
  <c r="C78" i="24"/>
  <c r="C77" i="24"/>
  <c r="C76" i="24"/>
  <c r="C75" i="24"/>
  <c r="C55" i="24"/>
  <c r="C54" i="24"/>
  <c r="C53" i="24"/>
  <c r="C52" i="24"/>
  <c r="C51" i="24"/>
  <c r="C31" i="24"/>
  <c r="C30" i="24"/>
  <c r="C29" i="24"/>
  <c r="C28" i="24"/>
  <c r="C27" i="24"/>
  <c r="C26" i="24"/>
  <c r="C214" i="24" s="1"/>
  <c r="C25" i="24"/>
  <c r="C213" i="24" s="1"/>
  <c r="C24" i="24"/>
  <c r="C212" i="24" s="1"/>
  <c r="C23" i="24"/>
  <c r="C211" i="24" s="1"/>
  <c r="C22" i="24"/>
  <c r="C210" i="24" s="1"/>
  <c r="C14" i="24"/>
  <c r="C206" i="24" s="1"/>
  <c r="B11" i="24"/>
  <c r="F8" i="24"/>
  <c r="F9" i="24" s="1"/>
  <c r="E5" i="24"/>
  <c r="E227" i="24" s="1"/>
  <c r="E3" i="24"/>
  <c r="F31" i="24" l="1"/>
  <c r="F30" i="24"/>
  <c r="F29" i="24"/>
  <c r="F28" i="24"/>
  <c r="F27" i="24"/>
  <c r="F26" i="24"/>
  <c r="F25" i="24"/>
  <c r="F24" i="24"/>
  <c r="F23" i="24"/>
  <c r="F22" i="24"/>
  <c r="F20" i="24"/>
  <c r="F14" i="24"/>
  <c r="I8" i="24"/>
  <c r="L8" i="24"/>
  <c r="Y8" i="24"/>
  <c r="T8" i="24"/>
  <c r="Q8" i="24"/>
  <c r="D21" i="24"/>
  <c r="D209" i="24" s="1"/>
  <c r="M8" i="24"/>
  <c r="U8" i="24"/>
  <c r="H8" i="24"/>
  <c r="P8" i="24"/>
  <c r="X8" i="24"/>
  <c r="F5" i="24"/>
  <c r="N8" i="24"/>
  <c r="R8" i="24"/>
  <c r="V8" i="24"/>
  <c r="D232" i="24"/>
  <c r="D203" i="24"/>
  <c r="C178" i="24"/>
  <c r="C160" i="24"/>
  <c r="C169" i="24"/>
  <c r="G8" i="24"/>
  <c r="G9" i="24" s="1"/>
  <c r="K8" i="24"/>
  <c r="O8" i="24"/>
  <c r="S8" i="24"/>
  <c r="W8" i="24"/>
  <c r="J8" i="24"/>
  <c r="F150" i="24" l="1"/>
  <c r="F126" i="24"/>
  <c r="G31" i="24"/>
  <c r="G30" i="24"/>
  <c r="G29" i="24"/>
  <c r="G28" i="24"/>
  <c r="G27" i="24"/>
  <c r="G26" i="24"/>
  <c r="G25" i="24"/>
  <c r="G24" i="24"/>
  <c r="G23" i="24"/>
  <c r="G22" i="24"/>
  <c r="G20" i="24"/>
  <c r="G14" i="24"/>
  <c r="F143" i="24"/>
  <c r="F119" i="24"/>
  <c r="F147" i="24"/>
  <c r="F123" i="24"/>
  <c r="F127" i="24"/>
  <c r="F151" i="24"/>
  <c r="F142" i="24"/>
  <c r="F118" i="24"/>
  <c r="F140" i="24"/>
  <c r="F116" i="24"/>
  <c r="F145" i="24"/>
  <c r="F121" i="24"/>
  <c r="F125" i="24"/>
  <c r="F149" i="24"/>
  <c r="F146" i="24"/>
  <c r="F122" i="24"/>
  <c r="F110" i="24"/>
  <c r="F134" i="24"/>
  <c r="F120" i="24"/>
  <c r="F144" i="24"/>
  <c r="F148" i="24"/>
  <c r="F124" i="24"/>
  <c r="H9" i="24"/>
  <c r="F227" i="24"/>
  <c r="G5" i="24"/>
  <c r="G116" i="24" l="1"/>
  <c r="G140" i="24"/>
  <c r="G121" i="24"/>
  <c r="G145" i="24"/>
  <c r="G125" i="24"/>
  <c r="G149" i="24"/>
  <c r="H16" i="24"/>
  <c r="H20" i="24"/>
  <c r="H140" i="24" s="1"/>
  <c r="H19" i="24"/>
  <c r="H31" i="24"/>
  <c r="H151" i="24" s="1"/>
  <c r="H29" i="24"/>
  <c r="H149" i="24" s="1"/>
  <c r="H28" i="24"/>
  <c r="H148" i="24" s="1"/>
  <c r="H26" i="24"/>
  <c r="H146" i="24" s="1"/>
  <c r="H17" i="24"/>
  <c r="H30" i="24"/>
  <c r="H150" i="24" s="1"/>
  <c r="H27" i="24"/>
  <c r="H147" i="24" s="1"/>
  <c r="H25" i="24"/>
  <c r="H145" i="24" s="1"/>
  <c r="H24" i="24"/>
  <c r="H144" i="24" s="1"/>
  <c r="H23" i="24"/>
  <c r="H143" i="24" s="1"/>
  <c r="H22" i="24"/>
  <c r="H142" i="24" s="1"/>
  <c r="H18" i="24"/>
  <c r="H14" i="24"/>
  <c r="G110" i="24"/>
  <c r="G134" i="24"/>
  <c r="G124" i="24"/>
  <c r="G148" i="24"/>
  <c r="G143" i="24"/>
  <c r="G119" i="24"/>
  <c r="G123" i="24"/>
  <c r="G147" i="24"/>
  <c r="G151" i="24"/>
  <c r="G127" i="24"/>
  <c r="G120" i="24"/>
  <c r="G144" i="24"/>
  <c r="G142" i="24"/>
  <c r="G118" i="24"/>
  <c r="G146" i="24"/>
  <c r="G122" i="24"/>
  <c r="G150" i="24"/>
  <c r="G126" i="24"/>
  <c r="I9" i="24"/>
  <c r="G227" i="24"/>
  <c r="H5" i="24"/>
  <c r="C35" i="23"/>
  <c r="D35" i="23" s="1"/>
  <c r="E35" i="23" s="1"/>
  <c r="F35" i="23" s="1"/>
  <c r="G35" i="23" s="1"/>
  <c r="H35" i="23" s="1"/>
  <c r="I35" i="23" s="1"/>
  <c r="J35" i="23" s="1"/>
  <c r="K35" i="23" s="1"/>
  <c r="L35" i="23" s="1"/>
  <c r="M35" i="23" s="1"/>
  <c r="C25" i="23"/>
  <c r="D25" i="23" s="1"/>
  <c r="E25" i="23" s="1"/>
  <c r="F25" i="23" s="1"/>
  <c r="G25" i="23" s="1"/>
  <c r="H25" i="23" s="1"/>
  <c r="I25" i="23" s="1"/>
  <c r="J25" i="23" s="1"/>
  <c r="K25" i="23" s="1"/>
  <c r="L25" i="23" s="1"/>
  <c r="M25" i="23" s="1"/>
  <c r="C15" i="23"/>
  <c r="D15" i="23" s="1"/>
  <c r="E15" i="23" s="1"/>
  <c r="F15" i="23" s="1"/>
  <c r="G15" i="23" s="1"/>
  <c r="H15" i="23" s="1"/>
  <c r="I15" i="23" s="1"/>
  <c r="J15" i="23" s="1"/>
  <c r="K15" i="23" s="1"/>
  <c r="L15" i="23" s="1"/>
  <c r="M15" i="23" s="1"/>
  <c r="C7" i="23"/>
  <c r="D7" i="23" s="1"/>
  <c r="E7" i="23" s="1"/>
  <c r="F7" i="23" s="1"/>
  <c r="G7" i="23" s="1"/>
  <c r="H7" i="23" s="1"/>
  <c r="I7" i="23" s="1"/>
  <c r="J7" i="23" s="1"/>
  <c r="K7" i="23" s="1"/>
  <c r="L7" i="23" s="1"/>
  <c r="M7" i="23" s="1"/>
  <c r="I31" i="24" l="1"/>
  <c r="I30" i="24"/>
  <c r="I29" i="24"/>
  <c r="I28" i="24"/>
  <c r="I27" i="24"/>
  <c r="I26" i="24"/>
  <c r="I25" i="24"/>
  <c r="I24" i="24"/>
  <c r="I23" i="24"/>
  <c r="I22" i="24"/>
  <c r="I20" i="24"/>
  <c r="I14" i="24"/>
  <c r="I134" i="24" s="1"/>
  <c r="I16" i="24"/>
  <c r="I17" i="24"/>
  <c r="H134" i="24"/>
  <c r="H110" i="24"/>
  <c r="H227" i="24"/>
  <c r="I5" i="24"/>
  <c r="J9" i="24"/>
  <c r="I113" i="24" l="1"/>
  <c r="I137" i="24"/>
  <c r="I136" i="24"/>
  <c r="I112" i="24"/>
  <c r="J31" i="24"/>
  <c r="J30" i="24"/>
  <c r="J29" i="24"/>
  <c r="J28" i="24"/>
  <c r="J27" i="24"/>
  <c r="J26" i="24"/>
  <c r="J25" i="24"/>
  <c r="J24" i="24"/>
  <c r="J23" i="24"/>
  <c r="J22" i="24"/>
  <c r="J20" i="24"/>
  <c r="J14" i="24"/>
  <c r="J16" i="24"/>
  <c r="J136" i="24" s="1"/>
  <c r="J17" i="24"/>
  <c r="J137" i="24" s="1"/>
  <c r="K9" i="24"/>
  <c r="I227" i="24"/>
  <c r="J5" i="24"/>
  <c r="K31" i="24" l="1"/>
  <c r="K30" i="24"/>
  <c r="K29" i="24"/>
  <c r="K28" i="24"/>
  <c r="K27" i="24"/>
  <c r="K26" i="24"/>
  <c r="K25" i="24"/>
  <c r="K24" i="24"/>
  <c r="K23" i="24"/>
  <c r="K22" i="24"/>
  <c r="K20" i="24"/>
  <c r="K14" i="24"/>
  <c r="K16" i="24"/>
  <c r="K17" i="24"/>
  <c r="J227" i="24"/>
  <c r="K5" i="24"/>
  <c r="L9" i="24"/>
  <c r="J352" i="3"/>
  <c r="D247" i="20" s="1"/>
  <c r="K352" i="3"/>
  <c r="D248" i="20" s="1"/>
  <c r="L352" i="3"/>
  <c r="D249" i="20" s="1"/>
  <c r="H351" i="3"/>
  <c r="D20" i="20" s="1"/>
  <c r="I351" i="3"/>
  <c r="J351" i="3"/>
  <c r="D21" i="20" s="1"/>
  <c r="K351" i="3"/>
  <c r="D22" i="20" s="1"/>
  <c r="L351" i="3"/>
  <c r="D23" i="20" s="1"/>
  <c r="G351" i="3"/>
  <c r="D19" i="20" s="1"/>
  <c r="L28" i="24" l="1"/>
  <c r="L24" i="24"/>
  <c r="L31" i="24"/>
  <c r="L30" i="24"/>
  <c r="L29" i="24"/>
  <c r="L27" i="24"/>
  <c r="L25" i="24"/>
  <c r="L23" i="24"/>
  <c r="L22" i="24"/>
  <c r="L14" i="24"/>
  <c r="L26" i="24"/>
  <c r="L20" i="24"/>
  <c r="L17" i="24"/>
  <c r="L16" i="24"/>
  <c r="M9" i="24"/>
  <c r="K227" i="24"/>
  <c r="L5" i="24"/>
  <c r="M31" i="24" l="1"/>
  <c r="M30" i="24"/>
  <c r="M29" i="24"/>
  <c r="M28" i="24"/>
  <c r="M27" i="24"/>
  <c r="M26" i="24"/>
  <c r="M25" i="24"/>
  <c r="M24" i="24"/>
  <c r="M23" i="24"/>
  <c r="M22" i="24"/>
  <c r="M20" i="24"/>
  <c r="M14" i="24"/>
  <c r="M16" i="24"/>
  <c r="M17" i="24"/>
  <c r="L227" i="24"/>
  <c r="M5" i="24"/>
  <c r="N9" i="24"/>
  <c r="D432" i="17"/>
  <c r="D388" i="17"/>
  <c r="F212" i="17"/>
  <c r="N31" i="24" l="1"/>
  <c r="N30" i="24"/>
  <c r="N29" i="24"/>
  <c r="N28" i="24"/>
  <c r="N27" i="24"/>
  <c r="N26" i="24"/>
  <c r="N25" i="24"/>
  <c r="N24" i="24"/>
  <c r="N23" i="24"/>
  <c r="N22" i="24"/>
  <c r="N20" i="24"/>
  <c r="N17" i="24"/>
  <c r="N14" i="24"/>
  <c r="N16" i="24"/>
  <c r="N19" i="24"/>
  <c r="N18" i="24"/>
  <c r="O9" i="24"/>
  <c r="M227" i="24"/>
  <c r="N5" i="24"/>
  <c r="J39" i="10"/>
  <c r="I39" i="10"/>
  <c r="H39" i="10"/>
  <c r="G39" i="10"/>
  <c r="F39" i="10"/>
  <c r="O31" i="24" l="1"/>
  <c r="O30" i="24"/>
  <c r="O29" i="24"/>
  <c r="O28" i="24"/>
  <c r="O27" i="24"/>
  <c r="O26" i="24"/>
  <c r="O25" i="24"/>
  <c r="O24" i="24"/>
  <c r="O23" i="24"/>
  <c r="O22" i="24"/>
  <c r="O20" i="24"/>
  <c r="O14" i="24"/>
  <c r="O16" i="24"/>
  <c r="O17" i="24"/>
  <c r="N227" i="24"/>
  <c r="O5" i="24"/>
  <c r="P9" i="24"/>
  <c r="C357" i="3"/>
  <c r="E3" i="15"/>
  <c r="P22" i="24" l="1"/>
  <c r="P14" i="24"/>
  <c r="P31" i="24"/>
  <c r="P30" i="24"/>
  <c r="P29" i="24"/>
  <c r="P28" i="24"/>
  <c r="P26" i="24"/>
  <c r="P24" i="24"/>
  <c r="P20" i="24"/>
  <c r="P27" i="24"/>
  <c r="P25" i="24"/>
  <c r="P23" i="24"/>
  <c r="P16" i="24"/>
  <c r="P17" i="24"/>
  <c r="F357" i="3"/>
  <c r="F128" i="10"/>
  <c r="O182" i="24"/>
  <c r="O227" i="24"/>
  <c r="P5" i="24"/>
  <c r="Q5" i="24" s="1"/>
  <c r="R5" i="24" s="1"/>
  <c r="S5" i="24" s="1"/>
  <c r="T5" i="24" s="1"/>
  <c r="U5" i="24" s="1"/>
  <c r="V5" i="24" s="1"/>
  <c r="W5" i="24" s="1"/>
  <c r="X5" i="24" s="1"/>
  <c r="Y5" i="24" s="1"/>
  <c r="Q9" i="24"/>
  <c r="F148" i="3"/>
  <c r="D337" i="17"/>
  <c r="O13" i="24"/>
  <c r="O178" i="24" s="1"/>
  <c r="P13" i="24"/>
  <c r="D330" i="17"/>
  <c r="Q31" i="24" l="1"/>
  <c r="Q30" i="24"/>
  <c r="Q29" i="24"/>
  <c r="Q28" i="24"/>
  <c r="Q27" i="24"/>
  <c r="Q26" i="24"/>
  <c r="Q25" i="24"/>
  <c r="Q24" i="24"/>
  <c r="Q23" i="24"/>
  <c r="Q22" i="24"/>
  <c r="Q20" i="24"/>
  <c r="Q14" i="24"/>
  <c r="Q16" i="24"/>
  <c r="Q17" i="24"/>
  <c r="D293" i="17"/>
  <c r="D358" i="17"/>
  <c r="D351" i="17"/>
  <c r="D344" i="17"/>
  <c r="R9" i="24"/>
  <c r="Q13" i="24"/>
  <c r="P182" i="24"/>
  <c r="P183" i="24"/>
  <c r="P178" i="24"/>
  <c r="D256" i="17"/>
  <c r="R31" i="24" l="1"/>
  <c r="R30" i="24"/>
  <c r="R29" i="24"/>
  <c r="R28" i="24"/>
  <c r="R27" i="24"/>
  <c r="R26" i="24"/>
  <c r="R25" i="24"/>
  <c r="R24" i="24"/>
  <c r="R23" i="24"/>
  <c r="R22" i="24"/>
  <c r="R20" i="24"/>
  <c r="R14" i="24"/>
  <c r="R16" i="24"/>
  <c r="R17" i="24"/>
  <c r="D300" i="17"/>
  <c r="D307" i="17"/>
  <c r="D321" i="17"/>
  <c r="D314" i="17"/>
  <c r="R13" i="24"/>
  <c r="S9" i="24"/>
  <c r="Q183" i="24"/>
  <c r="Q178" i="24"/>
  <c r="Q182" i="24"/>
  <c r="D270" i="17"/>
  <c r="D226" i="17"/>
  <c r="S31" i="24" l="1"/>
  <c r="S30" i="24"/>
  <c r="S29" i="24"/>
  <c r="S28" i="24"/>
  <c r="S27" i="24"/>
  <c r="S26" i="24"/>
  <c r="S25" i="24"/>
  <c r="S24" i="24"/>
  <c r="S23" i="24"/>
  <c r="S22" i="24"/>
  <c r="S20" i="24"/>
  <c r="S14" i="24"/>
  <c r="S16" i="24"/>
  <c r="S17" i="24"/>
  <c r="D219" i="17"/>
  <c r="E13" i="24"/>
  <c r="D411" i="17"/>
  <c r="F13" i="24"/>
  <c r="R183" i="24"/>
  <c r="R182" i="24"/>
  <c r="S13" i="24"/>
  <c r="T9" i="24"/>
  <c r="R178" i="24"/>
  <c r="D277" i="17"/>
  <c r="D263" i="17"/>
  <c r="T18" i="24" l="1"/>
  <c r="T20" i="24"/>
  <c r="T16" i="24"/>
  <c r="T17" i="24"/>
  <c r="T31" i="24"/>
  <c r="T30" i="24"/>
  <c r="T29" i="24"/>
  <c r="T28" i="24"/>
  <c r="T27" i="24"/>
  <c r="T25" i="24"/>
  <c r="T23" i="24"/>
  <c r="T19" i="24"/>
  <c r="T26" i="24"/>
  <c r="T24" i="24"/>
  <c r="T22" i="24"/>
  <c r="T14" i="24"/>
  <c r="F85" i="24"/>
  <c r="F104" i="24" s="1"/>
  <c r="F109" i="24"/>
  <c r="F182" i="24" s="1"/>
  <c r="F133" i="24"/>
  <c r="F183" i="24" s="1"/>
  <c r="E85" i="24"/>
  <c r="E104" i="24" s="1"/>
  <c r="E61" i="24"/>
  <c r="E180" i="24" s="1"/>
  <c r="E109" i="24"/>
  <c r="E182" i="24" s="1"/>
  <c r="E133" i="24"/>
  <c r="E183" i="24" s="1"/>
  <c r="E181" i="24"/>
  <c r="F178" i="24"/>
  <c r="D240" i="17"/>
  <c r="H13" i="24"/>
  <c r="H133" i="24" s="1"/>
  <c r="D404" i="17"/>
  <c r="F233" i="24"/>
  <c r="F234" i="24" s="1"/>
  <c r="E178" i="24"/>
  <c r="E233" i="24"/>
  <c r="E234" i="24" s="1"/>
  <c r="D233" i="17"/>
  <c r="G13" i="24"/>
  <c r="S178" i="24"/>
  <c r="T13" i="24"/>
  <c r="U9" i="24"/>
  <c r="S183" i="24"/>
  <c r="S182" i="24"/>
  <c r="Z45" i="23"/>
  <c r="AA45" i="23" s="1"/>
  <c r="AB45" i="23" s="1"/>
  <c r="D284" i="17"/>
  <c r="D374" i="17"/>
  <c r="D367" i="17"/>
  <c r="D418" i="17"/>
  <c r="U31" i="24" l="1"/>
  <c r="U30" i="24"/>
  <c r="U29" i="24"/>
  <c r="U28" i="24"/>
  <c r="U27" i="24"/>
  <c r="U26" i="24"/>
  <c r="U25" i="24"/>
  <c r="U24" i="24"/>
  <c r="U23" i="24"/>
  <c r="U22" i="24"/>
  <c r="U20" i="24"/>
  <c r="U14" i="24"/>
  <c r="U16" i="24"/>
  <c r="U17" i="24"/>
  <c r="F181" i="24"/>
  <c r="G233" i="24"/>
  <c r="G234" i="24" s="1"/>
  <c r="G109" i="24"/>
  <c r="G182" i="24" s="1"/>
  <c r="G133" i="24"/>
  <c r="G183" i="24" s="1"/>
  <c r="G178" i="24"/>
  <c r="F32" i="24"/>
  <c r="F235" i="24" s="1"/>
  <c r="F236" i="24" s="1"/>
  <c r="F228" i="24" s="1"/>
  <c r="F163" i="24"/>
  <c r="E32" i="24"/>
  <c r="E235" i="24" s="1"/>
  <c r="E236" i="24" s="1"/>
  <c r="E228" i="24" s="1"/>
  <c r="E163" i="24"/>
  <c r="E80" i="24"/>
  <c r="E162" i="24" s="1"/>
  <c r="D247" i="17"/>
  <c r="I13" i="24"/>
  <c r="D381" i="17"/>
  <c r="G32" i="24"/>
  <c r="G181" i="3"/>
  <c r="H178" i="24"/>
  <c r="H233" i="24"/>
  <c r="H234" i="24" s="1"/>
  <c r="H183" i="24"/>
  <c r="D425" i="17"/>
  <c r="V9" i="24"/>
  <c r="U13" i="24"/>
  <c r="T178" i="24"/>
  <c r="T182" i="24"/>
  <c r="T183" i="24"/>
  <c r="J13" i="24"/>
  <c r="J178" i="24" s="1"/>
  <c r="V31" i="24" l="1"/>
  <c r="V30" i="24"/>
  <c r="V29" i="24"/>
  <c r="V28" i="24"/>
  <c r="V27" i="24"/>
  <c r="V26" i="24"/>
  <c r="V25" i="24"/>
  <c r="V24" i="24"/>
  <c r="V23" i="24"/>
  <c r="V22" i="24"/>
  <c r="V20" i="24"/>
  <c r="V14" i="24"/>
  <c r="V16" i="24"/>
  <c r="V17" i="24"/>
  <c r="F152" i="24"/>
  <c r="F165" i="24" s="1"/>
  <c r="F128" i="24"/>
  <c r="F164" i="24" s="1"/>
  <c r="E160" i="24"/>
  <c r="E187" i="24" s="1"/>
  <c r="F160" i="24"/>
  <c r="F187" i="24" s="1"/>
  <c r="D395" i="17"/>
  <c r="G160" i="24"/>
  <c r="G187" i="24" s="1"/>
  <c r="G235" i="24"/>
  <c r="G236" i="24" s="1"/>
  <c r="G228" i="24" s="1"/>
  <c r="I178" i="24"/>
  <c r="I233" i="24"/>
  <c r="I234" i="24" s="1"/>
  <c r="J233" i="24"/>
  <c r="J234" i="24" s="1"/>
  <c r="E128" i="24"/>
  <c r="G128" i="24"/>
  <c r="F181" i="3"/>
  <c r="E152" i="24" s="1"/>
  <c r="G152" i="24"/>
  <c r="V13" i="24"/>
  <c r="W9" i="24"/>
  <c r="U178" i="24"/>
  <c r="U182" i="24"/>
  <c r="U183" i="24"/>
  <c r="K13" i="24"/>
  <c r="K233" i="24" s="1"/>
  <c r="K234" i="24" s="1"/>
  <c r="W31" i="24" l="1"/>
  <c r="W30" i="24"/>
  <c r="W29" i="24"/>
  <c r="W28" i="24"/>
  <c r="W27" i="24"/>
  <c r="W26" i="24"/>
  <c r="W25" i="24"/>
  <c r="W24" i="24"/>
  <c r="W23" i="24"/>
  <c r="W22" i="24"/>
  <c r="W20" i="24"/>
  <c r="W14" i="24"/>
  <c r="W16" i="24"/>
  <c r="W17" i="24"/>
  <c r="K178" i="24"/>
  <c r="E165" i="24"/>
  <c r="E164" i="24"/>
  <c r="G165" i="24"/>
  <c r="G164" i="24"/>
  <c r="V178" i="24"/>
  <c r="V182" i="24"/>
  <c r="W13" i="24"/>
  <c r="X9" i="24"/>
  <c r="V183" i="24"/>
  <c r="L13" i="24"/>
  <c r="X31" i="24" l="1"/>
  <c r="X30" i="24"/>
  <c r="X29" i="24"/>
  <c r="X28" i="24"/>
  <c r="X26" i="24"/>
  <c r="X24" i="24"/>
  <c r="X23" i="24"/>
  <c r="X22" i="24"/>
  <c r="X20" i="24"/>
  <c r="X14" i="24"/>
  <c r="X27" i="24"/>
  <c r="X25" i="24"/>
  <c r="X16" i="24"/>
  <c r="X17" i="24"/>
  <c r="L178" i="24"/>
  <c r="L233" i="24"/>
  <c r="L234" i="24" s="1"/>
  <c r="X13" i="24"/>
  <c r="Y9" i="24"/>
  <c r="W183" i="24"/>
  <c r="W178" i="24"/>
  <c r="W182" i="24"/>
  <c r="N13" i="24"/>
  <c r="M13" i="24"/>
  <c r="Y31" i="24" l="1"/>
  <c r="Y30" i="24"/>
  <c r="Y29" i="24"/>
  <c r="Y28" i="24"/>
  <c r="Y27" i="24"/>
  <c r="Y26" i="24"/>
  <c r="D26" i="24" s="1"/>
  <c r="D214" i="24" s="1"/>
  <c r="Y25" i="24"/>
  <c r="D25" i="24" s="1"/>
  <c r="D213" i="24" s="1"/>
  <c r="Y24" i="24"/>
  <c r="Y23" i="24"/>
  <c r="Y22" i="24"/>
  <c r="D22" i="24" s="1"/>
  <c r="D210" i="24" s="1"/>
  <c r="Y20" i="24"/>
  <c r="D20" i="24" s="1"/>
  <c r="D208" i="24" s="1"/>
  <c r="Y14" i="24"/>
  <c r="Y16" i="24"/>
  <c r="Y17" i="24"/>
  <c r="T233" i="24"/>
  <c r="T234" i="24" s="1"/>
  <c r="U233" i="24"/>
  <c r="U234" i="24" s="1"/>
  <c r="W233" i="24"/>
  <c r="W234" i="24" s="1"/>
  <c r="V233" i="24"/>
  <c r="V234" i="24" s="1"/>
  <c r="P233" i="24"/>
  <c r="P234" i="24" s="1"/>
  <c r="M233" i="24"/>
  <c r="M234" i="24" s="1"/>
  <c r="N178" i="24"/>
  <c r="M178" i="24"/>
  <c r="O233" i="24"/>
  <c r="O234" i="24" s="1"/>
  <c r="R233" i="24"/>
  <c r="R234" i="24" s="1"/>
  <c r="Q233" i="24"/>
  <c r="Q234" i="24" s="1"/>
  <c r="N233" i="24"/>
  <c r="N234" i="24" s="1"/>
  <c r="S233" i="24"/>
  <c r="S234" i="24" s="1"/>
  <c r="D28" i="24"/>
  <c r="D30" i="24"/>
  <c r="D24" i="24"/>
  <c r="D212" i="24" s="1"/>
  <c r="D29" i="24"/>
  <c r="D27" i="24"/>
  <c r="D31" i="24"/>
  <c r="D23" i="24"/>
  <c r="D211" i="24" s="1"/>
  <c r="Y13" i="24"/>
  <c r="X178" i="24"/>
  <c r="X233" i="24"/>
  <c r="X234" i="24" s="1"/>
  <c r="X183" i="24"/>
  <c r="X182" i="24"/>
  <c r="D14" i="24" l="1"/>
  <c r="D206" i="24" s="1"/>
  <c r="D17" i="24"/>
  <c r="D16" i="24"/>
  <c r="D215" i="24"/>
  <c r="Y182" i="24"/>
  <c r="Y183" i="24"/>
  <c r="Y178" i="24"/>
  <c r="Y233" i="24"/>
  <c r="Y234" i="24" s="1"/>
  <c r="D13" i="24"/>
  <c r="D205" i="24" s="1"/>
  <c r="E89" i="22" l="1"/>
  <c r="E88" i="22"/>
  <c r="E76" i="22"/>
  <c r="E75" i="22"/>
  <c r="E63" i="22"/>
  <c r="E62" i="22"/>
  <c r="E50" i="22"/>
  <c r="E49" i="22"/>
  <c r="E37" i="22"/>
  <c r="E36" i="22"/>
  <c r="E24" i="22"/>
  <c r="E23" i="22"/>
  <c r="E87" i="22" l="1"/>
  <c r="E74" i="22"/>
  <c r="E90" i="22" l="1"/>
  <c r="E77" i="22"/>
  <c r="E64" i="22"/>
  <c r="E51" i="22"/>
  <c r="E38" i="22"/>
  <c r="E25" i="22"/>
  <c r="D82" i="22" l="1"/>
  <c r="D69" i="22"/>
  <c r="D56" i="22"/>
  <c r="D43" i="22"/>
  <c r="D30" i="22"/>
  <c r="E61" i="22"/>
  <c r="E48" i="22"/>
  <c r="E35" i="22"/>
  <c r="E22" i="22"/>
  <c r="E3" i="22"/>
  <c r="F7" i="22"/>
  <c r="G7" i="22"/>
  <c r="H7" i="22"/>
  <c r="I7" i="22"/>
  <c r="J7" i="22"/>
  <c r="D53" i="3" l="1"/>
  <c r="D134" i="21" l="1"/>
  <c r="F133" i="21"/>
  <c r="G133" i="21" s="1"/>
  <c r="H133" i="21" s="1"/>
  <c r="I133" i="21" s="1"/>
  <c r="J133" i="21" s="1"/>
  <c r="K133" i="21" s="1"/>
  <c r="L133" i="21" s="1"/>
  <c r="M133" i="21" s="1"/>
  <c r="N133" i="21" s="1"/>
  <c r="O133" i="21" s="1"/>
  <c r="P133" i="21" s="1"/>
  <c r="Q133" i="21" s="1"/>
  <c r="R133" i="21" s="1"/>
  <c r="S133" i="21" s="1"/>
  <c r="T133" i="21" s="1"/>
  <c r="U133" i="21" s="1"/>
  <c r="V133" i="21" s="1"/>
  <c r="W133" i="21" s="1"/>
  <c r="X133" i="21" s="1"/>
  <c r="Y133" i="21" s="1"/>
  <c r="Z133" i="21" s="1"/>
  <c r="D109" i="21"/>
  <c r="F108" i="21"/>
  <c r="G108" i="21" s="1"/>
  <c r="H108" i="21" s="1"/>
  <c r="I108" i="21" s="1"/>
  <c r="J108" i="21" s="1"/>
  <c r="K108" i="21" s="1"/>
  <c r="L108" i="21" s="1"/>
  <c r="M108" i="21" s="1"/>
  <c r="N108" i="21" s="1"/>
  <c r="O108" i="21" s="1"/>
  <c r="P108" i="21" s="1"/>
  <c r="Q108" i="21" s="1"/>
  <c r="R108" i="21" s="1"/>
  <c r="S108" i="21" s="1"/>
  <c r="T108" i="21" s="1"/>
  <c r="U108" i="21" s="1"/>
  <c r="V108" i="21" s="1"/>
  <c r="W108" i="21" s="1"/>
  <c r="X108" i="21" s="1"/>
  <c r="Y108" i="21" s="1"/>
  <c r="Z108" i="21" s="1"/>
  <c r="D84" i="21"/>
  <c r="F83" i="21"/>
  <c r="G83" i="21" s="1"/>
  <c r="H83" i="21" s="1"/>
  <c r="I83" i="21" s="1"/>
  <c r="J83" i="21" s="1"/>
  <c r="K83" i="21" s="1"/>
  <c r="L83" i="21" s="1"/>
  <c r="M83" i="21" s="1"/>
  <c r="N83" i="21" s="1"/>
  <c r="O83" i="21" s="1"/>
  <c r="P83" i="21" s="1"/>
  <c r="Q83" i="21" s="1"/>
  <c r="R83" i="21" s="1"/>
  <c r="S83" i="21" s="1"/>
  <c r="T83" i="21" s="1"/>
  <c r="U83" i="21" s="1"/>
  <c r="V83" i="21" s="1"/>
  <c r="W83" i="21" s="1"/>
  <c r="X83" i="21" s="1"/>
  <c r="Y83" i="21" s="1"/>
  <c r="Z83" i="21" s="1"/>
  <c r="D59" i="21"/>
  <c r="F58" i="21"/>
  <c r="G58" i="21" s="1"/>
  <c r="H58" i="21" s="1"/>
  <c r="I58" i="21" s="1"/>
  <c r="J58" i="21" s="1"/>
  <c r="K58" i="21" s="1"/>
  <c r="L58" i="21" s="1"/>
  <c r="M58" i="21" s="1"/>
  <c r="N58" i="21" s="1"/>
  <c r="O58" i="21" s="1"/>
  <c r="P58" i="21" s="1"/>
  <c r="Q58" i="21" s="1"/>
  <c r="R58" i="21" s="1"/>
  <c r="S58" i="21" s="1"/>
  <c r="T58" i="21" s="1"/>
  <c r="U58" i="21" s="1"/>
  <c r="V58" i="21" s="1"/>
  <c r="W58" i="21" s="1"/>
  <c r="X58" i="21" s="1"/>
  <c r="Y58" i="21" s="1"/>
  <c r="Z58" i="21" s="1"/>
  <c r="D34" i="21"/>
  <c r="F33" i="21"/>
  <c r="G33" i="21" s="1"/>
  <c r="H33" i="21" s="1"/>
  <c r="I33" i="21" s="1"/>
  <c r="J33" i="21" s="1"/>
  <c r="K33" i="21" s="1"/>
  <c r="L33" i="21" s="1"/>
  <c r="M33" i="21" s="1"/>
  <c r="N33" i="21" s="1"/>
  <c r="O33" i="21" s="1"/>
  <c r="P33" i="21" s="1"/>
  <c r="Q33" i="21" s="1"/>
  <c r="R33" i="21" s="1"/>
  <c r="S33" i="21" s="1"/>
  <c r="T33" i="21" s="1"/>
  <c r="U33" i="21" s="1"/>
  <c r="V33" i="21" s="1"/>
  <c r="W33" i="21" s="1"/>
  <c r="X33" i="21" s="1"/>
  <c r="Y33" i="21" s="1"/>
  <c r="Z33" i="21" s="1"/>
  <c r="F8" i="21"/>
  <c r="G8" i="21" s="1"/>
  <c r="H8" i="21" s="1"/>
  <c r="I8" i="21" s="1"/>
  <c r="J8" i="21" s="1"/>
  <c r="K8" i="21" s="1"/>
  <c r="L8" i="21" s="1"/>
  <c r="M8" i="21" s="1"/>
  <c r="N8" i="21" s="1"/>
  <c r="O8" i="21" s="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D30" i="21"/>
  <c r="D12" i="21"/>
  <c r="D13" i="21"/>
  <c r="D14" i="21"/>
  <c r="D15" i="21"/>
  <c r="D9" i="21"/>
  <c r="D5" i="21"/>
  <c r="D9" i="10" l="1"/>
  <c r="L357" i="3"/>
  <c r="D38" i="3"/>
  <c r="D67" i="3" s="1"/>
  <c r="D29" i="3"/>
  <c r="C15" i="24" s="1"/>
  <c r="C207" i="24" s="1"/>
  <c r="G128" i="10" l="1"/>
  <c r="E128" i="10"/>
  <c r="H128" i="10"/>
  <c r="J357" i="3"/>
  <c r="E357" i="3"/>
  <c r="G44" i="4" l="1"/>
  <c r="H44" i="4" s="1"/>
  <c r="I44" i="4" s="1"/>
  <c r="G43" i="4"/>
  <c r="H43" i="4" s="1"/>
  <c r="I43" i="4" s="1"/>
  <c r="G41" i="4"/>
  <c r="H41" i="4" s="1"/>
  <c r="I41" i="4" s="1"/>
  <c r="G42" i="4"/>
  <c r="H42" i="4" s="1"/>
  <c r="I42" i="4" s="1"/>
  <c r="D22" i="10"/>
  <c r="E22" i="10" s="1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I23" i="10"/>
  <c r="I22" i="10"/>
  <c r="I21" i="10"/>
  <c r="I20" i="10"/>
  <c r="I19" i="10"/>
  <c r="I18" i="10"/>
  <c r="I17" i="10"/>
  <c r="I16" i="10"/>
  <c r="I15" i="10"/>
  <c r="D39" i="3"/>
  <c r="D123" i="3"/>
  <c r="D35" i="3"/>
  <c r="G76" i="4"/>
  <c r="H352" i="3" s="1"/>
  <c r="D246" i="20" s="1"/>
  <c r="G178" i="3"/>
  <c r="H178" i="3"/>
  <c r="I178" i="3"/>
  <c r="J178" i="3"/>
  <c r="K178" i="3"/>
  <c r="M178" i="3"/>
  <c r="N178" i="3"/>
  <c r="O178" i="3"/>
  <c r="P178" i="3"/>
  <c r="Q178" i="3"/>
  <c r="S178" i="3"/>
  <c r="T178" i="3"/>
  <c r="U178" i="3"/>
  <c r="V178" i="3"/>
  <c r="W178" i="3"/>
  <c r="G149" i="3"/>
  <c r="H149" i="3"/>
  <c r="I149" i="3"/>
  <c r="J149" i="3"/>
  <c r="K149" i="3"/>
  <c r="M149" i="3"/>
  <c r="N149" i="3"/>
  <c r="O149" i="3"/>
  <c r="P149" i="3"/>
  <c r="Q149" i="3"/>
  <c r="S149" i="3"/>
  <c r="T149" i="3"/>
  <c r="U149" i="3"/>
  <c r="V149" i="3"/>
  <c r="W149" i="3"/>
  <c r="G117" i="3"/>
  <c r="H117" i="3"/>
  <c r="I117" i="3"/>
  <c r="J117" i="3"/>
  <c r="K117" i="3"/>
  <c r="M117" i="3"/>
  <c r="N117" i="3"/>
  <c r="O117" i="3"/>
  <c r="P117" i="3"/>
  <c r="Q117" i="3"/>
  <c r="S117" i="3"/>
  <c r="T117" i="3"/>
  <c r="U117" i="3"/>
  <c r="V117" i="3"/>
  <c r="W117" i="3"/>
  <c r="G118" i="3"/>
  <c r="H118" i="3"/>
  <c r="I118" i="3"/>
  <c r="J118" i="3"/>
  <c r="K118" i="3"/>
  <c r="M118" i="3"/>
  <c r="N118" i="3"/>
  <c r="O118" i="3"/>
  <c r="P118" i="3"/>
  <c r="Q118" i="3"/>
  <c r="S118" i="3"/>
  <c r="T118" i="3"/>
  <c r="U118" i="3"/>
  <c r="V118" i="3"/>
  <c r="W118" i="3"/>
  <c r="G119" i="3"/>
  <c r="H119" i="3"/>
  <c r="I119" i="3"/>
  <c r="J119" i="3"/>
  <c r="K119" i="3"/>
  <c r="M119" i="3"/>
  <c r="N119" i="3"/>
  <c r="O119" i="3"/>
  <c r="P119" i="3"/>
  <c r="Q119" i="3"/>
  <c r="S119" i="3"/>
  <c r="T119" i="3"/>
  <c r="U119" i="3"/>
  <c r="V119" i="3"/>
  <c r="W119" i="3"/>
  <c r="G120" i="3"/>
  <c r="H120" i="3"/>
  <c r="I120" i="3"/>
  <c r="J120" i="3"/>
  <c r="K120" i="3"/>
  <c r="M120" i="3"/>
  <c r="N120" i="3"/>
  <c r="O120" i="3"/>
  <c r="P120" i="3"/>
  <c r="Q120" i="3"/>
  <c r="S120" i="3"/>
  <c r="T120" i="3"/>
  <c r="U120" i="3"/>
  <c r="V120" i="3"/>
  <c r="W120" i="3"/>
  <c r="G90" i="3"/>
  <c r="H90" i="3"/>
  <c r="I90" i="3"/>
  <c r="J90" i="3"/>
  <c r="K90" i="3"/>
  <c r="M90" i="3"/>
  <c r="N90" i="3"/>
  <c r="O90" i="3"/>
  <c r="P90" i="3"/>
  <c r="Q90" i="3"/>
  <c r="S90" i="3"/>
  <c r="T90" i="3"/>
  <c r="U90" i="3"/>
  <c r="V90" i="3"/>
  <c r="W90" i="3"/>
  <c r="G91" i="3"/>
  <c r="H91" i="3"/>
  <c r="I91" i="3"/>
  <c r="J91" i="3"/>
  <c r="K91" i="3"/>
  <c r="M91" i="3"/>
  <c r="N91" i="3"/>
  <c r="O91" i="3"/>
  <c r="P91" i="3"/>
  <c r="Q91" i="3"/>
  <c r="S91" i="3"/>
  <c r="T91" i="3"/>
  <c r="U91" i="3"/>
  <c r="V91" i="3"/>
  <c r="W91" i="3"/>
  <c r="G61" i="3"/>
  <c r="H61" i="3"/>
  <c r="I61" i="3"/>
  <c r="J61" i="3"/>
  <c r="K61" i="3"/>
  <c r="M61" i="3"/>
  <c r="N61" i="3"/>
  <c r="O61" i="3"/>
  <c r="P61" i="3"/>
  <c r="Q61" i="3"/>
  <c r="S61" i="3"/>
  <c r="T61" i="3"/>
  <c r="U61" i="3"/>
  <c r="V61" i="3"/>
  <c r="W61" i="3"/>
  <c r="G62" i="3"/>
  <c r="H62" i="3"/>
  <c r="I62" i="3"/>
  <c r="J62" i="3"/>
  <c r="K62" i="3"/>
  <c r="M62" i="3"/>
  <c r="N62" i="3"/>
  <c r="O62" i="3"/>
  <c r="P62" i="3"/>
  <c r="Q62" i="3"/>
  <c r="S62" i="3"/>
  <c r="T62" i="3"/>
  <c r="U62" i="3"/>
  <c r="V62" i="3"/>
  <c r="W62" i="3"/>
  <c r="G32" i="3"/>
  <c r="I18" i="24" s="1"/>
  <c r="H32" i="3"/>
  <c r="J18" i="24" s="1"/>
  <c r="J138" i="24" s="1"/>
  <c r="I32" i="3"/>
  <c r="K18" i="24" s="1"/>
  <c r="J32" i="3"/>
  <c r="L18" i="24" s="1"/>
  <c r="K32" i="3"/>
  <c r="M18" i="24" s="1"/>
  <c r="M32" i="3"/>
  <c r="O18" i="24" s="1"/>
  <c r="N32" i="3"/>
  <c r="P18" i="24" s="1"/>
  <c r="O32" i="3"/>
  <c r="Q18" i="24" s="1"/>
  <c r="P32" i="3"/>
  <c r="R18" i="24" s="1"/>
  <c r="Q32" i="3"/>
  <c r="S18" i="24" s="1"/>
  <c r="S32" i="3"/>
  <c r="U18" i="24" s="1"/>
  <c r="T32" i="3"/>
  <c r="V18" i="24" s="1"/>
  <c r="U32" i="3"/>
  <c r="W18" i="24" s="1"/>
  <c r="V32" i="3"/>
  <c r="X18" i="24" s="1"/>
  <c r="W32" i="3"/>
  <c r="Y18" i="24" s="1"/>
  <c r="Y32" i="24" s="1"/>
  <c r="G33" i="3"/>
  <c r="I19" i="24" s="1"/>
  <c r="H33" i="3"/>
  <c r="J19" i="24" s="1"/>
  <c r="J139" i="24" s="1"/>
  <c r="I33" i="3"/>
  <c r="K19" i="24" s="1"/>
  <c r="J33" i="3"/>
  <c r="L19" i="24" s="1"/>
  <c r="K33" i="3"/>
  <c r="M19" i="24" s="1"/>
  <c r="M33" i="3"/>
  <c r="O19" i="24" s="1"/>
  <c r="N33" i="3"/>
  <c r="P19" i="24" s="1"/>
  <c r="O33" i="3"/>
  <c r="Q19" i="24" s="1"/>
  <c r="P33" i="3"/>
  <c r="R19" i="24" s="1"/>
  <c r="Q33" i="3"/>
  <c r="S19" i="24" s="1"/>
  <c r="S33" i="3"/>
  <c r="U19" i="24" s="1"/>
  <c r="T33" i="3"/>
  <c r="V19" i="24" s="1"/>
  <c r="U33" i="3"/>
  <c r="W19" i="24" s="1"/>
  <c r="V33" i="3"/>
  <c r="X19" i="24" s="1"/>
  <c r="W33" i="3"/>
  <c r="Y19" i="24" s="1"/>
  <c r="F76" i="4"/>
  <c r="G352" i="3" s="1"/>
  <c r="D245" i="20" s="1"/>
  <c r="C387" i="20"/>
  <c r="C388" i="20"/>
  <c r="C389" i="20"/>
  <c r="C390" i="20"/>
  <c r="C391" i="20"/>
  <c r="C363" i="20"/>
  <c r="C364" i="20"/>
  <c r="C365" i="20"/>
  <c r="C366" i="20"/>
  <c r="C367" i="20"/>
  <c r="C339" i="20"/>
  <c r="C340" i="20"/>
  <c r="C341" i="20"/>
  <c r="C342" i="20"/>
  <c r="C343" i="20"/>
  <c r="C315" i="20"/>
  <c r="C316" i="20"/>
  <c r="C317" i="20"/>
  <c r="C318" i="20"/>
  <c r="C319" i="20"/>
  <c r="C291" i="20"/>
  <c r="C292" i="20"/>
  <c r="C293" i="20"/>
  <c r="C294" i="20"/>
  <c r="C295" i="20"/>
  <c r="C267" i="20"/>
  <c r="C268" i="20"/>
  <c r="C269" i="20"/>
  <c r="C270" i="20"/>
  <c r="C271" i="20"/>
  <c r="C161" i="20"/>
  <c r="C162" i="20"/>
  <c r="C163" i="20"/>
  <c r="C164" i="20"/>
  <c r="C165" i="20"/>
  <c r="C137" i="20"/>
  <c r="C138" i="20"/>
  <c r="C139" i="20"/>
  <c r="C140" i="20"/>
  <c r="C141" i="20"/>
  <c r="C113" i="20"/>
  <c r="C114" i="20"/>
  <c r="C115" i="20"/>
  <c r="C116" i="20"/>
  <c r="C117" i="20"/>
  <c r="C89" i="20"/>
  <c r="C90" i="20"/>
  <c r="C91" i="20"/>
  <c r="C92" i="20"/>
  <c r="C93" i="20"/>
  <c r="C65" i="20"/>
  <c r="C66" i="20"/>
  <c r="C67" i="20"/>
  <c r="C68" i="20"/>
  <c r="C69" i="20"/>
  <c r="C41" i="20"/>
  <c r="C42" i="20"/>
  <c r="C43" i="20"/>
  <c r="C44" i="20"/>
  <c r="C45" i="20"/>
  <c r="E184" i="3"/>
  <c r="E155" i="3"/>
  <c r="E126" i="3"/>
  <c r="E97" i="3"/>
  <c r="E68" i="3"/>
  <c r="D208" i="3"/>
  <c r="D209" i="3"/>
  <c r="C193" i="17" s="1"/>
  <c r="C118" i="10"/>
  <c r="C198" i="3"/>
  <c r="D221" i="3"/>
  <c r="D169" i="3"/>
  <c r="D140" i="3"/>
  <c r="D111" i="3"/>
  <c r="D82" i="3"/>
  <c r="D216" i="3"/>
  <c r="E216" i="3"/>
  <c r="E217" i="3"/>
  <c r="E218" i="3"/>
  <c r="E219" i="3"/>
  <c r="E220" i="3"/>
  <c r="E215" i="3"/>
  <c r="D215" i="3"/>
  <c r="D214" i="3"/>
  <c r="C33" i="17" s="1"/>
  <c r="C183" i="17" s="1"/>
  <c r="E26" i="17"/>
  <c r="F60" i="4"/>
  <c r="D186" i="17"/>
  <c r="D188" i="17"/>
  <c r="D190" i="17"/>
  <c r="D156" i="17"/>
  <c r="D158" i="17"/>
  <c r="D160" i="17"/>
  <c r="D126" i="17"/>
  <c r="D128" i="17"/>
  <c r="D130" i="17"/>
  <c r="D96" i="17"/>
  <c r="D98" i="17"/>
  <c r="D100" i="17"/>
  <c r="D66" i="17"/>
  <c r="D68" i="17"/>
  <c r="D70" i="17"/>
  <c r="D36" i="17"/>
  <c r="D38" i="17"/>
  <c r="D40" i="17"/>
  <c r="J107" i="10"/>
  <c r="I107" i="10"/>
  <c r="H107" i="10"/>
  <c r="G122" i="10"/>
  <c r="F95" i="10"/>
  <c r="C28" i="12"/>
  <c r="D23" i="21" s="1"/>
  <c r="C29" i="12"/>
  <c r="D24" i="21" s="1"/>
  <c r="C30" i="12"/>
  <c r="D25" i="21" s="1"/>
  <c r="C31" i="12"/>
  <c r="D26" i="21" s="1"/>
  <c r="C32" i="12"/>
  <c r="D27" i="21" s="1"/>
  <c r="C148" i="12"/>
  <c r="D148" i="21" s="1"/>
  <c r="C149" i="12"/>
  <c r="D149" i="21" s="1"/>
  <c r="C150" i="12"/>
  <c r="D150" i="21" s="1"/>
  <c r="C151" i="12"/>
  <c r="D151" i="21" s="1"/>
  <c r="C152" i="12"/>
  <c r="D152" i="21" s="1"/>
  <c r="C124" i="12"/>
  <c r="D123" i="21" s="1"/>
  <c r="C125" i="12"/>
  <c r="D124" i="21" s="1"/>
  <c r="C126" i="12"/>
  <c r="D125" i="21" s="1"/>
  <c r="C127" i="12"/>
  <c r="D126" i="21" s="1"/>
  <c r="C128" i="12"/>
  <c r="D127" i="21" s="1"/>
  <c r="C100" i="12"/>
  <c r="D98" i="21" s="1"/>
  <c r="C101" i="12"/>
  <c r="D99" i="21" s="1"/>
  <c r="C102" i="12"/>
  <c r="D100" i="21" s="1"/>
  <c r="C103" i="12"/>
  <c r="D101" i="21" s="1"/>
  <c r="C104" i="12"/>
  <c r="D102" i="21" s="1"/>
  <c r="C78" i="12"/>
  <c r="D75" i="21" s="1"/>
  <c r="C79" i="12"/>
  <c r="D76" i="21" s="1"/>
  <c r="C80" i="12"/>
  <c r="D77" i="21" s="1"/>
  <c r="C54" i="12"/>
  <c r="D50" i="21" s="1"/>
  <c r="C55" i="12"/>
  <c r="D51" i="21" s="1"/>
  <c r="C56" i="12"/>
  <c r="D52" i="21" s="1"/>
  <c r="C76" i="12"/>
  <c r="D73" i="21" s="1"/>
  <c r="C77" i="12"/>
  <c r="D74" i="21" s="1"/>
  <c r="C52" i="12"/>
  <c r="D48" i="21" s="1"/>
  <c r="C53" i="12"/>
  <c r="D49" i="21" s="1"/>
  <c r="D4" i="24"/>
  <c r="D178" i="3"/>
  <c r="C139" i="24" s="1"/>
  <c r="D177" i="3"/>
  <c r="D176" i="3"/>
  <c r="D175" i="3"/>
  <c r="D174" i="3"/>
  <c r="C135" i="24" s="1"/>
  <c r="D149" i="3"/>
  <c r="D148" i="3"/>
  <c r="D147" i="3"/>
  <c r="D146" i="3"/>
  <c r="D145" i="3"/>
  <c r="D120" i="3"/>
  <c r="D119" i="3"/>
  <c r="D118" i="3"/>
  <c r="D117" i="3"/>
  <c r="D116" i="3"/>
  <c r="D91" i="3"/>
  <c r="D90" i="3"/>
  <c r="D89" i="3"/>
  <c r="D88" i="3"/>
  <c r="D87" i="3"/>
  <c r="D62" i="3"/>
  <c r="D61" i="3"/>
  <c r="C42" i="24" s="1"/>
  <c r="D60" i="3"/>
  <c r="D59" i="3"/>
  <c r="D58" i="3"/>
  <c r="D33" i="3"/>
  <c r="D32" i="3"/>
  <c r="D31" i="3"/>
  <c r="D30" i="3"/>
  <c r="D191" i="3"/>
  <c r="D190" i="3"/>
  <c r="D189" i="3"/>
  <c r="D188" i="3"/>
  <c r="D187" i="3"/>
  <c r="D162" i="3"/>
  <c r="D161" i="3"/>
  <c r="D160" i="3"/>
  <c r="D159" i="3"/>
  <c r="D158" i="3"/>
  <c r="D133" i="3"/>
  <c r="D132" i="3"/>
  <c r="D131" i="3"/>
  <c r="D130" i="3"/>
  <c r="D129" i="3"/>
  <c r="D104" i="3"/>
  <c r="D103" i="3"/>
  <c r="D102" i="3"/>
  <c r="D101" i="3"/>
  <c r="D100" i="3"/>
  <c r="D75" i="3"/>
  <c r="D74" i="3"/>
  <c r="D73" i="3"/>
  <c r="D72" i="3"/>
  <c r="D71" i="3"/>
  <c r="D204" i="17"/>
  <c r="C204" i="17"/>
  <c r="D174" i="17"/>
  <c r="C174" i="17"/>
  <c r="D144" i="17"/>
  <c r="C144" i="17"/>
  <c r="D114" i="17"/>
  <c r="C114" i="17"/>
  <c r="D84" i="17"/>
  <c r="C84" i="17"/>
  <c r="C54" i="17"/>
  <c r="C186" i="17"/>
  <c r="C156" i="17"/>
  <c r="C126" i="17"/>
  <c r="C96" i="17"/>
  <c r="C66" i="17"/>
  <c r="E240" i="3"/>
  <c r="E241" i="3" s="1"/>
  <c r="E242" i="3" s="1"/>
  <c r="E243" i="3" s="1"/>
  <c r="E244" i="3" s="1"/>
  <c r="D239" i="3"/>
  <c r="F12" i="3"/>
  <c r="C189" i="17"/>
  <c r="C190" i="17"/>
  <c r="C188" i="17"/>
  <c r="C187" i="17"/>
  <c r="C185" i="17"/>
  <c r="C184" i="17"/>
  <c r="C159" i="17"/>
  <c r="C160" i="17"/>
  <c r="C158" i="17"/>
  <c r="C157" i="17"/>
  <c r="C155" i="17"/>
  <c r="C154" i="17"/>
  <c r="C129" i="17"/>
  <c r="C130" i="17"/>
  <c r="C128" i="17"/>
  <c r="C127" i="17"/>
  <c r="C125" i="17"/>
  <c r="C124" i="17"/>
  <c r="C99" i="17"/>
  <c r="C69" i="17"/>
  <c r="C100" i="17"/>
  <c r="C98" i="17"/>
  <c r="C97" i="17"/>
  <c r="C95" i="17"/>
  <c r="C94" i="17"/>
  <c r="C70" i="17"/>
  <c r="C68" i="17"/>
  <c r="C67" i="17"/>
  <c r="C65" i="17"/>
  <c r="C64" i="17"/>
  <c r="C40" i="17"/>
  <c r="C39" i="17"/>
  <c r="C38" i="17"/>
  <c r="C37" i="17"/>
  <c r="C36" i="17"/>
  <c r="C35" i="17"/>
  <c r="C34" i="17"/>
  <c r="D300" i="3"/>
  <c r="E339" i="3"/>
  <c r="E340" i="3" s="1"/>
  <c r="E341" i="3" s="1"/>
  <c r="E342" i="3" s="1"/>
  <c r="E343" i="3" s="1"/>
  <c r="D338" i="3"/>
  <c r="E272" i="3"/>
  <c r="E273" i="3" s="1"/>
  <c r="E274" i="3" s="1"/>
  <c r="E275" i="3" s="1"/>
  <c r="E276" i="3" s="1"/>
  <c r="E256" i="3"/>
  <c r="E257" i="3" s="1"/>
  <c r="E258" i="3" s="1"/>
  <c r="E259" i="3" s="1"/>
  <c r="E260" i="3" s="1"/>
  <c r="D255" i="3"/>
  <c r="D247" i="3"/>
  <c r="D231" i="3"/>
  <c r="D223" i="3"/>
  <c r="G64" i="4"/>
  <c r="D204" i="3"/>
  <c r="G75" i="4"/>
  <c r="H75" i="4"/>
  <c r="H76" i="4"/>
  <c r="I352" i="3" s="1"/>
  <c r="F75" i="4"/>
  <c r="F352" i="3"/>
  <c r="F351" i="3"/>
  <c r="H350" i="3"/>
  <c r="I350" i="3"/>
  <c r="G350" i="3"/>
  <c r="D76" i="4"/>
  <c r="D75" i="4"/>
  <c r="E39" i="10"/>
  <c r="E122" i="10" s="1"/>
  <c r="D108" i="10"/>
  <c r="C193" i="20"/>
  <c r="D96" i="10" s="1"/>
  <c r="E234" i="20"/>
  <c r="E236" i="20"/>
  <c r="F239" i="20"/>
  <c r="G239" i="20" s="1"/>
  <c r="B251" i="20"/>
  <c r="C400" i="20" s="1"/>
  <c r="C254" i="20"/>
  <c r="C420" i="20" s="1"/>
  <c r="C255" i="20"/>
  <c r="C421" i="20" s="1"/>
  <c r="C262" i="20"/>
  <c r="C424" i="20" s="1"/>
  <c r="C263" i="20"/>
  <c r="C425" i="20" s="1"/>
  <c r="C264" i="20"/>
  <c r="C426" i="20" s="1"/>
  <c r="C265" i="20"/>
  <c r="C427" i="20" s="1"/>
  <c r="C266" i="20"/>
  <c r="C428" i="20" s="1"/>
  <c r="D114" i="3"/>
  <c r="D143" i="3"/>
  <c r="D172" i="3"/>
  <c r="C419" i="20"/>
  <c r="C430" i="20"/>
  <c r="E7" i="20"/>
  <c r="E9" i="20"/>
  <c r="F12" i="20"/>
  <c r="I12" i="20" s="1"/>
  <c r="B25" i="20"/>
  <c r="D220" i="20" s="1"/>
  <c r="C28" i="20"/>
  <c r="C194" i="20" s="1"/>
  <c r="C29" i="20"/>
  <c r="C195" i="20" s="1"/>
  <c r="C36" i="20"/>
  <c r="C198" i="20" s="1"/>
  <c r="C37" i="20"/>
  <c r="C199" i="20" s="1"/>
  <c r="C38" i="20"/>
  <c r="C200" i="20" s="1"/>
  <c r="C39" i="20"/>
  <c r="C201" i="20" s="1"/>
  <c r="C40" i="20"/>
  <c r="C202" i="20" s="1"/>
  <c r="C204" i="20"/>
  <c r="C53" i="17"/>
  <c r="C203" i="17" s="1"/>
  <c r="C52" i="17"/>
  <c r="C172" i="17" s="1"/>
  <c r="D330" i="3"/>
  <c r="D322" i="3"/>
  <c r="B293" i="17"/>
  <c r="B12" i="12"/>
  <c r="D233" i="12" s="1"/>
  <c r="D311" i="3"/>
  <c r="D271" i="3"/>
  <c r="D292" i="3"/>
  <c r="D284" i="3"/>
  <c r="D263" i="3"/>
  <c r="E5" i="12"/>
  <c r="D54" i="17"/>
  <c r="E11" i="10"/>
  <c r="C192" i="12"/>
  <c r="C188" i="12"/>
  <c r="Y32" i="3"/>
  <c r="Y33" i="3"/>
  <c r="Z178" i="3"/>
  <c r="Y178" i="3"/>
  <c r="Z149" i="3"/>
  <c r="Y149" i="3"/>
  <c r="Z120" i="3"/>
  <c r="Y120" i="3"/>
  <c r="Z119" i="3"/>
  <c r="Y119" i="3"/>
  <c r="Z118" i="3"/>
  <c r="Y118" i="3"/>
  <c r="Z117" i="3"/>
  <c r="Y117" i="3"/>
  <c r="Z91" i="3"/>
  <c r="Y91" i="3"/>
  <c r="Z90" i="3"/>
  <c r="Y90" i="3"/>
  <c r="Z62" i="3"/>
  <c r="Y62" i="3"/>
  <c r="Z61" i="3"/>
  <c r="Y61" i="3"/>
  <c r="Z33" i="3"/>
  <c r="Z32" i="3"/>
  <c r="C15" i="12"/>
  <c r="C16" i="12"/>
  <c r="C128" i="10"/>
  <c r="E4" i="10"/>
  <c r="D63" i="10" s="1"/>
  <c r="C23" i="12"/>
  <c r="C24" i="12"/>
  <c r="C25" i="12"/>
  <c r="C26" i="12"/>
  <c r="C27" i="12"/>
  <c r="C217" i="12"/>
  <c r="C206" i="12"/>
  <c r="D51" i="10"/>
  <c r="D40" i="10"/>
  <c r="I4" i="10"/>
  <c r="E3" i="12"/>
  <c r="E6" i="10"/>
  <c r="E23" i="10"/>
  <c r="E29" i="10"/>
  <c r="E30" i="10"/>
  <c r="K128" i="10"/>
  <c r="S32" i="24" l="1"/>
  <c r="S160" i="24" s="1"/>
  <c r="S187" i="24" s="1"/>
  <c r="F9" i="20"/>
  <c r="E105" i="24"/>
  <c r="F105" i="24"/>
  <c r="Y235" i="24"/>
  <c r="Y236" i="24" s="1"/>
  <c r="Y228" i="24" s="1"/>
  <c r="Y160" i="24"/>
  <c r="Y187" i="24" s="1"/>
  <c r="I139" i="24"/>
  <c r="I115" i="24"/>
  <c r="M32" i="24"/>
  <c r="M33" i="24" s="1"/>
  <c r="M169" i="24" s="1"/>
  <c r="M191" i="24" s="1"/>
  <c r="I114" i="24"/>
  <c r="I138" i="24"/>
  <c r="E10" i="12"/>
  <c r="F5" i="12"/>
  <c r="E24" i="17" s="1"/>
  <c r="O32" i="24"/>
  <c r="O160" i="24" s="1"/>
  <c r="O187" i="24" s="1"/>
  <c r="U32" i="24"/>
  <c r="U33" i="24" s="1"/>
  <c r="U169" i="24" s="1"/>
  <c r="U191" i="24" s="1"/>
  <c r="P32" i="24"/>
  <c r="P33" i="24" s="1"/>
  <c r="P169" i="24" s="1"/>
  <c r="P191" i="24" s="1"/>
  <c r="K32" i="24"/>
  <c r="K235" i="24" s="1"/>
  <c r="K236" i="24" s="1"/>
  <c r="K228" i="24" s="1"/>
  <c r="W32" i="24"/>
  <c r="W160" i="24" s="1"/>
  <c r="W187" i="24" s="1"/>
  <c r="R32" i="24"/>
  <c r="R160" i="24" s="1"/>
  <c r="R187" i="24" s="1"/>
  <c r="N32" i="24"/>
  <c r="N235" i="24" s="1"/>
  <c r="N236" i="24" s="1"/>
  <c r="N228" i="24" s="1"/>
  <c r="I32" i="24"/>
  <c r="I33" i="24" s="1"/>
  <c r="I169" i="24" s="1"/>
  <c r="I191" i="24" s="1"/>
  <c r="C374" i="20"/>
  <c r="C134" i="24"/>
  <c r="C87" i="12"/>
  <c r="D85" i="21" s="1"/>
  <c r="C86" i="24"/>
  <c r="C48" i="12"/>
  <c r="D44" i="21" s="1"/>
  <c r="C47" i="24"/>
  <c r="C71" i="12"/>
  <c r="D68" i="21" s="1"/>
  <c r="C70" i="24"/>
  <c r="C75" i="12"/>
  <c r="D72" i="21" s="1"/>
  <c r="C74" i="24"/>
  <c r="C98" i="12"/>
  <c r="D96" i="21" s="1"/>
  <c r="C97" i="24"/>
  <c r="C121" i="12"/>
  <c r="D120" i="21" s="1"/>
  <c r="C120" i="24"/>
  <c r="C383" i="20"/>
  <c r="C143" i="24"/>
  <c r="C40" i="12"/>
  <c r="D36" i="21" s="1"/>
  <c r="C39" i="24"/>
  <c r="C44" i="12"/>
  <c r="D40" i="21" s="1"/>
  <c r="C43" i="24"/>
  <c r="C306" i="20"/>
  <c r="C66" i="24"/>
  <c r="C103" i="20"/>
  <c r="C89" i="24"/>
  <c r="C126" i="20"/>
  <c r="C112" i="24"/>
  <c r="F172" i="24"/>
  <c r="E81" i="24"/>
  <c r="F33" i="24"/>
  <c r="F169" i="24" s="1"/>
  <c r="F191" i="24" s="1"/>
  <c r="E33" i="24"/>
  <c r="G33" i="24"/>
  <c r="G169" i="24" s="1"/>
  <c r="G191" i="24" s="1"/>
  <c r="F129" i="24"/>
  <c r="F173" i="24" s="1"/>
  <c r="F153" i="24"/>
  <c r="F174" i="24" s="1"/>
  <c r="E129" i="24"/>
  <c r="G129" i="24"/>
  <c r="G173" i="24" s="1"/>
  <c r="E153" i="24"/>
  <c r="G153" i="24"/>
  <c r="G174" i="24" s="1"/>
  <c r="Y33" i="24"/>
  <c r="Y169" i="24" s="1"/>
  <c r="Y191" i="24" s="1"/>
  <c r="D19" i="24"/>
  <c r="U235" i="24"/>
  <c r="U236" i="24" s="1"/>
  <c r="U228" i="24" s="1"/>
  <c r="H152" i="24"/>
  <c r="C260" i="20"/>
  <c r="C422" i="20" s="1"/>
  <c r="C20" i="24"/>
  <c r="C208" i="24" s="1"/>
  <c r="C302" i="20"/>
  <c r="C62" i="24"/>
  <c r="C62" i="20"/>
  <c r="C48" i="24"/>
  <c r="C311" i="20"/>
  <c r="C71" i="24"/>
  <c r="C334" i="20"/>
  <c r="C94" i="24"/>
  <c r="C338" i="20"/>
  <c r="C98" i="24"/>
  <c r="C135" i="20"/>
  <c r="C121" i="24"/>
  <c r="C158" i="20"/>
  <c r="C144" i="24"/>
  <c r="C280" i="20"/>
  <c r="C40" i="24"/>
  <c r="C303" i="20"/>
  <c r="C63" i="24"/>
  <c r="C307" i="20"/>
  <c r="C67" i="24"/>
  <c r="C104" i="20"/>
  <c r="C90" i="24"/>
  <c r="C353" i="20"/>
  <c r="C113" i="24"/>
  <c r="C150" i="20"/>
  <c r="C136" i="24"/>
  <c r="X32" i="24"/>
  <c r="T32" i="24"/>
  <c r="J32" i="24"/>
  <c r="C39" i="12"/>
  <c r="D35" i="21" s="1"/>
  <c r="C38" i="24"/>
  <c r="C289" i="20"/>
  <c r="C49" i="24"/>
  <c r="C73" i="12"/>
  <c r="D70" i="21" s="1"/>
  <c r="C72" i="24"/>
  <c r="C109" i="20"/>
  <c r="C95" i="24"/>
  <c r="C358" i="20"/>
  <c r="C118" i="24"/>
  <c r="C362" i="20"/>
  <c r="C122" i="24"/>
  <c r="C159" i="20"/>
  <c r="C145" i="24"/>
  <c r="C281" i="20"/>
  <c r="C41" i="24"/>
  <c r="C65" i="12"/>
  <c r="D62" i="21" s="1"/>
  <c r="C64" i="24"/>
  <c r="C101" i="20"/>
  <c r="C87" i="24"/>
  <c r="C331" i="20"/>
  <c r="C91" i="24"/>
  <c r="C128" i="20"/>
  <c r="C114" i="24"/>
  <c r="C151" i="20"/>
  <c r="C137" i="24"/>
  <c r="C261" i="20"/>
  <c r="C423" i="20" s="1"/>
  <c r="C21" i="24"/>
  <c r="C209" i="24" s="1"/>
  <c r="C350" i="20"/>
  <c r="C110" i="24"/>
  <c r="C286" i="20"/>
  <c r="C46" i="24"/>
  <c r="C64" i="20"/>
  <c r="C50" i="24"/>
  <c r="C74" i="12"/>
  <c r="D71" i="21" s="1"/>
  <c r="C73" i="24"/>
  <c r="C110" i="20"/>
  <c r="C96" i="24"/>
  <c r="C133" i="20"/>
  <c r="C119" i="24"/>
  <c r="C156" i="20"/>
  <c r="C142" i="24"/>
  <c r="C386" i="20"/>
  <c r="C146" i="24"/>
  <c r="C79" i="20"/>
  <c r="C65" i="24"/>
  <c r="C89" i="12"/>
  <c r="D87" i="21" s="1"/>
  <c r="C88" i="24"/>
  <c r="C125" i="20"/>
  <c r="C111" i="24"/>
  <c r="C355" i="20"/>
  <c r="C115" i="24"/>
  <c r="C152" i="20"/>
  <c r="C138" i="24"/>
  <c r="V32" i="24"/>
  <c r="Q32" i="24"/>
  <c r="L32" i="24"/>
  <c r="H32" i="24"/>
  <c r="D18" i="24"/>
  <c r="M131" i="20"/>
  <c r="D4" i="12"/>
  <c r="E9" i="12" s="1"/>
  <c r="W12" i="20"/>
  <c r="D217" i="3"/>
  <c r="D55" i="21"/>
  <c r="D218" i="3"/>
  <c r="D80" i="21"/>
  <c r="D219" i="3"/>
  <c r="D105" i="21"/>
  <c r="D220" i="3"/>
  <c r="D130" i="21"/>
  <c r="D42" i="10"/>
  <c r="D11" i="21"/>
  <c r="T261" i="20"/>
  <c r="P12" i="20"/>
  <c r="D46" i="10"/>
  <c r="D19" i="21"/>
  <c r="C215" i="12"/>
  <c r="D22" i="21"/>
  <c r="C211" i="12"/>
  <c r="D18" i="21"/>
  <c r="D41" i="10"/>
  <c r="D10" i="21"/>
  <c r="V12" i="20"/>
  <c r="D48" i="10"/>
  <c r="D21" i="21"/>
  <c r="C213" i="12"/>
  <c r="D20" i="21"/>
  <c r="K12" i="20"/>
  <c r="L12" i="20"/>
  <c r="B347" i="20"/>
  <c r="H417" i="20" s="1"/>
  <c r="C360" i="20"/>
  <c r="C337" i="20"/>
  <c r="D315" i="3"/>
  <c r="C120" i="12"/>
  <c r="D119" i="21" s="1"/>
  <c r="C87" i="20"/>
  <c r="C290" i="20"/>
  <c r="C51" i="12"/>
  <c r="D47" i="21" s="1"/>
  <c r="C160" i="20"/>
  <c r="C143" i="12"/>
  <c r="D143" i="21" s="1"/>
  <c r="D94" i="3"/>
  <c r="B108" i="12"/>
  <c r="B150" i="17" s="1"/>
  <c r="B365" i="17" s="1"/>
  <c r="C102" i="20"/>
  <c r="C382" i="20"/>
  <c r="D227" i="3"/>
  <c r="C134" i="20"/>
  <c r="C359" i="20"/>
  <c r="D251" i="3"/>
  <c r="C123" i="17"/>
  <c r="C148" i="20"/>
  <c r="C21" i="12"/>
  <c r="C376" i="20"/>
  <c r="C327" i="20"/>
  <c r="C47" i="12"/>
  <c r="D43" i="21" s="1"/>
  <c r="C60" i="20"/>
  <c r="C22" i="12"/>
  <c r="C42" i="12"/>
  <c r="D38" i="21" s="1"/>
  <c r="D266" i="3"/>
  <c r="C304" i="20"/>
  <c r="D126" i="3"/>
  <c r="C93" i="24" s="1"/>
  <c r="G12" i="3"/>
  <c r="C144" i="12"/>
  <c r="D144" i="21" s="1"/>
  <c r="C63" i="12"/>
  <c r="D60" i="21" s="1"/>
  <c r="C116" i="12"/>
  <c r="D115" i="21" s="1"/>
  <c r="C328" i="20"/>
  <c r="C305" i="20"/>
  <c r="G95" i="10"/>
  <c r="D61" i="10"/>
  <c r="D181" i="3"/>
  <c r="D295" i="3"/>
  <c r="C111" i="20"/>
  <c r="C66" i="12"/>
  <c r="D63" i="21" s="1"/>
  <c r="D65" i="3"/>
  <c r="C157" i="20"/>
  <c r="C129" i="20"/>
  <c r="C335" i="20"/>
  <c r="C312" i="20"/>
  <c r="D242" i="3"/>
  <c r="D59" i="10"/>
  <c r="Y107" i="20"/>
  <c r="D45" i="10"/>
  <c r="N155" i="20"/>
  <c r="S35" i="20"/>
  <c r="R59" i="20"/>
  <c r="N59" i="20"/>
  <c r="F59" i="20"/>
  <c r="N107" i="20"/>
  <c r="E160" i="20"/>
  <c r="R155" i="20"/>
  <c r="C76" i="20"/>
  <c r="B299" i="20"/>
  <c r="F417" i="20" s="1"/>
  <c r="D68" i="3"/>
  <c r="C45" i="24" s="1"/>
  <c r="C90" i="12"/>
  <c r="D88" i="21" s="1"/>
  <c r="B60" i="12"/>
  <c r="C181" i="12" s="1"/>
  <c r="C63" i="20"/>
  <c r="R12" i="20"/>
  <c r="G12" i="20"/>
  <c r="C153" i="17"/>
  <c r="D97" i="3"/>
  <c r="D184" i="3"/>
  <c r="C141" i="24" s="1"/>
  <c r="C352" i="20"/>
  <c r="D155" i="3"/>
  <c r="C117" i="24" s="1"/>
  <c r="E38" i="20"/>
  <c r="C35" i="20"/>
  <c r="C197" i="20" s="1"/>
  <c r="L35" i="20"/>
  <c r="W59" i="20"/>
  <c r="S83" i="20"/>
  <c r="K83" i="20"/>
  <c r="E113" i="20"/>
  <c r="W107" i="20"/>
  <c r="T12" i="20"/>
  <c r="O12" i="20"/>
  <c r="J12" i="20"/>
  <c r="X12" i="20"/>
  <c r="S12" i="20"/>
  <c r="N12" i="20"/>
  <c r="H12" i="20"/>
  <c r="E41" i="20"/>
  <c r="H107" i="20"/>
  <c r="E39" i="20"/>
  <c r="X83" i="20"/>
  <c r="C145" i="12"/>
  <c r="D145" i="21" s="1"/>
  <c r="C85" i="20"/>
  <c r="D151" i="3"/>
  <c r="C137" i="12"/>
  <c r="D137" i="21" s="1"/>
  <c r="D233" i="3"/>
  <c r="F64" i="4"/>
  <c r="D19" i="17" s="1"/>
  <c r="C96" i="12"/>
  <c r="D94" i="21" s="1"/>
  <c r="C88" i="12"/>
  <c r="D86" i="21" s="1"/>
  <c r="C138" i="12"/>
  <c r="D138" i="21" s="1"/>
  <c r="D287" i="3"/>
  <c r="D274" i="3"/>
  <c r="C132" i="20"/>
  <c r="C105" i="20"/>
  <c r="C78" i="20"/>
  <c r="C54" i="20"/>
  <c r="Y12" i="20"/>
  <c r="U12" i="20"/>
  <c r="Q12" i="20"/>
  <c r="M12" i="20"/>
  <c r="C361" i="20"/>
  <c r="C354" i="20"/>
  <c r="L239" i="20"/>
  <c r="D304" i="3"/>
  <c r="I95" i="10"/>
  <c r="C86" i="20"/>
  <c r="C77" i="20"/>
  <c r="D122" i="3"/>
  <c r="C92" i="24" s="1"/>
  <c r="C93" i="17"/>
  <c r="C43" i="17"/>
  <c r="C102" i="17"/>
  <c r="C133" i="17"/>
  <c r="C161" i="17"/>
  <c r="C146" i="12"/>
  <c r="D146" i="21" s="1"/>
  <c r="C97" i="12"/>
  <c r="D95" i="21" s="1"/>
  <c r="C41" i="12"/>
  <c r="D37" i="21" s="1"/>
  <c r="C68" i="12"/>
  <c r="D65" i="21" s="1"/>
  <c r="C91" i="12"/>
  <c r="D89" i="21" s="1"/>
  <c r="C114" i="12"/>
  <c r="D113" i="21" s="1"/>
  <c r="D152" i="3"/>
  <c r="C47" i="17"/>
  <c r="B219" i="17" s="1"/>
  <c r="C127" i="20"/>
  <c r="C81" i="20"/>
  <c r="C55" i="20"/>
  <c r="C385" i="20"/>
  <c r="C377" i="20"/>
  <c r="C336" i="20"/>
  <c r="C330" i="20"/>
  <c r="C313" i="20"/>
  <c r="I122" i="10"/>
  <c r="D343" i="3"/>
  <c r="C191" i="17"/>
  <c r="Y35" i="20"/>
  <c r="I35" i="20"/>
  <c r="E62" i="20"/>
  <c r="X59" i="20"/>
  <c r="H285" i="20"/>
  <c r="E312" i="20"/>
  <c r="L83" i="20"/>
  <c r="E110" i="20"/>
  <c r="E138" i="20"/>
  <c r="X131" i="20"/>
  <c r="P131" i="20"/>
  <c r="L155" i="20"/>
  <c r="H155" i="20"/>
  <c r="E148" i="20"/>
  <c r="C119" i="12"/>
  <c r="D118" i="21" s="1"/>
  <c r="C64" i="12"/>
  <c r="D61" i="21" s="1"/>
  <c r="D293" i="3"/>
  <c r="C136" i="20"/>
  <c r="D64" i="3"/>
  <c r="D260" i="3"/>
  <c r="C63" i="17"/>
  <c r="D120" i="10"/>
  <c r="C147" i="12"/>
  <c r="D147" i="21" s="1"/>
  <c r="C123" i="12"/>
  <c r="D122" i="21" s="1"/>
  <c r="C50" i="12"/>
  <c r="D46" i="21" s="1"/>
  <c r="C214" i="12"/>
  <c r="C111" i="12"/>
  <c r="D110" i="21" s="1"/>
  <c r="C92" i="12"/>
  <c r="D90" i="21" s="1"/>
  <c r="C115" i="12"/>
  <c r="D114" i="21" s="1"/>
  <c r="D286" i="3"/>
  <c r="D294" i="3"/>
  <c r="D276" i="3"/>
  <c r="F310" i="3"/>
  <c r="D324" i="3"/>
  <c r="C34" i="20"/>
  <c r="C196" i="20" s="1"/>
  <c r="D180" i="3"/>
  <c r="C140" i="24" s="1"/>
  <c r="D93" i="3"/>
  <c r="C68" i="24" s="1"/>
  <c r="J122" i="10"/>
  <c r="D224" i="3"/>
  <c r="C41" i="17"/>
  <c r="T35" i="20"/>
  <c r="J155" i="20"/>
  <c r="E332" i="20"/>
  <c r="C142" i="17"/>
  <c r="F122" i="10"/>
  <c r="R309" i="20"/>
  <c r="E154" i="20"/>
  <c r="C202" i="17"/>
  <c r="D49" i="10"/>
  <c r="E228" i="12"/>
  <c r="C82" i="17"/>
  <c r="C143" i="17"/>
  <c r="I107" i="20"/>
  <c r="E156" i="20"/>
  <c r="E269" i="20"/>
  <c r="D46" i="12"/>
  <c r="E210" i="12" s="1"/>
  <c r="F44" i="10" s="1"/>
  <c r="E115" i="20"/>
  <c r="Q107" i="20"/>
  <c r="E135" i="20"/>
  <c r="E159" i="20"/>
  <c r="E82" i="20"/>
  <c r="B2" i="15"/>
  <c r="D118" i="12"/>
  <c r="H210" i="12" s="1"/>
  <c r="I44" i="10" s="1"/>
  <c r="D142" i="12"/>
  <c r="I210" i="12" s="1"/>
  <c r="J44" i="10" s="1"/>
  <c r="C83" i="17"/>
  <c r="C173" i="17"/>
  <c r="D94" i="12"/>
  <c r="G210" i="12" s="1"/>
  <c r="H44" i="10" s="1"/>
  <c r="C113" i="17"/>
  <c r="V239" i="20"/>
  <c r="H122" i="10"/>
  <c r="F155" i="20"/>
  <c r="E117" i="20"/>
  <c r="O107" i="20"/>
  <c r="K107" i="20"/>
  <c r="H95" i="10"/>
  <c r="G9" i="20"/>
  <c r="Q239" i="20"/>
  <c r="H59" i="20"/>
  <c r="F83" i="20"/>
  <c r="E112" i="20"/>
  <c r="E164" i="20"/>
  <c r="E34" i="20"/>
  <c r="D272" i="3"/>
  <c r="D316" i="3"/>
  <c r="D331" i="3"/>
  <c r="D236" i="3"/>
  <c r="D305" i="3"/>
  <c r="D264" i="3"/>
  <c r="D289" i="3"/>
  <c r="D273" i="3"/>
  <c r="D332" i="3"/>
  <c r="B73" i="20"/>
  <c r="B371" i="20"/>
  <c r="I417" i="20" s="1"/>
  <c r="D228" i="3"/>
  <c r="D339" i="3"/>
  <c r="D244" i="3"/>
  <c r="D268" i="3"/>
  <c r="D327" i="3"/>
  <c r="B49" i="20"/>
  <c r="C184" i="20" s="1"/>
  <c r="D252" i="3"/>
  <c r="D265" i="3"/>
  <c r="D285" i="3"/>
  <c r="D297" i="3"/>
  <c r="D313" i="3"/>
  <c r="B132" i="12"/>
  <c r="I204" i="12" s="1"/>
  <c r="D323" i="3"/>
  <c r="D335" i="3"/>
  <c r="B145" i="20"/>
  <c r="I191" i="20" s="1"/>
  <c r="D248" i="3"/>
  <c r="D257" i="3"/>
  <c r="D340" i="3"/>
  <c r="D301" i="3"/>
  <c r="B30" i="17"/>
  <c r="B217" i="17" s="1"/>
  <c r="C179" i="12"/>
  <c r="D204" i="12"/>
  <c r="E131" i="20"/>
  <c r="E215" i="20"/>
  <c r="D325" i="3"/>
  <c r="D333" i="3"/>
  <c r="B323" i="20"/>
  <c r="C412" i="20" s="1"/>
  <c r="D341" i="3"/>
  <c r="D288" i="3"/>
  <c r="D275" i="3"/>
  <c r="D312" i="3"/>
  <c r="B36" i="12"/>
  <c r="C171" i="12" s="1"/>
  <c r="D326" i="3"/>
  <c r="D334" i="3"/>
  <c r="D234" i="3"/>
  <c r="D250" i="3"/>
  <c r="D256" i="3"/>
  <c r="D303" i="3"/>
  <c r="D240" i="3"/>
  <c r="D57" i="10"/>
  <c r="D267" i="3"/>
  <c r="D296" i="3"/>
  <c r="D314" i="3"/>
  <c r="B84" i="12"/>
  <c r="C182" i="12" s="1"/>
  <c r="B121" i="20"/>
  <c r="H191" i="20" s="1"/>
  <c r="B97" i="20"/>
  <c r="C177" i="20" s="1"/>
  <c r="B275" i="20"/>
  <c r="E417" i="20" s="1"/>
  <c r="D226" i="3"/>
  <c r="D232" i="3"/>
  <c r="D258" i="3"/>
  <c r="D243" i="3"/>
  <c r="D60" i="10"/>
  <c r="D191" i="20"/>
  <c r="C183" i="20"/>
  <c r="C174" i="20"/>
  <c r="Y239" i="20"/>
  <c r="T239" i="20"/>
  <c r="N239" i="20"/>
  <c r="I239" i="20"/>
  <c r="G107" i="10"/>
  <c r="E28" i="20"/>
  <c r="X35" i="20"/>
  <c r="O35" i="20"/>
  <c r="G35" i="20"/>
  <c r="E64" i="20"/>
  <c r="T59" i="20"/>
  <c r="M59" i="20"/>
  <c r="E59" i="20"/>
  <c r="E90" i="20"/>
  <c r="E88" i="20"/>
  <c r="W83" i="20"/>
  <c r="P83" i="20"/>
  <c r="H83" i="20"/>
  <c r="E114" i="20"/>
  <c r="U107" i="20"/>
  <c r="M107" i="20"/>
  <c r="F107" i="20"/>
  <c r="E137" i="20"/>
  <c r="U131" i="20"/>
  <c r="L131" i="20"/>
  <c r="V155" i="20"/>
  <c r="K155" i="20"/>
  <c r="E271" i="20"/>
  <c r="E69" i="20"/>
  <c r="E295" i="20"/>
  <c r="E289" i="20"/>
  <c r="E63" i="20"/>
  <c r="K285" i="20"/>
  <c r="K59" i="20"/>
  <c r="E316" i="20"/>
  <c r="E313" i="20"/>
  <c r="E162" i="20"/>
  <c r="C212" i="12"/>
  <c r="C112" i="17"/>
  <c r="D446" i="20"/>
  <c r="C409" i="20"/>
  <c r="X239" i="20"/>
  <c r="R239" i="20"/>
  <c r="M239" i="20"/>
  <c r="H239" i="20"/>
  <c r="F107" i="10"/>
  <c r="E124" i="20"/>
  <c r="E52" i="20"/>
  <c r="E45" i="20"/>
  <c r="E37" i="20"/>
  <c r="U35" i="20"/>
  <c r="N35" i="20"/>
  <c r="F35" i="20"/>
  <c r="E66" i="20"/>
  <c r="E60" i="20"/>
  <c r="S59" i="20"/>
  <c r="J59" i="20"/>
  <c r="E92" i="20"/>
  <c r="E87" i="20"/>
  <c r="V83" i="20"/>
  <c r="N83" i="20"/>
  <c r="G83" i="20"/>
  <c r="E111" i="20"/>
  <c r="E108" i="20"/>
  <c r="R107" i="20"/>
  <c r="L107" i="20"/>
  <c r="E106" i="20"/>
  <c r="E141" i="20"/>
  <c r="E136" i="20"/>
  <c r="E133" i="20"/>
  <c r="T131" i="20"/>
  <c r="H131" i="20"/>
  <c r="S155" i="20"/>
  <c r="E40" i="20"/>
  <c r="E36" i="20"/>
  <c r="V35" i="20"/>
  <c r="F261" i="20"/>
  <c r="E292" i="20"/>
  <c r="H333" i="20"/>
  <c r="Q261" i="20"/>
  <c r="Q35" i="20"/>
  <c r="M261" i="20"/>
  <c r="M35" i="20"/>
  <c r="E342" i="20"/>
  <c r="E116" i="20"/>
  <c r="E366" i="20"/>
  <c r="E140" i="20"/>
  <c r="P381" i="20"/>
  <c r="P155" i="20"/>
  <c r="C161" i="12"/>
  <c r="C170" i="12"/>
  <c r="D417" i="20"/>
  <c r="F240" i="20"/>
  <c r="G240" i="20" s="1"/>
  <c r="U239" i="20"/>
  <c r="P239" i="20"/>
  <c r="J239" i="20"/>
  <c r="J95" i="10"/>
  <c r="E86" i="20"/>
  <c r="R83" i="20"/>
  <c r="E155" i="20"/>
  <c r="M155" i="20"/>
  <c r="Q155" i="20"/>
  <c r="U155" i="20"/>
  <c r="Y155" i="20"/>
  <c r="E157" i="20"/>
  <c r="E161" i="20"/>
  <c r="E165" i="20"/>
  <c r="G131" i="20"/>
  <c r="K131" i="20"/>
  <c r="O131" i="20"/>
  <c r="S131" i="20"/>
  <c r="W131" i="20"/>
  <c r="T155" i="20"/>
  <c r="X155" i="20"/>
  <c r="F131" i="20"/>
  <c r="J131" i="20"/>
  <c r="N131" i="20"/>
  <c r="R131" i="20"/>
  <c r="V131" i="20"/>
  <c r="E132" i="20"/>
  <c r="E139" i="20"/>
  <c r="G107" i="20"/>
  <c r="S107" i="20"/>
  <c r="X107" i="20"/>
  <c r="E109" i="20"/>
  <c r="I83" i="20"/>
  <c r="M83" i="20"/>
  <c r="Y83" i="20"/>
  <c r="E85" i="20"/>
  <c r="E89" i="20"/>
  <c r="G59" i="20"/>
  <c r="Q59" i="20"/>
  <c r="E68" i="20"/>
  <c r="H35" i="20"/>
  <c r="G155" i="20"/>
  <c r="O155" i="20"/>
  <c r="W155" i="20"/>
  <c r="E163" i="20"/>
  <c r="I131" i="20"/>
  <c r="Q131" i="20"/>
  <c r="Y131" i="20"/>
  <c r="E107" i="20"/>
  <c r="J107" i="20"/>
  <c r="P107" i="20"/>
  <c r="V107" i="20"/>
  <c r="J83" i="20"/>
  <c r="O83" i="20"/>
  <c r="T83" i="20"/>
  <c r="E84" i="20"/>
  <c r="E91" i="20"/>
  <c r="I59" i="20"/>
  <c r="P59" i="20"/>
  <c r="V59" i="20"/>
  <c r="E67" i="20"/>
  <c r="E35" i="20"/>
  <c r="K35" i="20"/>
  <c r="P35" i="20"/>
  <c r="W35" i="20"/>
  <c r="E44" i="20"/>
  <c r="E76" i="20"/>
  <c r="E100" i="20"/>
  <c r="E43" i="20"/>
  <c r="E93" i="20"/>
  <c r="U309" i="20"/>
  <c r="U83" i="20"/>
  <c r="Q83" i="20"/>
  <c r="E309" i="20"/>
  <c r="E83" i="20"/>
  <c r="D70" i="12"/>
  <c r="F210" i="12" s="1"/>
  <c r="G44" i="10" s="1"/>
  <c r="E308" i="20"/>
  <c r="R381" i="20"/>
  <c r="E357" i="20"/>
  <c r="E362" i="20"/>
  <c r="G309" i="20"/>
  <c r="W309" i="20"/>
  <c r="E290" i="20"/>
  <c r="E294" i="20"/>
  <c r="L261" i="20"/>
  <c r="E391" i="20"/>
  <c r="P333" i="20"/>
  <c r="O309" i="20"/>
  <c r="S285" i="20"/>
  <c r="E286" i="20"/>
  <c r="E260" i="20"/>
  <c r="J381" i="20"/>
  <c r="S309" i="20"/>
  <c r="E311" i="20"/>
  <c r="E315" i="20"/>
  <c r="I285" i="20"/>
  <c r="E291" i="20"/>
  <c r="R261" i="20"/>
  <c r="M357" i="20"/>
  <c r="K309" i="20"/>
  <c r="E270" i="20"/>
  <c r="W261" i="20"/>
  <c r="Y59" i="20"/>
  <c r="U59" i="20"/>
  <c r="U357" i="20"/>
  <c r="Q357" i="20"/>
  <c r="E158" i="20"/>
  <c r="I155" i="20"/>
  <c r="Y261" i="20"/>
  <c r="U261" i="20"/>
  <c r="O261" i="20"/>
  <c r="H261" i="20"/>
  <c r="F285" i="20"/>
  <c r="E314" i="20"/>
  <c r="E310" i="20"/>
  <c r="M309" i="20"/>
  <c r="J309" i="20"/>
  <c r="Y333" i="20"/>
  <c r="F333" i="20"/>
  <c r="S357" i="20"/>
  <c r="O357" i="20"/>
  <c r="L357" i="20"/>
  <c r="X261" i="20"/>
  <c r="R35" i="20"/>
  <c r="N261" i="20"/>
  <c r="K261" i="20"/>
  <c r="G261" i="20"/>
  <c r="E254" i="20"/>
  <c r="W285" i="20"/>
  <c r="P285" i="20"/>
  <c r="Y309" i="20"/>
  <c r="V309" i="20"/>
  <c r="I309" i="20"/>
  <c r="F309" i="20"/>
  <c r="E302" i="20"/>
  <c r="E339" i="20"/>
  <c r="E337" i="20"/>
  <c r="E335" i="20"/>
  <c r="X333" i="20"/>
  <c r="M333" i="20"/>
  <c r="I333" i="20"/>
  <c r="E358" i="20"/>
  <c r="V357" i="20"/>
  <c r="K357" i="20"/>
  <c r="G357" i="20"/>
  <c r="E387" i="20"/>
  <c r="E385" i="20"/>
  <c r="X381" i="20"/>
  <c r="E130" i="20"/>
  <c r="E356" i="20"/>
  <c r="E267" i="20"/>
  <c r="E266" i="20"/>
  <c r="E265" i="20"/>
  <c r="E264" i="20"/>
  <c r="E263" i="20"/>
  <c r="E262" i="20"/>
  <c r="V261" i="20"/>
  <c r="S261" i="20"/>
  <c r="P261" i="20"/>
  <c r="I261" i="20"/>
  <c r="E261" i="20"/>
  <c r="E293" i="20"/>
  <c r="Y285" i="20"/>
  <c r="U285" i="20"/>
  <c r="R285" i="20"/>
  <c r="N285" i="20"/>
  <c r="E319" i="20"/>
  <c r="Q309" i="20"/>
  <c r="N309" i="20"/>
  <c r="V333" i="20"/>
  <c r="R333" i="20"/>
  <c r="O333" i="20"/>
  <c r="K333" i="20"/>
  <c r="E367" i="20"/>
  <c r="E364" i="20"/>
  <c r="E361" i="20"/>
  <c r="E359" i="20"/>
  <c r="X357" i="20"/>
  <c r="I357" i="20"/>
  <c r="E388" i="20"/>
  <c r="E386" i="20"/>
  <c r="H381" i="20"/>
  <c r="E65" i="20"/>
  <c r="X285" i="20"/>
  <c r="T285" i="20"/>
  <c r="Q285" i="20"/>
  <c r="M285" i="20"/>
  <c r="J285" i="20"/>
  <c r="G285" i="20"/>
  <c r="T309" i="20"/>
  <c r="L309" i="20"/>
  <c r="E343" i="20"/>
  <c r="E341" i="20"/>
  <c r="E340" i="20"/>
  <c r="E336" i="20"/>
  <c r="U333" i="20"/>
  <c r="Q333" i="20"/>
  <c r="N333" i="20"/>
  <c r="J333" i="20"/>
  <c r="G333" i="20"/>
  <c r="E326" i="20"/>
  <c r="W357" i="20"/>
  <c r="T357" i="20"/>
  <c r="P357" i="20"/>
  <c r="J357" i="20"/>
  <c r="F357" i="20"/>
  <c r="U381" i="20"/>
  <c r="K381" i="20"/>
  <c r="E381" i="20"/>
  <c r="E284" i="20"/>
  <c r="E288" i="20"/>
  <c r="V285" i="20"/>
  <c r="E285" i="20"/>
  <c r="E278" i="20"/>
  <c r="E318" i="20"/>
  <c r="E317" i="20"/>
  <c r="X309" i="20"/>
  <c r="P309" i="20"/>
  <c r="H309" i="20"/>
  <c r="E338" i="20"/>
  <c r="E334" i="20"/>
  <c r="W333" i="20"/>
  <c r="S333" i="20"/>
  <c r="L333" i="20"/>
  <c r="E333" i="20"/>
  <c r="E365" i="20"/>
  <c r="E363" i="20"/>
  <c r="Y357" i="20"/>
  <c r="R357" i="20"/>
  <c r="N357" i="20"/>
  <c r="H357" i="20"/>
  <c r="E350" i="20"/>
  <c r="E390" i="20"/>
  <c r="E389" i="20"/>
  <c r="E382" i="20"/>
  <c r="S381" i="20"/>
  <c r="M381" i="20"/>
  <c r="E58" i="20"/>
  <c r="F236" i="20"/>
  <c r="E441" i="20"/>
  <c r="C149" i="20"/>
  <c r="C375" i="20"/>
  <c r="J35" i="20"/>
  <c r="J261" i="20"/>
  <c r="D22" i="12"/>
  <c r="D210" i="12" s="1"/>
  <c r="E44" i="10" s="1"/>
  <c r="C208" i="12"/>
  <c r="C72" i="12"/>
  <c r="D69" i="21" s="1"/>
  <c r="C108" i="20"/>
  <c r="C49" i="12"/>
  <c r="D45" i="21" s="1"/>
  <c r="D47" i="10"/>
  <c r="C207" i="12"/>
  <c r="C135" i="12"/>
  <c r="D135" i="21" s="1"/>
  <c r="C80" i="20"/>
  <c r="C329" i="20"/>
  <c r="C279" i="20"/>
  <c r="C53" i="20"/>
  <c r="C283" i="20"/>
  <c r="C57" i="20"/>
  <c r="C153" i="20"/>
  <c r="C379" i="20"/>
  <c r="C113" i="12"/>
  <c r="D112" i="21" s="1"/>
  <c r="C136" i="12"/>
  <c r="D136" i="21" s="1"/>
  <c r="C112" i="20"/>
  <c r="C326" i="20"/>
  <c r="C100" i="20"/>
  <c r="C278" i="20"/>
  <c r="C52" i="20"/>
  <c r="C122" i="12"/>
  <c r="D121" i="21" s="1"/>
  <c r="C99" i="12"/>
  <c r="D97" i="21" s="1"/>
  <c r="C95" i="12"/>
  <c r="D93" i="21" s="1"/>
  <c r="C67" i="12"/>
  <c r="D64" i="21" s="1"/>
  <c r="C140" i="12"/>
  <c r="D140" i="21" s="1"/>
  <c r="C124" i="20"/>
  <c r="C384" i="20"/>
  <c r="C288" i="20"/>
  <c r="C61" i="20"/>
  <c r="C287" i="20"/>
  <c r="C310" i="20"/>
  <c r="C84" i="20"/>
  <c r="C314" i="20"/>
  <c r="C88" i="20"/>
  <c r="C282" i="20"/>
  <c r="C56" i="20"/>
  <c r="C43" i="12"/>
  <c r="D39" i="21" s="1"/>
  <c r="C351" i="20"/>
  <c r="C112" i="12"/>
  <c r="D111" i="21" s="1"/>
  <c r="C378" i="20"/>
  <c r="C139" i="12"/>
  <c r="D139" i="21" s="1"/>
  <c r="E61" i="20"/>
  <c r="E287" i="20"/>
  <c r="W239" i="20"/>
  <c r="S239" i="20"/>
  <c r="O239" i="20"/>
  <c r="K239" i="20"/>
  <c r="C72" i="17"/>
  <c r="C131" i="17"/>
  <c r="C163" i="17"/>
  <c r="D342" i="3"/>
  <c r="D259" i="3"/>
  <c r="D235" i="3"/>
  <c r="E107" i="10"/>
  <c r="E95" i="10"/>
  <c r="E28" i="17"/>
  <c r="F26" i="17"/>
  <c r="G26" i="17" s="1"/>
  <c r="H26" i="17" s="1"/>
  <c r="I26" i="17" s="1"/>
  <c r="J26" i="17" s="1"/>
  <c r="K26" i="17" s="1"/>
  <c r="L26" i="17" s="1"/>
  <c r="M26" i="17" s="1"/>
  <c r="N26" i="17" s="1"/>
  <c r="O26" i="17" s="1"/>
  <c r="P26" i="17" s="1"/>
  <c r="Q26" i="17" s="1"/>
  <c r="R26" i="17" s="1"/>
  <c r="S26" i="17" s="1"/>
  <c r="T26" i="17" s="1"/>
  <c r="U26" i="17" s="1"/>
  <c r="V26" i="17" s="1"/>
  <c r="W26" i="17" s="1"/>
  <c r="X26" i="17" s="1"/>
  <c r="D302" i="3"/>
  <c r="D58" i="10"/>
  <c r="D241" i="3"/>
  <c r="D249" i="3"/>
  <c r="D225" i="3"/>
  <c r="C192" i="17"/>
  <c r="C132" i="17"/>
  <c r="C71" i="17"/>
  <c r="C73" i="17"/>
  <c r="C162" i="17"/>
  <c r="C101" i="17"/>
  <c r="C103" i="17"/>
  <c r="C42" i="17"/>
  <c r="E268" i="20"/>
  <c r="E42" i="20"/>
  <c r="L285" i="20"/>
  <c r="L59" i="20"/>
  <c r="O285" i="20"/>
  <c r="O59" i="20"/>
  <c r="T333" i="20"/>
  <c r="T107" i="20"/>
  <c r="E360" i="20"/>
  <c r="E134" i="20"/>
  <c r="E374" i="20"/>
  <c r="E380" i="20"/>
  <c r="F381" i="20"/>
  <c r="N381" i="20"/>
  <c r="V381" i="20"/>
  <c r="L381" i="20"/>
  <c r="T381" i="20"/>
  <c r="E383" i="20"/>
  <c r="W381" i="20"/>
  <c r="O381" i="20"/>
  <c r="G381" i="20"/>
  <c r="E384" i="20"/>
  <c r="Y381" i="20"/>
  <c r="Q381" i="20"/>
  <c r="I381" i="20"/>
  <c r="S33" i="24" l="1"/>
  <c r="S169" i="24" s="1"/>
  <c r="S191" i="24" s="1"/>
  <c r="S235" i="24"/>
  <c r="S236" i="24" s="1"/>
  <c r="S228" i="24" s="1"/>
  <c r="F141" i="21"/>
  <c r="F117" i="21"/>
  <c r="F93" i="21"/>
  <c r="F69" i="21"/>
  <c r="F45" i="21"/>
  <c r="F148" i="21"/>
  <c r="F124" i="21"/>
  <c r="F100" i="21"/>
  <c r="F122" i="21"/>
  <c r="F92" i="21"/>
  <c r="F62" i="21"/>
  <c r="F147" i="21"/>
  <c r="F113" i="21"/>
  <c r="F70" i="21"/>
  <c r="F39" i="21"/>
  <c r="F118" i="21"/>
  <c r="F64" i="21"/>
  <c r="F95" i="21"/>
  <c r="F46" i="21"/>
  <c r="F66" i="21"/>
  <c r="F74" i="21"/>
  <c r="F14" i="21"/>
  <c r="F25" i="21"/>
  <c r="F10" i="21"/>
  <c r="F16" i="21"/>
  <c r="F125" i="21"/>
  <c r="F101" i="21"/>
  <c r="F60" i="21"/>
  <c r="F138" i="21"/>
  <c r="F150" i="21"/>
  <c r="F76" i="21"/>
  <c r="F91" i="21"/>
  <c r="F142" i="21"/>
  <c r="F40" i="21"/>
  <c r="F90" i="21"/>
  <c r="F35" i="21"/>
  <c r="F20" i="21"/>
  <c r="F12" i="21"/>
  <c r="F145" i="21"/>
  <c r="F121" i="21"/>
  <c r="F97" i="21"/>
  <c r="F73" i="21"/>
  <c r="F49" i="21"/>
  <c r="F152" i="21"/>
  <c r="F135" i="21"/>
  <c r="F112" i="21"/>
  <c r="F140" i="21"/>
  <c r="F94" i="21"/>
  <c r="F71" i="21"/>
  <c r="F42" i="21"/>
  <c r="F119" i="21"/>
  <c r="F75" i="21"/>
  <c r="F47" i="21"/>
  <c r="F126" i="21"/>
  <c r="F72" i="21"/>
  <c r="F151" i="21"/>
  <c r="F67" i="21"/>
  <c r="F85" i="21"/>
  <c r="F123" i="21"/>
  <c r="F18" i="21"/>
  <c r="F19" i="21"/>
  <c r="F27" i="21"/>
  <c r="F17" i="21"/>
  <c r="F149" i="21"/>
  <c r="F77" i="21"/>
  <c r="F37" i="21"/>
  <c r="F116" i="21"/>
  <c r="F102" i="21"/>
  <c r="F43" i="21"/>
  <c r="F127" i="21"/>
  <c r="F52" i="21"/>
  <c r="F110" i="21"/>
  <c r="F68" i="21"/>
  <c r="F38" i="21"/>
  <c r="F22" i="21"/>
  <c r="F23" i="21"/>
  <c r="F137" i="21"/>
  <c r="F115" i="21"/>
  <c r="F89" i="21"/>
  <c r="F63" i="21"/>
  <c r="F41" i="21"/>
  <c r="F144" i="21"/>
  <c r="F120" i="21"/>
  <c r="F96" i="21"/>
  <c r="F114" i="21"/>
  <c r="F88" i="21"/>
  <c r="F48" i="21"/>
  <c r="F139" i="21"/>
  <c r="F99" i="21"/>
  <c r="F65" i="21"/>
  <c r="F146" i="21"/>
  <c r="F98" i="21"/>
  <c r="F50" i="21"/>
  <c r="F87" i="21"/>
  <c r="F143" i="21"/>
  <c r="F44" i="21"/>
  <c r="F51" i="21"/>
  <c r="F26" i="21"/>
  <c r="F21" i="21"/>
  <c r="F24" i="21"/>
  <c r="F13" i="21"/>
  <c r="F15" i="21"/>
  <c r="G215" i="20"/>
  <c r="F10" i="12"/>
  <c r="F14" i="20" s="1"/>
  <c r="E14" i="20"/>
  <c r="F215" i="20"/>
  <c r="F228" i="12"/>
  <c r="F9" i="12"/>
  <c r="M235" i="24"/>
  <c r="M236" i="24" s="1"/>
  <c r="M228" i="24" s="1"/>
  <c r="M160" i="24"/>
  <c r="M187" i="24" s="1"/>
  <c r="G5" i="12"/>
  <c r="D244" i="20"/>
  <c r="E112" i="10" s="1"/>
  <c r="E86" i="12"/>
  <c r="E134" i="12"/>
  <c r="F134" i="21" s="1"/>
  <c r="E38" i="12"/>
  <c r="E62" i="12"/>
  <c r="F59" i="21" s="1"/>
  <c r="E110" i="12"/>
  <c r="E14" i="12"/>
  <c r="F9" i="21" s="1"/>
  <c r="F152" i="12"/>
  <c r="F148" i="12"/>
  <c r="G148" i="21" s="1"/>
  <c r="F144" i="12"/>
  <c r="F135" i="12"/>
  <c r="F128" i="12"/>
  <c r="F124" i="12"/>
  <c r="G123" i="21" s="1"/>
  <c r="F120" i="12"/>
  <c r="F111" i="12"/>
  <c r="F104" i="12"/>
  <c r="F100" i="12"/>
  <c r="G98" i="21" s="1"/>
  <c r="F96" i="12"/>
  <c r="F87" i="12"/>
  <c r="F80" i="12"/>
  <c r="F76" i="12"/>
  <c r="G73" i="21" s="1"/>
  <c r="F72" i="12"/>
  <c r="F63" i="12"/>
  <c r="F56" i="12"/>
  <c r="F52" i="12"/>
  <c r="G48" i="21" s="1"/>
  <c r="F48" i="12"/>
  <c r="F39" i="12"/>
  <c r="F32" i="12"/>
  <c r="F28" i="12"/>
  <c r="G23" i="21" s="1"/>
  <c r="F24" i="12"/>
  <c r="F15" i="12"/>
  <c r="F151" i="12"/>
  <c r="F147" i="12"/>
  <c r="G147" i="21" s="1"/>
  <c r="F143" i="12"/>
  <c r="F127" i="12"/>
  <c r="F123" i="12"/>
  <c r="F119" i="12"/>
  <c r="F103" i="12"/>
  <c r="F99" i="12"/>
  <c r="F95" i="12"/>
  <c r="F79" i="12"/>
  <c r="G76" i="21" s="1"/>
  <c r="F75" i="12"/>
  <c r="F71" i="12"/>
  <c r="F55" i="12"/>
  <c r="F51" i="12"/>
  <c r="G47" i="21" s="1"/>
  <c r="F31" i="12"/>
  <c r="F23" i="12"/>
  <c r="F150" i="12"/>
  <c r="F146" i="12"/>
  <c r="G146" i="21" s="1"/>
  <c r="F126" i="12"/>
  <c r="F122" i="12"/>
  <c r="F102" i="12"/>
  <c r="F98" i="12"/>
  <c r="G96" i="21" s="1"/>
  <c r="F78" i="12"/>
  <c r="F74" i="12"/>
  <c r="F54" i="12"/>
  <c r="F50" i="12"/>
  <c r="G46" i="21" s="1"/>
  <c r="F30" i="12"/>
  <c r="F26" i="12"/>
  <c r="F149" i="12"/>
  <c r="F145" i="12"/>
  <c r="G145" i="21" s="1"/>
  <c r="F141" i="12"/>
  <c r="F125" i="12"/>
  <c r="F121" i="12"/>
  <c r="F117" i="12"/>
  <c r="G116" i="21" s="1"/>
  <c r="F101" i="12"/>
  <c r="F97" i="12"/>
  <c r="F93" i="12"/>
  <c r="F77" i="12"/>
  <c r="G74" i="21" s="1"/>
  <c r="F73" i="12"/>
  <c r="F69" i="12"/>
  <c r="F53" i="12"/>
  <c r="F49" i="12"/>
  <c r="G45" i="21" s="1"/>
  <c r="F45" i="12"/>
  <c r="F29" i="12"/>
  <c r="F25" i="12"/>
  <c r="F21" i="12"/>
  <c r="G16" i="21" s="1"/>
  <c r="F47" i="12"/>
  <c r="F27" i="12"/>
  <c r="I160" i="24"/>
  <c r="I187" i="24" s="1"/>
  <c r="P160" i="24"/>
  <c r="P187" i="24" s="1"/>
  <c r="O235" i="24"/>
  <c r="O236" i="24" s="1"/>
  <c r="O228" i="24" s="1"/>
  <c r="N33" i="24"/>
  <c r="N169" i="24" s="1"/>
  <c r="N191" i="24" s="1"/>
  <c r="P235" i="24"/>
  <c r="P236" i="24" s="1"/>
  <c r="P228" i="24" s="1"/>
  <c r="O33" i="24"/>
  <c r="O169" i="24" s="1"/>
  <c r="O191" i="24" s="1"/>
  <c r="W235" i="24"/>
  <c r="W236" i="24" s="1"/>
  <c r="W228" i="24" s="1"/>
  <c r="R33" i="24"/>
  <c r="R169" i="24" s="1"/>
  <c r="R191" i="24" s="1"/>
  <c r="R235" i="24"/>
  <c r="R236" i="24" s="1"/>
  <c r="R228" i="24" s="1"/>
  <c r="W33" i="24"/>
  <c r="W169" i="24" s="1"/>
  <c r="W191" i="24" s="1"/>
  <c r="U160" i="24"/>
  <c r="U187" i="24" s="1"/>
  <c r="K160" i="24"/>
  <c r="K187" i="24" s="1"/>
  <c r="H240" i="20"/>
  <c r="I240" i="20" s="1"/>
  <c r="J240" i="20" s="1"/>
  <c r="K240" i="20" s="1"/>
  <c r="L240" i="20" s="1"/>
  <c r="M240" i="20" s="1"/>
  <c r="N240" i="20" s="1"/>
  <c r="O240" i="20" s="1"/>
  <c r="P240" i="20" s="1"/>
  <c r="Q240" i="20" s="1"/>
  <c r="R240" i="20" s="1"/>
  <c r="S240" i="20" s="1"/>
  <c r="T240" i="20" s="1"/>
  <c r="U240" i="20" s="1"/>
  <c r="V240" i="20" s="1"/>
  <c r="W240" i="20" s="1"/>
  <c r="X240" i="20" s="1"/>
  <c r="Y240" i="20" s="1"/>
  <c r="K33" i="24"/>
  <c r="K169" i="24" s="1"/>
  <c r="K191" i="24" s="1"/>
  <c r="D207" i="24"/>
  <c r="D216" i="24" s="1"/>
  <c r="N160" i="24"/>
  <c r="N187" i="24" s="1"/>
  <c r="I235" i="24"/>
  <c r="I236" i="24" s="1"/>
  <c r="I228" i="24" s="1"/>
  <c r="Q235" i="24"/>
  <c r="Q236" i="24" s="1"/>
  <c r="Q228" i="24" s="1"/>
  <c r="Q160" i="24"/>
  <c r="Q187" i="24" s="1"/>
  <c r="Q33" i="24"/>
  <c r="Q169" i="24" s="1"/>
  <c r="Q191" i="24" s="1"/>
  <c r="E174" i="24"/>
  <c r="V160" i="24"/>
  <c r="V187" i="24" s="1"/>
  <c r="V235" i="24"/>
  <c r="V236" i="24" s="1"/>
  <c r="V228" i="24" s="1"/>
  <c r="V33" i="24"/>
  <c r="V169" i="24" s="1"/>
  <c r="V191" i="24" s="1"/>
  <c r="H235" i="24"/>
  <c r="H236" i="24" s="1"/>
  <c r="H228" i="24" s="1"/>
  <c r="H160" i="24"/>
  <c r="H187" i="24" s="1"/>
  <c r="H33" i="24"/>
  <c r="H169" i="24" s="1"/>
  <c r="H191" i="24" s="1"/>
  <c r="D32" i="24"/>
  <c r="T235" i="24"/>
  <c r="T236" i="24" s="1"/>
  <c r="T228" i="24" s="1"/>
  <c r="T160" i="24"/>
  <c r="T187" i="24" s="1"/>
  <c r="T33" i="24"/>
  <c r="T169" i="24" s="1"/>
  <c r="T191" i="24" s="1"/>
  <c r="E173" i="24"/>
  <c r="E169" i="24"/>
  <c r="E191" i="24" s="1"/>
  <c r="E171" i="24"/>
  <c r="C356" i="20"/>
  <c r="C116" i="24"/>
  <c r="C309" i="20"/>
  <c r="C69" i="24"/>
  <c r="J160" i="24"/>
  <c r="J187" i="24" s="1"/>
  <c r="J33" i="24"/>
  <c r="J169" i="24" s="1"/>
  <c r="J191" i="24" s="1"/>
  <c r="J235" i="24"/>
  <c r="J236" i="24" s="1"/>
  <c r="J228" i="24" s="1"/>
  <c r="H165" i="24"/>
  <c r="H153" i="24"/>
  <c r="H174" i="24" s="1"/>
  <c r="E172" i="24"/>
  <c r="E8" i="10"/>
  <c r="L235" i="24"/>
  <c r="L236" i="24" s="1"/>
  <c r="L228" i="24" s="1"/>
  <c r="L33" i="24"/>
  <c r="L169" i="24" s="1"/>
  <c r="L191" i="24" s="1"/>
  <c r="L160" i="24"/>
  <c r="L187" i="24" s="1"/>
  <c r="X235" i="24"/>
  <c r="X236" i="24" s="1"/>
  <c r="X228" i="24" s="1"/>
  <c r="X33" i="24"/>
  <c r="X169" i="24" s="1"/>
  <c r="X191" i="24" s="1"/>
  <c r="X160" i="24"/>
  <c r="X187" i="24" s="1"/>
  <c r="D18" i="20"/>
  <c r="E13" i="20" s="1"/>
  <c r="F134" i="12"/>
  <c r="C404" i="20"/>
  <c r="C413" i="20"/>
  <c r="F186" i="3"/>
  <c r="G186" i="3" s="1"/>
  <c r="H186" i="3" s="1"/>
  <c r="I186" i="3" s="1"/>
  <c r="J186" i="3" s="1"/>
  <c r="K186" i="3" s="1"/>
  <c r="L186" i="3" s="1"/>
  <c r="M186" i="3" s="1"/>
  <c r="N186" i="3" s="1"/>
  <c r="O186" i="3" s="1"/>
  <c r="P186" i="3" s="1"/>
  <c r="Q186" i="3" s="1"/>
  <c r="R186" i="3" s="1"/>
  <c r="S186" i="3" s="1"/>
  <c r="T186" i="3" s="1"/>
  <c r="U186" i="3" s="1"/>
  <c r="V186" i="3" s="1"/>
  <c r="W186" i="3" s="1"/>
  <c r="X186" i="3" s="1"/>
  <c r="Y186" i="3" s="1"/>
  <c r="Z186" i="3" s="1"/>
  <c r="F171" i="3"/>
  <c r="G171" i="3" s="1"/>
  <c r="H171" i="3" s="1"/>
  <c r="I171" i="3" s="1"/>
  <c r="J171" i="3" s="1"/>
  <c r="K171" i="3" s="1"/>
  <c r="L171" i="3" s="1"/>
  <c r="M171" i="3" s="1"/>
  <c r="N171" i="3" s="1"/>
  <c r="O171" i="3" s="1"/>
  <c r="P171" i="3" s="1"/>
  <c r="Q171" i="3" s="1"/>
  <c r="R171" i="3" s="1"/>
  <c r="S171" i="3" s="1"/>
  <c r="T171" i="3" s="1"/>
  <c r="U171" i="3" s="1"/>
  <c r="V171" i="3" s="1"/>
  <c r="W171" i="3" s="1"/>
  <c r="X171" i="3" s="1"/>
  <c r="Y171" i="3" s="1"/>
  <c r="Z171" i="3" s="1"/>
  <c r="F145" i="3"/>
  <c r="G145" i="3" s="1"/>
  <c r="H145" i="3" s="1"/>
  <c r="I145" i="3" s="1"/>
  <c r="J145" i="3" s="1"/>
  <c r="K145" i="3" s="1"/>
  <c r="L145" i="3" s="1"/>
  <c r="M145" i="3" s="1"/>
  <c r="N145" i="3" s="1"/>
  <c r="O145" i="3" s="1"/>
  <c r="P145" i="3" s="1"/>
  <c r="Q145" i="3" s="1"/>
  <c r="R145" i="3" s="1"/>
  <c r="S145" i="3" s="1"/>
  <c r="T145" i="3" s="1"/>
  <c r="U145" i="3" s="1"/>
  <c r="V145" i="3" s="1"/>
  <c r="W145" i="3" s="1"/>
  <c r="X145" i="3" s="1"/>
  <c r="Y145" i="3" s="1"/>
  <c r="Z145" i="3" s="1"/>
  <c r="F116" i="3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T116" i="3" s="1"/>
  <c r="U116" i="3" s="1"/>
  <c r="V116" i="3" s="1"/>
  <c r="W116" i="3" s="1"/>
  <c r="X116" i="3" s="1"/>
  <c r="Y116" i="3" s="1"/>
  <c r="Z116" i="3" s="1"/>
  <c r="F93" i="3"/>
  <c r="G93" i="3" s="1"/>
  <c r="H93" i="3" s="1"/>
  <c r="I93" i="3" s="1"/>
  <c r="J93" i="3" s="1"/>
  <c r="K93" i="3" s="1"/>
  <c r="L93" i="3" s="1"/>
  <c r="M93" i="3" s="1"/>
  <c r="N93" i="3" s="1"/>
  <c r="O93" i="3" s="1"/>
  <c r="P93" i="3" s="1"/>
  <c r="Q93" i="3" s="1"/>
  <c r="R93" i="3" s="1"/>
  <c r="S93" i="3" s="1"/>
  <c r="T93" i="3" s="1"/>
  <c r="U93" i="3" s="1"/>
  <c r="V93" i="3" s="1"/>
  <c r="W93" i="3" s="1"/>
  <c r="X93" i="3" s="1"/>
  <c r="Y93" i="3" s="1"/>
  <c r="Z93" i="3" s="1"/>
  <c r="F67" i="3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Y67" i="3" s="1"/>
  <c r="Z67" i="3" s="1"/>
  <c r="F183" i="3"/>
  <c r="G183" i="3" s="1"/>
  <c r="H183" i="3" s="1"/>
  <c r="I183" i="3" s="1"/>
  <c r="J183" i="3" s="1"/>
  <c r="K183" i="3" s="1"/>
  <c r="L183" i="3" s="1"/>
  <c r="M183" i="3" s="1"/>
  <c r="N183" i="3" s="1"/>
  <c r="O183" i="3" s="1"/>
  <c r="P183" i="3" s="1"/>
  <c r="Q183" i="3" s="1"/>
  <c r="R183" i="3" s="1"/>
  <c r="S183" i="3" s="1"/>
  <c r="T183" i="3" s="1"/>
  <c r="U183" i="3" s="1"/>
  <c r="V183" i="3" s="1"/>
  <c r="W183" i="3" s="1"/>
  <c r="X183" i="3" s="1"/>
  <c r="Y183" i="3" s="1"/>
  <c r="Z183" i="3" s="1"/>
  <c r="F157" i="3"/>
  <c r="G157" i="3" s="1"/>
  <c r="H157" i="3" s="1"/>
  <c r="I157" i="3" s="1"/>
  <c r="J157" i="3" s="1"/>
  <c r="K157" i="3" s="1"/>
  <c r="L157" i="3" s="1"/>
  <c r="M157" i="3" s="1"/>
  <c r="N157" i="3" s="1"/>
  <c r="O157" i="3" s="1"/>
  <c r="P157" i="3" s="1"/>
  <c r="Q157" i="3" s="1"/>
  <c r="R157" i="3" s="1"/>
  <c r="S157" i="3" s="1"/>
  <c r="T157" i="3" s="1"/>
  <c r="U157" i="3" s="1"/>
  <c r="V157" i="3" s="1"/>
  <c r="W157" i="3" s="1"/>
  <c r="X157" i="3" s="1"/>
  <c r="Y157" i="3" s="1"/>
  <c r="Z157" i="3" s="1"/>
  <c r="F142" i="3"/>
  <c r="G142" i="3" s="1"/>
  <c r="H142" i="3" s="1"/>
  <c r="I142" i="3" s="1"/>
  <c r="J142" i="3" s="1"/>
  <c r="K142" i="3" s="1"/>
  <c r="L142" i="3" s="1"/>
  <c r="M142" i="3" s="1"/>
  <c r="N142" i="3" s="1"/>
  <c r="O142" i="3" s="1"/>
  <c r="P142" i="3" s="1"/>
  <c r="Q142" i="3" s="1"/>
  <c r="R142" i="3" s="1"/>
  <c r="S142" i="3" s="1"/>
  <c r="T142" i="3" s="1"/>
  <c r="U142" i="3" s="1"/>
  <c r="V142" i="3" s="1"/>
  <c r="W142" i="3" s="1"/>
  <c r="X142" i="3" s="1"/>
  <c r="Y142" i="3" s="1"/>
  <c r="Z142" i="3" s="1"/>
  <c r="F113" i="3"/>
  <c r="G113" i="3" s="1"/>
  <c r="H113" i="3" s="1"/>
  <c r="I113" i="3" s="1"/>
  <c r="J113" i="3" s="1"/>
  <c r="K113" i="3" s="1"/>
  <c r="L113" i="3" s="1"/>
  <c r="M113" i="3" s="1"/>
  <c r="N113" i="3" s="1"/>
  <c r="O113" i="3" s="1"/>
  <c r="P113" i="3" s="1"/>
  <c r="Q113" i="3" s="1"/>
  <c r="R113" i="3" s="1"/>
  <c r="S113" i="3" s="1"/>
  <c r="T113" i="3" s="1"/>
  <c r="U113" i="3" s="1"/>
  <c r="V113" i="3" s="1"/>
  <c r="W113" i="3" s="1"/>
  <c r="X113" i="3" s="1"/>
  <c r="Y113" i="3" s="1"/>
  <c r="Z113" i="3" s="1"/>
  <c r="F87" i="3"/>
  <c r="G87" i="3" s="1"/>
  <c r="H87" i="3" s="1"/>
  <c r="I87" i="3" s="1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T87" i="3" s="1"/>
  <c r="U87" i="3" s="1"/>
  <c r="V87" i="3" s="1"/>
  <c r="W87" i="3" s="1"/>
  <c r="X87" i="3" s="1"/>
  <c r="Y87" i="3" s="1"/>
  <c r="Z87" i="3" s="1"/>
  <c r="F180" i="3"/>
  <c r="G180" i="3" s="1"/>
  <c r="H180" i="3" s="1"/>
  <c r="I180" i="3" s="1"/>
  <c r="J180" i="3" s="1"/>
  <c r="K180" i="3" s="1"/>
  <c r="L180" i="3" s="1"/>
  <c r="M180" i="3" s="1"/>
  <c r="N180" i="3" s="1"/>
  <c r="O180" i="3" s="1"/>
  <c r="P180" i="3" s="1"/>
  <c r="Q180" i="3" s="1"/>
  <c r="R180" i="3" s="1"/>
  <c r="S180" i="3" s="1"/>
  <c r="T180" i="3" s="1"/>
  <c r="U180" i="3" s="1"/>
  <c r="V180" i="3" s="1"/>
  <c r="W180" i="3" s="1"/>
  <c r="X180" i="3" s="1"/>
  <c r="Y180" i="3" s="1"/>
  <c r="Z180" i="3" s="1"/>
  <c r="F154" i="3"/>
  <c r="G154" i="3" s="1"/>
  <c r="H154" i="3" s="1"/>
  <c r="I154" i="3" s="1"/>
  <c r="J154" i="3" s="1"/>
  <c r="K154" i="3" s="1"/>
  <c r="L154" i="3" s="1"/>
  <c r="M154" i="3" s="1"/>
  <c r="N154" i="3" s="1"/>
  <c r="O154" i="3" s="1"/>
  <c r="P154" i="3" s="1"/>
  <c r="Q154" i="3" s="1"/>
  <c r="R154" i="3" s="1"/>
  <c r="S154" i="3" s="1"/>
  <c r="T154" i="3" s="1"/>
  <c r="U154" i="3" s="1"/>
  <c r="V154" i="3" s="1"/>
  <c r="W154" i="3" s="1"/>
  <c r="X154" i="3" s="1"/>
  <c r="Y154" i="3" s="1"/>
  <c r="Z154" i="3" s="1"/>
  <c r="F128" i="3"/>
  <c r="G128" i="3" s="1"/>
  <c r="H128" i="3" s="1"/>
  <c r="I128" i="3" s="1"/>
  <c r="J128" i="3" s="1"/>
  <c r="K128" i="3" s="1"/>
  <c r="L128" i="3" s="1"/>
  <c r="M128" i="3" s="1"/>
  <c r="N128" i="3" s="1"/>
  <c r="O128" i="3" s="1"/>
  <c r="P128" i="3" s="1"/>
  <c r="Q128" i="3" s="1"/>
  <c r="R128" i="3" s="1"/>
  <c r="S128" i="3" s="1"/>
  <c r="T128" i="3" s="1"/>
  <c r="U128" i="3" s="1"/>
  <c r="V128" i="3" s="1"/>
  <c r="W128" i="3" s="1"/>
  <c r="X128" i="3" s="1"/>
  <c r="Y128" i="3" s="1"/>
  <c r="Z128" i="3" s="1"/>
  <c r="F125" i="3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T125" i="3" s="1"/>
  <c r="U125" i="3" s="1"/>
  <c r="V125" i="3" s="1"/>
  <c r="W125" i="3" s="1"/>
  <c r="X125" i="3" s="1"/>
  <c r="Y125" i="3" s="1"/>
  <c r="Z125" i="3" s="1"/>
  <c r="F99" i="3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Q99" i="3" s="1"/>
  <c r="R99" i="3" s="1"/>
  <c r="S99" i="3" s="1"/>
  <c r="T99" i="3" s="1"/>
  <c r="U99" i="3" s="1"/>
  <c r="V99" i="3" s="1"/>
  <c r="W99" i="3" s="1"/>
  <c r="X99" i="3" s="1"/>
  <c r="Y99" i="3" s="1"/>
  <c r="Z99" i="3" s="1"/>
  <c r="F84" i="3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Q84" i="3" s="1"/>
  <c r="R84" i="3" s="1"/>
  <c r="S84" i="3" s="1"/>
  <c r="T84" i="3" s="1"/>
  <c r="U84" i="3" s="1"/>
  <c r="V84" i="3" s="1"/>
  <c r="W84" i="3" s="1"/>
  <c r="X84" i="3" s="1"/>
  <c r="Y84" i="3" s="1"/>
  <c r="Z84" i="3" s="1"/>
  <c r="F55" i="3"/>
  <c r="F174" i="3"/>
  <c r="G174" i="3" s="1"/>
  <c r="H174" i="3" s="1"/>
  <c r="I174" i="3" s="1"/>
  <c r="J174" i="3" s="1"/>
  <c r="K174" i="3" s="1"/>
  <c r="L174" i="3" s="1"/>
  <c r="M174" i="3" s="1"/>
  <c r="N174" i="3" s="1"/>
  <c r="O174" i="3" s="1"/>
  <c r="P174" i="3" s="1"/>
  <c r="Q174" i="3" s="1"/>
  <c r="R174" i="3" s="1"/>
  <c r="S174" i="3" s="1"/>
  <c r="T174" i="3" s="1"/>
  <c r="U174" i="3" s="1"/>
  <c r="V174" i="3" s="1"/>
  <c r="W174" i="3" s="1"/>
  <c r="X174" i="3" s="1"/>
  <c r="Y174" i="3" s="1"/>
  <c r="Z174" i="3" s="1"/>
  <c r="F151" i="3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T151" i="3" s="1"/>
  <c r="U151" i="3" s="1"/>
  <c r="V151" i="3" s="1"/>
  <c r="W151" i="3" s="1"/>
  <c r="X151" i="3" s="1"/>
  <c r="Y151" i="3" s="1"/>
  <c r="Z151" i="3" s="1"/>
  <c r="F122" i="3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T122" i="3" s="1"/>
  <c r="U122" i="3" s="1"/>
  <c r="V122" i="3" s="1"/>
  <c r="W122" i="3" s="1"/>
  <c r="X122" i="3" s="1"/>
  <c r="Y122" i="3" s="1"/>
  <c r="Z122" i="3" s="1"/>
  <c r="F96" i="3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T96" i="3" s="1"/>
  <c r="U96" i="3" s="1"/>
  <c r="V96" i="3" s="1"/>
  <c r="W96" i="3" s="1"/>
  <c r="X96" i="3" s="1"/>
  <c r="Y96" i="3" s="1"/>
  <c r="Z96" i="3" s="1"/>
  <c r="F70" i="3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F26" i="3"/>
  <c r="F64" i="3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W64" i="3" s="1"/>
  <c r="X64" i="3" s="1"/>
  <c r="Y64" i="3" s="1"/>
  <c r="Z64" i="3" s="1"/>
  <c r="G346" i="17"/>
  <c r="D44" i="10"/>
  <c r="D17" i="21"/>
  <c r="D11" i="22" s="1"/>
  <c r="D43" i="10"/>
  <c r="D16" i="21"/>
  <c r="C174" i="12"/>
  <c r="H204" i="12"/>
  <c r="C165" i="12"/>
  <c r="C117" i="12"/>
  <c r="D116" i="21" s="1"/>
  <c r="C183" i="12"/>
  <c r="H12" i="3"/>
  <c r="C163" i="12"/>
  <c r="C209" i="12"/>
  <c r="G310" i="3"/>
  <c r="C48" i="17"/>
  <c r="C198" i="17" s="1"/>
  <c r="B411" i="17" s="1"/>
  <c r="C70" i="12"/>
  <c r="D67" i="21" s="1"/>
  <c r="D96" i="3"/>
  <c r="C142" i="12"/>
  <c r="D142" i="21" s="1"/>
  <c r="D183" i="3"/>
  <c r="C131" i="20"/>
  <c r="D154" i="3"/>
  <c r="C107" i="20"/>
  <c r="D125" i="3"/>
  <c r="C210" i="12"/>
  <c r="C94" i="12"/>
  <c r="D92" i="21" s="1"/>
  <c r="C333" i="20"/>
  <c r="H310" i="3"/>
  <c r="C381" i="20"/>
  <c r="C155" i="20"/>
  <c r="G321" i="3"/>
  <c r="E258" i="17"/>
  <c r="E295" i="17"/>
  <c r="F302" i="17"/>
  <c r="F303" i="17" s="1"/>
  <c r="F305" i="17" s="1"/>
  <c r="G302" i="17" s="1"/>
  <c r="G420" i="17"/>
  <c r="H242" i="17"/>
  <c r="G383" i="17"/>
  <c r="G384" i="17" s="1"/>
  <c r="G386" i="17" s="1"/>
  <c r="H316" i="17"/>
  <c r="C14" i="17"/>
  <c r="C83" i="20"/>
  <c r="C186" i="20"/>
  <c r="C402" i="20"/>
  <c r="C411" i="20"/>
  <c r="F376" i="17"/>
  <c r="I249" i="17"/>
  <c r="E406" i="17"/>
  <c r="C405" i="20"/>
  <c r="E369" i="17"/>
  <c r="B90" i="17"/>
  <c r="B291" i="17" s="1"/>
  <c r="G309" i="17"/>
  <c r="G310" i="17" s="1"/>
  <c r="G312" i="17" s="1"/>
  <c r="H309" i="17" s="1"/>
  <c r="F228" i="17"/>
  <c r="H279" i="17"/>
  <c r="F204" i="12"/>
  <c r="C172" i="12"/>
  <c r="C197" i="17"/>
  <c r="B404" i="17" s="1"/>
  <c r="C77" i="17"/>
  <c r="B256" i="17" s="1"/>
  <c r="C107" i="17"/>
  <c r="C293" i="17" s="1"/>
  <c r="C118" i="12"/>
  <c r="D117" i="21" s="1"/>
  <c r="C179" i="20"/>
  <c r="C357" i="20"/>
  <c r="C59" i="20"/>
  <c r="C285" i="20"/>
  <c r="C46" i="12"/>
  <c r="D42" i="21" s="1"/>
  <c r="I360" i="17"/>
  <c r="I361" i="17" s="1"/>
  <c r="I363" i="17" s="1"/>
  <c r="F265" i="17"/>
  <c r="F266" i="17" s="1"/>
  <c r="F268" i="17" s="1"/>
  <c r="E332" i="17"/>
  <c r="I323" i="17"/>
  <c r="I286" i="17"/>
  <c r="I287" i="17" s="1"/>
  <c r="I289" i="17" s="1"/>
  <c r="G235" i="17"/>
  <c r="G236" i="17" s="1"/>
  <c r="G238" i="17" s="1"/>
  <c r="H235" i="17" s="1"/>
  <c r="H236" i="17" s="1"/>
  <c r="H237" i="17" s="1"/>
  <c r="H49" i="17" s="1"/>
  <c r="G272" i="17"/>
  <c r="G273" i="17" s="1"/>
  <c r="G275" i="17" s="1"/>
  <c r="H272" i="17" s="1"/>
  <c r="I397" i="17"/>
  <c r="F413" i="17"/>
  <c r="F414" i="17" s="1"/>
  <c r="F416" i="17" s="1"/>
  <c r="G413" i="17" s="1"/>
  <c r="F339" i="17"/>
  <c r="H427" i="17"/>
  <c r="H428" i="17" s="1"/>
  <c r="H430" i="17" s="1"/>
  <c r="I427" i="17" s="1"/>
  <c r="I434" i="17"/>
  <c r="H353" i="17"/>
  <c r="H354" i="17" s="1"/>
  <c r="H356" i="17" s="1"/>
  <c r="C137" i="17"/>
  <c r="B330" i="17" s="1"/>
  <c r="H390" i="17"/>
  <c r="H391" i="17" s="1"/>
  <c r="H393" i="17" s="1"/>
  <c r="I390" i="17" s="1"/>
  <c r="I391" i="17" s="1"/>
  <c r="I392" i="17" s="1"/>
  <c r="E221" i="17"/>
  <c r="G417" i="20"/>
  <c r="C10" i="17"/>
  <c r="C167" i="17"/>
  <c r="B367" i="17" s="1"/>
  <c r="C162" i="12"/>
  <c r="C130" i="20"/>
  <c r="C154" i="20"/>
  <c r="C380" i="20"/>
  <c r="C141" i="12"/>
  <c r="D141" i="21" s="1"/>
  <c r="C332" i="20"/>
  <c r="C93" i="12"/>
  <c r="D91" i="21" s="1"/>
  <c r="C106" i="20"/>
  <c r="C82" i="20"/>
  <c r="C308" i="20"/>
  <c r="C69" i="12"/>
  <c r="D66" i="21" s="1"/>
  <c r="C45" i="12"/>
  <c r="D41" i="21" s="1"/>
  <c r="C58" i="20"/>
  <c r="C284" i="20"/>
  <c r="C188" i="20"/>
  <c r="C175" i="20"/>
  <c r="C403" i="20"/>
  <c r="H9" i="20"/>
  <c r="D83" i="20"/>
  <c r="F197" i="20" s="1"/>
  <c r="E191" i="20"/>
  <c r="D333" i="20"/>
  <c r="G423" i="20" s="1"/>
  <c r="D309" i="20"/>
  <c r="F423" i="20" s="1"/>
  <c r="D357" i="20"/>
  <c r="H423" i="20" s="1"/>
  <c r="C184" i="12"/>
  <c r="C166" i="12"/>
  <c r="C410" i="20"/>
  <c r="B180" i="17"/>
  <c r="C15" i="17" s="1"/>
  <c r="C175" i="12"/>
  <c r="C185" i="20"/>
  <c r="C176" i="20"/>
  <c r="F191" i="20"/>
  <c r="C401" i="20"/>
  <c r="C414" i="20"/>
  <c r="F62" i="12"/>
  <c r="F110" i="12"/>
  <c r="F14" i="12"/>
  <c r="F38" i="12"/>
  <c r="G34" i="21" s="1"/>
  <c r="F86" i="12"/>
  <c r="D261" i="20"/>
  <c r="D423" i="20" s="1"/>
  <c r="B60" i="17"/>
  <c r="C180" i="12"/>
  <c r="G10" i="12"/>
  <c r="G14" i="20" s="1"/>
  <c r="D381" i="20"/>
  <c r="I423" i="20" s="1"/>
  <c r="D35" i="20"/>
  <c r="D197" i="20" s="1"/>
  <c r="D131" i="20"/>
  <c r="H197" i="20" s="1"/>
  <c r="C178" i="20"/>
  <c r="C187" i="20"/>
  <c r="G204" i="12"/>
  <c r="B120" i="17"/>
  <c r="C164" i="12"/>
  <c r="C173" i="12"/>
  <c r="E204" i="12"/>
  <c r="G191" i="20"/>
  <c r="D107" i="20"/>
  <c r="G197" i="20" s="1"/>
  <c r="D59" i="20"/>
  <c r="E197" i="20" s="1"/>
  <c r="D285" i="20"/>
  <c r="E423" i="20" s="1"/>
  <c r="D155" i="20"/>
  <c r="I197" i="20" s="1"/>
  <c r="E101" i="17"/>
  <c r="E132" i="17"/>
  <c r="E183" i="17"/>
  <c r="E189" i="17"/>
  <c r="E153" i="17"/>
  <c r="E159" i="17"/>
  <c r="E124" i="17"/>
  <c r="E95" i="17"/>
  <c r="E67" i="17"/>
  <c r="E33" i="17"/>
  <c r="E39" i="17"/>
  <c r="E203" i="17"/>
  <c r="E113" i="17"/>
  <c r="E184" i="17"/>
  <c r="E154" i="17"/>
  <c r="E125" i="17"/>
  <c r="E97" i="17"/>
  <c r="E63" i="17"/>
  <c r="E69" i="17"/>
  <c r="E34" i="17"/>
  <c r="E52" i="17"/>
  <c r="E155" i="17"/>
  <c r="E129" i="17"/>
  <c r="E35" i="17"/>
  <c r="E82" i="17"/>
  <c r="E53" i="17"/>
  <c r="E142" i="17"/>
  <c r="E172" i="17"/>
  <c r="F28" i="17"/>
  <c r="F103" i="17" s="1"/>
  <c r="E157" i="17"/>
  <c r="E93" i="17"/>
  <c r="E64" i="17"/>
  <c r="E37" i="17"/>
  <c r="E83" i="17"/>
  <c r="E143" i="17"/>
  <c r="E173" i="17"/>
  <c r="E127" i="17"/>
  <c r="E99" i="17"/>
  <c r="E187" i="17"/>
  <c r="E65" i="17"/>
  <c r="E123" i="17"/>
  <c r="E94" i="17"/>
  <c r="E202" i="17"/>
  <c r="E185" i="17"/>
  <c r="E43" i="17"/>
  <c r="E112" i="17"/>
  <c r="E72" i="17"/>
  <c r="E161" i="17"/>
  <c r="E102" i="17"/>
  <c r="E162" i="17"/>
  <c r="E192" i="17"/>
  <c r="E41" i="17"/>
  <c r="E42" i="17"/>
  <c r="E73" i="17"/>
  <c r="E163" i="17"/>
  <c r="E191" i="17"/>
  <c r="E193" i="17"/>
  <c r="G236" i="20"/>
  <c r="F441" i="20"/>
  <c r="E103" i="17"/>
  <c r="E71" i="17"/>
  <c r="E131" i="17"/>
  <c r="E133" i="17"/>
  <c r="F13" i="20" l="1"/>
  <c r="G13" i="20"/>
  <c r="G9" i="21"/>
  <c r="G134" i="21"/>
  <c r="G20" i="21"/>
  <c r="G49" i="21"/>
  <c r="G91" i="21"/>
  <c r="G120" i="21"/>
  <c r="G149" i="21"/>
  <c r="G50" i="21"/>
  <c r="G100" i="21"/>
  <c r="G150" i="21"/>
  <c r="G51" i="21"/>
  <c r="G93" i="21"/>
  <c r="G122" i="21"/>
  <c r="G151" i="21"/>
  <c r="G27" i="21"/>
  <c r="G52" i="21"/>
  <c r="G77" i="21"/>
  <c r="G102" i="21"/>
  <c r="G127" i="21"/>
  <c r="G152" i="21"/>
  <c r="G109" i="21"/>
  <c r="G22" i="21"/>
  <c r="G24" i="21"/>
  <c r="G66" i="21"/>
  <c r="G95" i="21"/>
  <c r="G124" i="21"/>
  <c r="G21" i="21"/>
  <c r="G71" i="21"/>
  <c r="G121" i="21"/>
  <c r="G18" i="21"/>
  <c r="G68" i="21"/>
  <c r="G97" i="21"/>
  <c r="G126" i="21"/>
  <c r="G10" i="21"/>
  <c r="G35" i="21"/>
  <c r="G60" i="21"/>
  <c r="G85" i="21"/>
  <c r="G110" i="21"/>
  <c r="G135" i="21"/>
  <c r="G138" i="21"/>
  <c r="G112" i="21"/>
  <c r="G92" i="21"/>
  <c r="G90" i="21"/>
  <c r="G64" i="21"/>
  <c r="G38" i="21"/>
  <c r="G139" i="21"/>
  <c r="G113" i="21"/>
  <c r="G137" i="21"/>
  <c r="G117" i="21"/>
  <c r="G65" i="21"/>
  <c r="G39" i="21"/>
  <c r="G142" i="21"/>
  <c r="G89" i="21"/>
  <c r="G87" i="21"/>
  <c r="G67" i="21"/>
  <c r="G63" i="21"/>
  <c r="G37" i="21"/>
  <c r="G115" i="21"/>
  <c r="G88" i="21"/>
  <c r="G140" i="21"/>
  <c r="G62" i="21"/>
  <c r="G42" i="21"/>
  <c r="G114" i="21"/>
  <c r="G40" i="21"/>
  <c r="G84" i="21"/>
  <c r="G59" i="21"/>
  <c r="G43" i="21"/>
  <c r="G41" i="21"/>
  <c r="G70" i="21"/>
  <c r="G99" i="21"/>
  <c r="G141" i="21"/>
  <c r="G25" i="21"/>
  <c r="G75" i="21"/>
  <c r="G125" i="21"/>
  <c r="G26" i="21"/>
  <c r="G72" i="21"/>
  <c r="G101" i="21"/>
  <c r="G143" i="21"/>
  <c r="G19" i="21"/>
  <c r="G44" i="21"/>
  <c r="G69" i="21"/>
  <c r="G94" i="21"/>
  <c r="G119" i="21"/>
  <c r="G144" i="21"/>
  <c r="F132" i="20"/>
  <c r="G118" i="21"/>
  <c r="E349" i="20"/>
  <c r="E368" i="20" s="1"/>
  <c r="E404" i="20" s="1"/>
  <c r="F109" i="21"/>
  <c r="E325" i="20"/>
  <c r="E344" i="20" s="1"/>
  <c r="E403" i="20" s="1"/>
  <c r="F84" i="21"/>
  <c r="E277" i="20"/>
  <c r="E296" i="20" s="1"/>
  <c r="E297" i="20" s="1"/>
  <c r="F34" i="21"/>
  <c r="G17" i="21"/>
  <c r="G13" i="21"/>
  <c r="G12" i="21"/>
  <c r="G15" i="21"/>
  <c r="G14" i="21"/>
  <c r="I9" i="20"/>
  <c r="I13" i="20" s="1"/>
  <c r="H13" i="20"/>
  <c r="G228" i="12"/>
  <c r="G9" i="12"/>
  <c r="F24" i="17"/>
  <c r="E100" i="10"/>
  <c r="F136" i="21"/>
  <c r="H5" i="12"/>
  <c r="E301" i="20"/>
  <c r="E320" i="20" s="1"/>
  <c r="E402" i="20" s="1"/>
  <c r="E153" i="12"/>
  <c r="E154" i="12" s="1"/>
  <c r="E373" i="20"/>
  <c r="E392" i="20" s="1"/>
  <c r="E393" i="20" s="1"/>
  <c r="E184" i="12"/>
  <c r="E147" i="20"/>
  <c r="E166" i="20" s="1"/>
  <c r="E179" i="20" s="1"/>
  <c r="E75" i="20"/>
  <c r="E94" i="20" s="1"/>
  <c r="E176" i="20" s="1"/>
  <c r="E181" i="12"/>
  <c r="E81" i="12"/>
  <c r="E82" i="12" s="1"/>
  <c r="E234" i="12"/>
  <c r="E235" i="12" s="1"/>
  <c r="E27" i="20"/>
  <c r="E46" i="20" s="1"/>
  <c r="E221" i="20" s="1"/>
  <c r="E222" i="20" s="1"/>
  <c r="E223" i="20" s="1"/>
  <c r="E216" i="20" s="1"/>
  <c r="E33" i="12"/>
  <c r="E34" i="12" s="1"/>
  <c r="E179" i="12"/>
  <c r="E253" i="20"/>
  <c r="E272" i="20" s="1"/>
  <c r="E400" i="20" s="1"/>
  <c r="E180" i="12"/>
  <c r="E57" i="12"/>
  <c r="E58" i="12" s="1"/>
  <c r="E51" i="20"/>
  <c r="E70" i="20" s="1"/>
  <c r="E175" i="20" s="1"/>
  <c r="E129" i="12"/>
  <c r="E130" i="12" s="1"/>
  <c r="E123" i="20"/>
  <c r="E142" i="20" s="1"/>
  <c r="E183" i="12"/>
  <c r="E99" i="20"/>
  <c r="E118" i="20" s="1"/>
  <c r="E177" i="20" s="1"/>
  <c r="E105" i="12"/>
  <c r="E106" i="12" s="1"/>
  <c r="E182" i="12"/>
  <c r="G146" i="12"/>
  <c r="G150" i="12"/>
  <c r="H150" i="21" s="1"/>
  <c r="G144" i="12"/>
  <c r="G148" i="12"/>
  <c r="G152" i="12"/>
  <c r="G120" i="12"/>
  <c r="H119" i="21" s="1"/>
  <c r="G143" i="12"/>
  <c r="G147" i="12"/>
  <c r="G151" i="12"/>
  <c r="G119" i="12"/>
  <c r="H118" i="21" s="1"/>
  <c r="G122" i="12"/>
  <c r="G126" i="12"/>
  <c r="G145" i="12"/>
  <c r="G124" i="12"/>
  <c r="H123" i="21" s="1"/>
  <c r="G128" i="12"/>
  <c r="G96" i="12"/>
  <c r="G100" i="12"/>
  <c r="G104" i="12"/>
  <c r="H102" i="21" s="1"/>
  <c r="G117" i="12"/>
  <c r="G123" i="12"/>
  <c r="G127" i="12"/>
  <c r="G121" i="12"/>
  <c r="H120" i="21" s="1"/>
  <c r="G93" i="12"/>
  <c r="G98" i="12"/>
  <c r="G87" i="12"/>
  <c r="G135" i="12"/>
  <c r="H135" i="21" s="1"/>
  <c r="G111" i="12"/>
  <c r="G97" i="12"/>
  <c r="G99" i="12"/>
  <c r="G71" i="12"/>
  <c r="H68" i="21" s="1"/>
  <c r="G75" i="12"/>
  <c r="G79" i="12"/>
  <c r="G125" i="12"/>
  <c r="G101" i="12"/>
  <c r="H99" i="21" s="1"/>
  <c r="G103" i="12"/>
  <c r="G73" i="12"/>
  <c r="G80" i="12"/>
  <c r="G47" i="12"/>
  <c r="H43" i="21" s="1"/>
  <c r="G149" i="12"/>
  <c r="G95" i="12"/>
  <c r="G72" i="12"/>
  <c r="G74" i="12"/>
  <c r="H71" i="21" s="1"/>
  <c r="G63" i="12"/>
  <c r="G45" i="12"/>
  <c r="G49" i="12"/>
  <c r="G53" i="12"/>
  <c r="H49" i="21" s="1"/>
  <c r="G39" i="12"/>
  <c r="G21" i="12"/>
  <c r="G25" i="12"/>
  <c r="G102" i="12"/>
  <c r="H100" i="21" s="1"/>
  <c r="G69" i="12"/>
  <c r="G76" i="12"/>
  <c r="G78" i="12"/>
  <c r="G48" i="12"/>
  <c r="H44" i="21" s="1"/>
  <c r="G77" i="12"/>
  <c r="G55" i="12"/>
  <c r="G28" i="12"/>
  <c r="G32" i="12"/>
  <c r="H27" i="21" s="1"/>
  <c r="G50" i="12"/>
  <c r="G52" i="12"/>
  <c r="G27" i="12"/>
  <c r="G54" i="12"/>
  <c r="H50" i="21" s="1"/>
  <c r="G56" i="12"/>
  <c r="G26" i="12"/>
  <c r="G30" i="12"/>
  <c r="G29" i="12"/>
  <c r="H24" i="21" s="1"/>
  <c r="G15" i="12"/>
  <c r="G24" i="12"/>
  <c r="G31" i="12"/>
  <c r="G51" i="12"/>
  <c r="H47" i="21" s="1"/>
  <c r="G23" i="12"/>
  <c r="G141" i="12"/>
  <c r="F36" i="21"/>
  <c r="F53" i="21" s="1"/>
  <c r="F61" i="21"/>
  <c r="F78" i="21" s="1"/>
  <c r="F86" i="21"/>
  <c r="F103" i="21" s="1"/>
  <c r="F11" i="21"/>
  <c r="F111" i="21"/>
  <c r="F131" i="17"/>
  <c r="D33" i="24"/>
  <c r="D218" i="24" s="1"/>
  <c r="F295" i="20"/>
  <c r="F164" i="20"/>
  <c r="F45" i="20"/>
  <c r="F69" i="20"/>
  <c r="F271" i="20"/>
  <c r="F86" i="20"/>
  <c r="F377" i="17"/>
  <c r="F379" i="17" s="1"/>
  <c r="G376" i="17" s="1"/>
  <c r="G134" i="12"/>
  <c r="E407" i="17"/>
  <c r="E409" i="17" s="1"/>
  <c r="F406" i="17" s="1"/>
  <c r="E333" i="17"/>
  <c r="E335" i="17" s="1"/>
  <c r="F332" i="17" s="1"/>
  <c r="G26" i="3"/>
  <c r="F29" i="3"/>
  <c r="F35" i="3" s="1"/>
  <c r="F38" i="3" s="1"/>
  <c r="F41" i="3" s="1"/>
  <c r="G55" i="3"/>
  <c r="F58" i="3"/>
  <c r="F390" i="20"/>
  <c r="F312" i="20"/>
  <c r="I12" i="3"/>
  <c r="I321" i="3" s="1"/>
  <c r="H321" i="3"/>
  <c r="C49" i="17"/>
  <c r="C79" i="17" s="1"/>
  <c r="B270" i="17" s="1"/>
  <c r="G347" i="17"/>
  <c r="G349" i="17" s="1"/>
  <c r="H346" i="17" s="1"/>
  <c r="H347" i="17" s="1"/>
  <c r="H348" i="17" s="1"/>
  <c r="E296" i="17"/>
  <c r="E298" i="17" s="1"/>
  <c r="F295" i="17" s="1"/>
  <c r="F161" i="20"/>
  <c r="F87" i="20"/>
  <c r="F269" i="20"/>
  <c r="F289" i="20"/>
  <c r="F76" i="20"/>
  <c r="F157" i="20"/>
  <c r="F311" i="20"/>
  <c r="F291" i="20"/>
  <c r="F339" i="20"/>
  <c r="F148" i="20"/>
  <c r="F160" i="20"/>
  <c r="F286" i="20"/>
  <c r="F254" i="20"/>
  <c r="F165" i="20"/>
  <c r="F315" i="20"/>
  <c r="F359" i="20"/>
  <c r="F318" i="20"/>
  <c r="F342" i="20"/>
  <c r="E259" i="17"/>
  <c r="E261" i="17" s="1"/>
  <c r="F258" i="17" s="1"/>
  <c r="F358" i="20"/>
  <c r="F66" i="20"/>
  <c r="F362" i="20"/>
  <c r="F137" i="20"/>
  <c r="F337" i="20"/>
  <c r="F34" i="20"/>
  <c r="F64" i="20"/>
  <c r="F384" i="20"/>
  <c r="F162" i="17"/>
  <c r="F42" i="17"/>
  <c r="F192" i="17"/>
  <c r="G299" i="3"/>
  <c r="G291" i="3"/>
  <c r="G283" i="3"/>
  <c r="G270" i="3"/>
  <c r="G262" i="3"/>
  <c r="H299" i="3"/>
  <c r="H291" i="3"/>
  <c r="H283" i="3"/>
  <c r="H270" i="3"/>
  <c r="H262" i="3"/>
  <c r="H254" i="3"/>
  <c r="H246" i="3"/>
  <c r="H238" i="3"/>
  <c r="H230" i="3"/>
  <c r="G238" i="3"/>
  <c r="G254" i="3"/>
  <c r="G230" i="3"/>
  <c r="G246" i="3"/>
  <c r="H214" i="3"/>
  <c r="H222" i="3"/>
  <c r="E222" i="17"/>
  <c r="E224" i="17" s="1"/>
  <c r="F221" i="17" s="1"/>
  <c r="G222" i="3"/>
  <c r="G214" i="3"/>
  <c r="C78" i="17"/>
  <c r="B263" i="17" s="1"/>
  <c r="C138" i="17"/>
  <c r="B337" i="17" s="1"/>
  <c r="B226" i="17"/>
  <c r="C168" i="17"/>
  <c r="B374" i="17" s="1"/>
  <c r="C108" i="17"/>
  <c r="B300" i="17" s="1"/>
  <c r="F304" i="17"/>
  <c r="F108" i="17" s="1"/>
  <c r="H243" i="17"/>
  <c r="H244" i="17" s="1"/>
  <c r="H50" i="17" s="1"/>
  <c r="F229" i="17"/>
  <c r="F231" i="17" s="1"/>
  <c r="G228" i="17" s="1"/>
  <c r="H317" i="17"/>
  <c r="H319" i="17" s="1"/>
  <c r="I316" i="17" s="1"/>
  <c r="G421" i="17"/>
  <c r="G423" i="17" s="1"/>
  <c r="H420" i="17" s="1"/>
  <c r="F340" i="17"/>
  <c r="F342" i="17" s="1"/>
  <c r="G339" i="17" s="1"/>
  <c r="G237" i="17"/>
  <c r="G49" i="17" s="1"/>
  <c r="F133" i="20"/>
  <c r="I398" i="17"/>
  <c r="I400" i="17" s="1"/>
  <c r="J397" i="17" s="1"/>
  <c r="H280" i="17"/>
  <c r="H282" i="17" s="1"/>
  <c r="I279" i="17" s="1"/>
  <c r="I324" i="17"/>
  <c r="I326" i="17" s="1"/>
  <c r="J323" i="17" s="1"/>
  <c r="I435" i="17"/>
  <c r="I437" i="17" s="1"/>
  <c r="J434" i="17" s="1"/>
  <c r="I250" i="17"/>
  <c r="I252" i="17" s="1"/>
  <c r="J249" i="17" s="1"/>
  <c r="E370" i="17"/>
  <c r="E372" i="17" s="1"/>
  <c r="F369" i="17" s="1"/>
  <c r="F65" i="20"/>
  <c r="C12" i="17"/>
  <c r="H215" i="20"/>
  <c r="B402" i="17"/>
  <c r="G311" i="17"/>
  <c r="G109" i="17" s="1"/>
  <c r="F85" i="20"/>
  <c r="F113" i="20"/>
  <c r="F89" i="20"/>
  <c r="F292" i="20"/>
  <c r="F415" i="17"/>
  <c r="F198" i="17" s="1"/>
  <c r="F158" i="20"/>
  <c r="H429" i="17"/>
  <c r="H200" i="17" s="1"/>
  <c r="G274" i="17"/>
  <c r="G79" i="17" s="1"/>
  <c r="F383" i="20"/>
  <c r="F386" i="20"/>
  <c r="F387" i="20"/>
  <c r="F43" i="20"/>
  <c r="F60" i="20"/>
  <c r="F313" i="20"/>
  <c r="F260" i="20"/>
  <c r="F290" i="20"/>
  <c r="F374" i="20"/>
  <c r="F391" i="20"/>
  <c r="F302" i="20"/>
  <c r="F92" i="20"/>
  <c r="F116" i="20"/>
  <c r="F136" i="20"/>
  <c r="F28" i="20"/>
  <c r="F63" i="20"/>
  <c r="F234" i="12"/>
  <c r="F235" i="12" s="1"/>
  <c r="F153" i="12"/>
  <c r="F154" i="12" s="1"/>
  <c r="F385" i="20"/>
  <c r="F159" i="20"/>
  <c r="F316" i="20"/>
  <c r="F81" i="12"/>
  <c r="F82" i="12" s="1"/>
  <c r="F356" i="20"/>
  <c r="F130" i="20"/>
  <c r="G14" i="12"/>
  <c r="H10" i="12"/>
  <c r="H14" i="20" s="1"/>
  <c r="G62" i="12"/>
  <c r="G38" i="12"/>
  <c r="H34" i="21" s="1"/>
  <c r="G110" i="12"/>
  <c r="G86" i="12"/>
  <c r="F360" i="20"/>
  <c r="F134" i="20"/>
  <c r="F99" i="20"/>
  <c r="F182" i="12"/>
  <c r="F325" i="20"/>
  <c r="F105" i="12"/>
  <c r="F106" i="12" s="1"/>
  <c r="F180" i="12"/>
  <c r="F277" i="20"/>
  <c r="F51" i="20"/>
  <c r="F57" i="12"/>
  <c r="F58" i="12" s="1"/>
  <c r="F163" i="20"/>
  <c r="F389" i="20"/>
  <c r="F91" i="20"/>
  <c r="F317" i="20"/>
  <c r="F267" i="20"/>
  <c r="F41" i="20"/>
  <c r="F363" i="20"/>
  <c r="F111" i="20"/>
  <c r="F335" i="20"/>
  <c r="F109" i="20"/>
  <c r="F52" i="20"/>
  <c r="F278" i="20"/>
  <c r="F183" i="12"/>
  <c r="F123" i="20"/>
  <c r="F349" i="20"/>
  <c r="F129" i="12"/>
  <c r="F130" i="12" s="1"/>
  <c r="F367" i="20"/>
  <c r="F141" i="20"/>
  <c r="F93" i="20"/>
  <c r="F319" i="20"/>
  <c r="F90" i="20"/>
  <c r="F364" i="20"/>
  <c r="F138" i="20"/>
  <c r="F40" i="20"/>
  <c r="F266" i="20"/>
  <c r="F265" i="20"/>
  <c r="F39" i="20"/>
  <c r="F334" i="20"/>
  <c r="F108" i="20"/>
  <c r="F58" i="20"/>
  <c r="F284" i="20"/>
  <c r="F181" i="12"/>
  <c r="F75" i="20"/>
  <c r="F301" i="20"/>
  <c r="F88" i="20"/>
  <c r="F314" i="20"/>
  <c r="F156" i="20"/>
  <c r="F382" i="20"/>
  <c r="F37" i="20"/>
  <c r="F263" i="20"/>
  <c r="F84" i="20"/>
  <c r="F310" i="20"/>
  <c r="F135" i="20"/>
  <c r="F361" i="20"/>
  <c r="F44" i="20"/>
  <c r="F270" i="20"/>
  <c r="F380" i="20"/>
  <c r="F154" i="20"/>
  <c r="F340" i="20"/>
  <c r="F114" i="20"/>
  <c r="F293" i="20"/>
  <c r="F67" i="20"/>
  <c r="F139" i="20"/>
  <c r="F365" i="20"/>
  <c r="F36" i="20"/>
  <c r="F262" i="20"/>
  <c r="F268" i="20"/>
  <c r="F42" i="20"/>
  <c r="F115" i="20"/>
  <c r="F341" i="20"/>
  <c r="F308" i="20"/>
  <c r="F82" i="20"/>
  <c r="F68" i="20"/>
  <c r="F294" i="20"/>
  <c r="F117" i="20"/>
  <c r="F343" i="20"/>
  <c r="F162" i="20"/>
  <c r="F388" i="20"/>
  <c r="F332" i="20"/>
  <c r="F106" i="20"/>
  <c r="B254" i="17"/>
  <c r="C11" i="17"/>
  <c r="F100" i="20"/>
  <c r="F326" i="20"/>
  <c r="F287" i="20"/>
  <c r="F61" i="20"/>
  <c r="F124" i="20"/>
  <c r="F350" i="20"/>
  <c r="F179" i="12"/>
  <c r="F253" i="20"/>
  <c r="F27" i="20"/>
  <c r="F33" i="12"/>
  <c r="F34" i="12" s="1"/>
  <c r="F38" i="20"/>
  <c r="F264" i="20"/>
  <c r="F336" i="20"/>
  <c r="F110" i="20"/>
  <c r="F373" i="20"/>
  <c r="F184" i="12"/>
  <c r="F147" i="20"/>
  <c r="F62" i="20"/>
  <c r="F288" i="20"/>
  <c r="F112" i="20"/>
  <c r="F338" i="20"/>
  <c r="F140" i="20"/>
  <c r="F366" i="20"/>
  <c r="B328" i="17"/>
  <c r="C13" i="17"/>
  <c r="F132" i="17"/>
  <c r="F71" i="17"/>
  <c r="F163" i="17"/>
  <c r="F73" i="17"/>
  <c r="F72" i="17"/>
  <c r="F101" i="17"/>
  <c r="I362" i="17"/>
  <c r="I141" i="17" s="1"/>
  <c r="H238" i="17"/>
  <c r="I235" i="17" s="1"/>
  <c r="H355" i="17"/>
  <c r="H140" i="17" s="1"/>
  <c r="I393" i="17"/>
  <c r="J390" i="17" s="1"/>
  <c r="I170" i="17"/>
  <c r="G385" i="17"/>
  <c r="G169" i="17" s="1"/>
  <c r="H392" i="17"/>
  <c r="H170" i="17" s="1"/>
  <c r="G414" i="17"/>
  <c r="G416" i="17" s="1"/>
  <c r="J286" i="17"/>
  <c r="E369" i="20"/>
  <c r="I428" i="17"/>
  <c r="I430" i="17" s="1"/>
  <c r="J9" i="20"/>
  <c r="J13" i="20" s="1"/>
  <c r="I215" i="20"/>
  <c r="I353" i="17"/>
  <c r="G303" i="17"/>
  <c r="G305" i="17" s="1"/>
  <c r="H236" i="20"/>
  <c r="G441" i="20"/>
  <c r="I288" i="17"/>
  <c r="I81" i="17" s="1"/>
  <c r="H273" i="17"/>
  <c r="H275" i="17" s="1"/>
  <c r="G265" i="17"/>
  <c r="E104" i="17"/>
  <c r="E194" i="17"/>
  <c r="J360" i="17"/>
  <c r="E74" i="17"/>
  <c r="E44" i="17"/>
  <c r="H310" i="17"/>
  <c r="H312" i="17" s="1"/>
  <c r="H383" i="17"/>
  <c r="F267" i="17"/>
  <c r="F78" i="17" s="1"/>
  <c r="E134" i="17"/>
  <c r="G28" i="17"/>
  <c r="F184" i="17"/>
  <c r="F154" i="17"/>
  <c r="F125" i="17"/>
  <c r="F97" i="17"/>
  <c r="F63" i="17"/>
  <c r="F69" i="17"/>
  <c r="F34" i="17"/>
  <c r="F83" i="17"/>
  <c r="F202" i="17"/>
  <c r="F112" i="17"/>
  <c r="F185" i="17"/>
  <c r="F155" i="17"/>
  <c r="F127" i="17"/>
  <c r="F93" i="17"/>
  <c r="F99" i="17"/>
  <c r="F64" i="17"/>
  <c r="F35" i="17"/>
  <c r="F203" i="17"/>
  <c r="F113" i="17"/>
  <c r="F157" i="17"/>
  <c r="F37" i="17"/>
  <c r="F52" i="17"/>
  <c r="F183" i="17"/>
  <c r="F159" i="17"/>
  <c r="F123" i="17"/>
  <c r="F94" i="17"/>
  <c r="F65" i="17"/>
  <c r="F39" i="17"/>
  <c r="F82" i="17"/>
  <c r="F53" i="17"/>
  <c r="F142" i="17"/>
  <c r="F172" i="17"/>
  <c r="F189" i="17"/>
  <c r="F67" i="17"/>
  <c r="F43" i="17"/>
  <c r="F129" i="17"/>
  <c r="F187" i="17"/>
  <c r="F33" i="17"/>
  <c r="F124" i="17"/>
  <c r="F95" i="17"/>
  <c r="F143" i="17"/>
  <c r="F153" i="17"/>
  <c r="F173" i="17"/>
  <c r="F191" i="17"/>
  <c r="F41" i="17"/>
  <c r="F193" i="17"/>
  <c r="F133" i="17"/>
  <c r="F102" i="17"/>
  <c r="F161" i="17"/>
  <c r="E164" i="17"/>
  <c r="H109" i="21" l="1"/>
  <c r="H9" i="21"/>
  <c r="E345" i="20"/>
  <c r="E412" i="20" s="1"/>
  <c r="H134" i="21"/>
  <c r="H18" i="21"/>
  <c r="H10" i="21"/>
  <c r="H52" i="21"/>
  <c r="H46" i="21"/>
  <c r="H74" i="21"/>
  <c r="H66" i="21"/>
  <c r="H35" i="21"/>
  <c r="H60" i="21"/>
  <c r="H149" i="21"/>
  <c r="H101" i="21"/>
  <c r="H72" i="21"/>
  <c r="H110" i="21"/>
  <c r="H91" i="21"/>
  <c r="H116" i="21"/>
  <c r="H127" i="21"/>
  <c r="H121" i="21"/>
  <c r="H143" i="21"/>
  <c r="H144" i="21"/>
  <c r="H59" i="21"/>
  <c r="H26" i="21"/>
  <c r="H25" i="21"/>
  <c r="H22" i="21"/>
  <c r="H23" i="21"/>
  <c r="H75" i="21"/>
  <c r="H20" i="21"/>
  <c r="H45" i="21"/>
  <c r="H69" i="21"/>
  <c r="H77" i="21"/>
  <c r="H124" i="21"/>
  <c r="H97" i="21"/>
  <c r="H85" i="21"/>
  <c r="H126" i="21"/>
  <c r="H98" i="21"/>
  <c r="H145" i="21"/>
  <c r="H151" i="21"/>
  <c r="H152" i="21"/>
  <c r="H146" i="21"/>
  <c r="G61" i="21"/>
  <c r="H84" i="21"/>
  <c r="H141" i="21"/>
  <c r="H19" i="21"/>
  <c r="H21" i="21"/>
  <c r="H48" i="21"/>
  <c r="H51" i="21"/>
  <c r="H73" i="21"/>
  <c r="H16" i="21"/>
  <c r="H41" i="21"/>
  <c r="H93" i="21"/>
  <c r="H70" i="21"/>
  <c r="H76" i="21"/>
  <c r="H95" i="21"/>
  <c r="H96" i="21"/>
  <c r="H122" i="21"/>
  <c r="H94" i="21"/>
  <c r="H125" i="21"/>
  <c r="H147" i="21"/>
  <c r="H148" i="21"/>
  <c r="E401" i="20"/>
  <c r="G136" i="21"/>
  <c r="G11" i="21"/>
  <c r="G86" i="21"/>
  <c r="F128" i="21"/>
  <c r="G36" i="21"/>
  <c r="G53" i="21" s="1"/>
  <c r="G111" i="21"/>
  <c r="H139" i="21"/>
  <c r="H113" i="21"/>
  <c r="H87" i="21"/>
  <c r="H67" i="21"/>
  <c r="H65" i="21"/>
  <c r="H39" i="21"/>
  <c r="H142" i="21"/>
  <c r="H140" i="21"/>
  <c r="H114" i="21"/>
  <c r="H89" i="21"/>
  <c r="H63" i="21"/>
  <c r="H37" i="21"/>
  <c r="H115" i="21"/>
  <c r="H40" i="21"/>
  <c r="H138" i="21"/>
  <c r="H112" i="21"/>
  <c r="H92" i="21"/>
  <c r="H90" i="21"/>
  <c r="H62" i="21"/>
  <c r="H42" i="21"/>
  <c r="H38" i="21"/>
  <c r="H137" i="21"/>
  <c r="H117" i="21"/>
  <c r="H88" i="21"/>
  <c r="H64" i="21"/>
  <c r="H12" i="21"/>
  <c r="H15" i="21"/>
  <c r="H14" i="21"/>
  <c r="H13" i="21"/>
  <c r="H17" i="21"/>
  <c r="I5" i="12"/>
  <c r="I9" i="12" s="1"/>
  <c r="H9" i="12"/>
  <c r="E143" i="20"/>
  <c r="E187" i="20" s="1"/>
  <c r="E47" i="20"/>
  <c r="E183" i="20" s="1"/>
  <c r="E119" i="20"/>
  <c r="E186" i="20" s="1"/>
  <c r="E95" i="20"/>
  <c r="E185" i="20" s="1"/>
  <c r="E167" i="20"/>
  <c r="E188" i="20" s="1"/>
  <c r="E71" i="20"/>
  <c r="E184" i="20" s="1"/>
  <c r="G24" i="17"/>
  <c r="E447" i="20"/>
  <c r="E448" i="20" s="1"/>
  <c r="E449" i="20" s="1"/>
  <c r="E442" i="20" s="1"/>
  <c r="E321" i="20"/>
  <c r="E411" i="20" s="1"/>
  <c r="E405" i="20"/>
  <c r="F28" i="21"/>
  <c r="F153" i="21"/>
  <c r="H228" i="12"/>
  <c r="E174" i="20"/>
  <c r="E273" i="20"/>
  <c r="E409" i="20" s="1"/>
  <c r="F236" i="12"/>
  <c r="F170" i="12"/>
  <c r="F192" i="12" s="1"/>
  <c r="E170" i="12"/>
  <c r="E192" i="12" s="1"/>
  <c r="E161" i="12"/>
  <c r="E188" i="12" s="1"/>
  <c r="E236" i="12"/>
  <c r="E237" i="12" s="1"/>
  <c r="E229" i="12" s="1"/>
  <c r="E178" i="20"/>
  <c r="F171" i="12"/>
  <c r="F164" i="12"/>
  <c r="F172" i="12"/>
  <c r="E171" i="12"/>
  <c r="E162" i="12"/>
  <c r="E163" i="12"/>
  <c r="E172" i="12"/>
  <c r="F165" i="12"/>
  <c r="F174" i="12"/>
  <c r="E164" i="12"/>
  <c r="E173" i="12"/>
  <c r="E174" i="12"/>
  <c r="E165" i="12"/>
  <c r="E166" i="12"/>
  <c r="E175" i="12"/>
  <c r="H143" i="12"/>
  <c r="I143" i="21" s="1"/>
  <c r="H147" i="12"/>
  <c r="I147" i="21" s="1"/>
  <c r="H151" i="12"/>
  <c r="I151" i="21" s="1"/>
  <c r="H141" i="12"/>
  <c r="I141" i="21" s="1"/>
  <c r="H145" i="12"/>
  <c r="I145" i="21" s="1"/>
  <c r="H149" i="12"/>
  <c r="I149" i="21" s="1"/>
  <c r="H135" i="12"/>
  <c r="I135" i="21" s="1"/>
  <c r="H138" i="12"/>
  <c r="I138" i="21" s="1"/>
  <c r="H117" i="12"/>
  <c r="I116" i="21" s="1"/>
  <c r="H144" i="12"/>
  <c r="I144" i="21" s="1"/>
  <c r="H148" i="12"/>
  <c r="I148" i="21" s="1"/>
  <c r="H152" i="12"/>
  <c r="I152" i="21" s="1"/>
  <c r="H139" i="12"/>
  <c r="I139" i="21" s="1"/>
  <c r="H123" i="12"/>
  <c r="I122" i="21" s="1"/>
  <c r="H127" i="12"/>
  <c r="I126" i="21" s="1"/>
  <c r="H150" i="12"/>
  <c r="I150" i="21" s="1"/>
  <c r="H121" i="12"/>
  <c r="I120" i="21" s="1"/>
  <c r="H125" i="12"/>
  <c r="I124" i="21" s="1"/>
  <c r="H111" i="12"/>
  <c r="I110" i="21" s="1"/>
  <c r="H114" i="12"/>
  <c r="I113" i="21" s="1"/>
  <c r="H93" i="12"/>
  <c r="I91" i="21" s="1"/>
  <c r="H97" i="12"/>
  <c r="I95" i="21" s="1"/>
  <c r="H101" i="12"/>
  <c r="I99" i="21" s="1"/>
  <c r="H146" i="12"/>
  <c r="I146" i="21" s="1"/>
  <c r="H140" i="12"/>
  <c r="I140" i="21" s="1"/>
  <c r="H120" i="12"/>
  <c r="I119" i="21" s="1"/>
  <c r="H124" i="12"/>
  <c r="I123" i="21" s="1"/>
  <c r="H128" i="12"/>
  <c r="I127" i="21" s="1"/>
  <c r="H137" i="12"/>
  <c r="I137" i="21" s="1"/>
  <c r="H119" i="12"/>
  <c r="I118" i="21" s="1"/>
  <c r="H126" i="12"/>
  <c r="I125" i="21" s="1"/>
  <c r="H116" i="12"/>
  <c r="I115" i="21" s="1"/>
  <c r="H96" i="12"/>
  <c r="I94" i="21" s="1"/>
  <c r="H103" i="12"/>
  <c r="I101" i="21" s="1"/>
  <c r="H113" i="12"/>
  <c r="I112" i="21" s="1"/>
  <c r="H95" i="12"/>
  <c r="I93" i="21" s="1"/>
  <c r="H102" i="12"/>
  <c r="I100" i="21" s="1"/>
  <c r="H104" i="12"/>
  <c r="I102" i="21" s="1"/>
  <c r="H89" i="12"/>
  <c r="I87" i="21" s="1"/>
  <c r="H72" i="12"/>
  <c r="I69" i="21" s="1"/>
  <c r="H76" i="12"/>
  <c r="I73" i="21" s="1"/>
  <c r="H80" i="12"/>
  <c r="I77" i="21" s="1"/>
  <c r="H99" i="12"/>
  <c r="I97" i="21" s="1"/>
  <c r="H122" i="12"/>
  <c r="I121" i="21" s="1"/>
  <c r="H100" i="12"/>
  <c r="I98" i="21" s="1"/>
  <c r="H91" i="12"/>
  <c r="I89" i="21" s="1"/>
  <c r="H69" i="12"/>
  <c r="I66" i="21" s="1"/>
  <c r="H71" i="12"/>
  <c r="I68" i="21" s="1"/>
  <c r="H78" i="12"/>
  <c r="I75" i="21" s="1"/>
  <c r="H65" i="12"/>
  <c r="I62" i="21" s="1"/>
  <c r="H48" i="12"/>
  <c r="I44" i="21" s="1"/>
  <c r="H87" i="12"/>
  <c r="I85" i="21" s="1"/>
  <c r="H77" i="12"/>
  <c r="I74" i="21" s="1"/>
  <c r="H79" i="12"/>
  <c r="I76" i="21" s="1"/>
  <c r="H67" i="12"/>
  <c r="I64" i="21" s="1"/>
  <c r="H50" i="12"/>
  <c r="I46" i="21" s="1"/>
  <c r="H54" i="12"/>
  <c r="I50" i="21" s="1"/>
  <c r="H43" i="12"/>
  <c r="I39" i="21" s="1"/>
  <c r="H92" i="12"/>
  <c r="I90" i="21" s="1"/>
  <c r="H74" i="12"/>
  <c r="I71" i="21" s="1"/>
  <c r="H63" i="12"/>
  <c r="I60" i="21" s="1"/>
  <c r="H66" i="12"/>
  <c r="I63" i="21" s="1"/>
  <c r="H45" i="12"/>
  <c r="I41" i="21" s="1"/>
  <c r="H49" i="12"/>
  <c r="I45" i="21" s="1"/>
  <c r="H51" i="12"/>
  <c r="I47" i="21" s="1"/>
  <c r="H53" i="12"/>
  <c r="I49" i="21" s="1"/>
  <c r="H39" i="12"/>
  <c r="I35" i="21" s="1"/>
  <c r="H41" i="12"/>
  <c r="I37" i="21" s="1"/>
  <c r="H23" i="12"/>
  <c r="I18" i="21" s="1"/>
  <c r="H25" i="12"/>
  <c r="I20" i="21" s="1"/>
  <c r="H29" i="12"/>
  <c r="I24" i="21" s="1"/>
  <c r="H55" i="12"/>
  <c r="I51" i="21" s="1"/>
  <c r="H28" i="12"/>
  <c r="I23" i="21" s="1"/>
  <c r="H73" i="12"/>
  <c r="I70" i="21" s="1"/>
  <c r="H47" i="12"/>
  <c r="I43" i="21" s="1"/>
  <c r="H52" i="12"/>
  <c r="I48" i="21" s="1"/>
  <c r="H44" i="12"/>
  <c r="I40" i="21" s="1"/>
  <c r="H21" i="12"/>
  <c r="I16" i="21" s="1"/>
  <c r="H24" i="12"/>
  <c r="I19" i="21" s="1"/>
  <c r="H27" i="12"/>
  <c r="I22" i="21" s="1"/>
  <c r="H31" i="12"/>
  <c r="I26" i="21" s="1"/>
  <c r="H17" i="12"/>
  <c r="I12" i="21" s="1"/>
  <c r="H30" i="12"/>
  <c r="I25" i="21" s="1"/>
  <c r="H19" i="12"/>
  <c r="I14" i="21" s="1"/>
  <c r="H75" i="12"/>
  <c r="I72" i="21" s="1"/>
  <c r="H68" i="12"/>
  <c r="I65" i="21" s="1"/>
  <c r="H32" i="12"/>
  <c r="I27" i="21" s="1"/>
  <c r="H18" i="12"/>
  <c r="I13" i="21" s="1"/>
  <c r="H115" i="12"/>
  <c r="I114" i="21" s="1"/>
  <c r="H98" i="12"/>
  <c r="I96" i="21" s="1"/>
  <c r="H90" i="12"/>
  <c r="I88" i="21" s="1"/>
  <c r="H56" i="12"/>
  <c r="I52" i="21" s="1"/>
  <c r="H42" i="12"/>
  <c r="I38" i="21" s="1"/>
  <c r="H26" i="12"/>
  <c r="I21" i="21" s="1"/>
  <c r="H20" i="12"/>
  <c r="I15" i="21" s="1"/>
  <c r="H15" i="12"/>
  <c r="I10" i="21" s="1"/>
  <c r="C50" i="17"/>
  <c r="C200" i="17" s="1"/>
  <c r="B425" i="17" s="1"/>
  <c r="J12" i="3"/>
  <c r="J321" i="3" s="1"/>
  <c r="G258" i="20"/>
  <c r="G32" i="20"/>
  <c r="G306" i="20"/>
  <c r="G80" i="20"/>
  <c r="G378" i="20"/>
  <c r="G152" i="20"/>
  <c r="G354" i="20"/>
  <c r="G128" i="20"/>
  <c r="I310" i="3"/>
  <c r="G102" i="20"/>
  <c r="G328" i="20"/>
  <c r="G282" i="20"/>
  <c r="G56" i="20"/>
  <c r="G330" i="20"/>
  <c r="G104" i="20"/>
  <c r="G103" i="20"/>
  <c r="G329" i="20"/>
  <c r="B233" i="17"/>
  <c r="C139" i="17"/>
  <c r="B344" i="17" s="1"/>
  <c r="G352" i="20"/>
  <c r="G126" i="20"/>
  <c r="G54" i="20"/>
  <c r="G280" i="20"/>
  <c r="G376" i="20"/>
  <c r="G150" i="20"/>
  <c r="G353" i="20"/>
  <c r="G127" i="20"/>
  <c r="G79" i="20"/>
  <c r="G305" i="20"/>
  <c r="G55" i="20"/>
  <c r="G281" i="20"/>
  <c r="G256" i="20"/>
  <c r="G30" i="20"/>
  <c r="G151" i="20"/>
  <c r="G377" i="20"/>
  <c r="G304" i="20"/>
  <c r="G78" i="20"/>
  <c r="G31" i="20"/>
  <c r="G257" i="20"/>
  <c r="F378" i="17"/>
  <c r="F168" i="17" s="1"/>
  <c r="C109" i="17"/>
  <c r="B307" i="17" s="1"/>
  <c r="E334" i="17"/>
  <c r="E137" i="17" s="1"/>
  <c r="E145" i="17" s="1"/>
  <c r="E147" i="17" s="1"/>
  <c r="E148" i="17" s="1"/>
  <c r="E408" i="17"/>
  <c r="E197" i="17" s="1"/>
  <c r="E205" i="17" s="1"/>
  <c r="E207" i="17" s="1"/>
  <c r="E208" i="17" s="1"/>
  <c r="E297" i="17"/>
  <c r="E107" i="17" s="1"/>
  <c r="E115" i="17" s="1"/>
  <c r="E117" i="17" s="1"/>
  <c r="E118" i="17" s="1"/>
  <c r="E260" i="17"/>
  <c r="E77" i="17" s="1"/>
  <c r="E85" i="17" s="1"/>
  <c r="E87" i="17" s="1"/>
  <c r="E88" i="17" s="1"/>
  <c r="G348" i="17"/>
  <c r="G139" i="17" s="1"/>
  <c r="H139" i="17"/>
  <c r="G58" i="3"/>
  <c r="H55" i="3"/>
  <c r="G29" i="3"/>
  <c r="G35" i="3" s="1"/>
  <c r="G38" i="3" s="1"/>
  <c r="G41" i="3" s="1"/>
  <c r="H26" i="3"/>
  <c r="H349" i="17"/>
  <c r="I346" i="17" s="1"/>
  <c r="I347" i="17" s="1"/>
  <c r="I349" i="17" s="1"/>
  <c r="C169" i="17"/>
  <c r="B381" i="17" s="1"/>
  <c r="C199" i="17"/>
  <c r="B418" i="17" s="1"/>
  <c r="G103" i="21"/>
  <c r="G128" i="21"/>
  <c r="G153" i="21"/>
  <c r="G28" i="21"/>
  <c r="G78" i="21"/>
  <c r="I299" i="3"/>
  <c r="I291" i="3"/>
  <c r="I283" i="3"/>
  <c r="I270" i="3"/>
  <c r="I262" i="3"/>
  <c r="I254" i="3"/>
  <c r="I246" i="3"/>
  <c r="I238" i="3"/>
  <c r="I230" i="3"/>
  <c r="E223" i="17"/>
  <c r="E47" i="17" s="1"/>
  <c r="E55" i="17" s="1"/>
  <c r="E57" i="17" s="1"/>
  <c r="E58" i="17" s="1"/>
  <c r="I214" i="3"/>
  <c r="I222" i="3"/>
  <c r="F341" i="17"/>
  <c r="F138" i="17" s="1"/>
  <c r="H245" i="17"/>
  <c r="I242" i="17" s="1"/>
  <c r="I243" i="17" s="1"/>
  <c r="I245" i="17" s="1"/>
  <c r="C110" i="17"/>
  <c r="B314" i="17" s="1"/>
  <c r="I436" i="17"/>
  <c r="I201" i="17" s="1"/>
  <c r="F230" i="17"/>
  <c r="F48" i="17" s="1"/>
  <c r="F163" i="12"/>
  <c r="E371" i="17"/>
  <c r="E167" i="17" s="1"/>
  <c r="E175" i="17" s="1"/>
  <c r="E177" i="17" s="1"/>
  <c r="E178" i="17" s="1"/>
  <c r="H318" i="17"/>
  <c r="H110" i="17" s="1"/>
  <c r="G422" i="17"/>
  <c r="G199" i="17" s="1"/>
  <c r="I251" i="17"/>
  <c r="I51" i="17" s="1"/>
  <c r="H281" i="17"/>
  <c r="H80" i="17" s="1"/>
  <c r="I399" i="17"/>
  <c r="I171" i="17" s="1"/>
  <c r="I325" i="17"/>
  <c r="I111" i="17" s="1"/>
  <c r="F370" i="17"/>
  <c r="F371" i="17" s="1"/>
  <c r="F167" i="17" s="1"/>
  <c r="F162" i="12"/>
  <c r="F392" i="20"/>
  <c r="F405" i="20" s="1"/>
  <c r="F142" i="20"/>
  <c r="F178" i="20" s="1"/>
  <c r="F173" i="12"/>
  <c r="F166" i="20"/>
  <c r="F167" i="20" s="1"/>
  <c r="F344" i="20"/>
  <c r="F345" i="20" s="1"/>
  <c r="F412" i="20" s="1"/>
  <c r="F70" i="20"/>
  <c r="F175" i="20" s="1"/>
  <c r="F46" i="20"/>
  <c r="F221" i="20" s="1"/>
  <c r="F222" i="20" s="1"/>
  <c r="F223" i="20" s="1"/>
  <c r="F216" i="20" s="1"/>
  <c r="F320" i="20"/>
  <c r="F321" i="20" s="1"/>
  <c r="F411" i="20" s="1"/>
  <c r="G234" i="12"/>
  <c r="G235" i="12" s="1"/>
  <c r="F368" i="20"/>
  <c r="G91" i="20"/>
  <c r="G317" i="20"/>
  <c r="G267" i="20"/>
  <c r="G41" i="20"/>
  <c r="G278" i="20"/>
  <c r="G52" i="20"/>
  <c r="G336" i="20"/>
  <c r="G110" i="20"/>
  <c r="G268" i="20"/>
  <c r="G42" i="20"/>
  <c r="G364" i="20"/>
  <c r="G138" i="20"/>
  <c r="G36" i="20"/>
  <c r="G262" i="20"/>
  <c r="G284" i="20"/>
  <c r="G58" i="20"/>
  <c r="G265" i="20"/>
  <c r="G39" i="20"/>
  <c r="G313" i="20"/>
  <c r="G87" i="20"/>
  <c r="G92" i="20"/>
  <c r="G318" i="20"/>
  <c r="G157" i="20"/>
  <c r="G383" i="20"/>
  <c r="F161" i="12"/>
  <c r="F188" i="12" s="1"/>
  <c r="F118" i="20"/>
  <c r="F119" i="20" s="1"/>
  <c r="G315" i="20"/>
  <c r="G89" i="20"/>
  <c r="G154" i="20"/>
  <c r="G380" i="20"/>
  <c r="G289" i="20"/>
  <c r="G63" i="20"/>
  <c r="G387" i="20"/>
  <c r="G161" i="20"/>
  <c r="G277" i="20"/>
  <c r="G180" i="12"/>
  <c r="G51" i="20"/>
  <c r="G57" i="12"/>
  <c r="G58" i="12" s="1"/>
  <c r="G293" i="20"/>
  <c r="G67" i="20"/>
  <c r="G82" i="20"/>
  <c r="G308" i="20"/>
  <c r="G61" i="20"/>
  <c r="G287" i="20"/>
  <c r="F94" i="20"/>
  <c r="F95" i="20" s="1"/>
  <c r="G358" i="20"/>
  <c r="G132" i="20"/>
  <c r="F296" i="20"/>
  <c r="G148" i="20"/>
  <c r="G374" i="20"/>
  <c r="G108" i="20"/>
  <c r="G334" i="20"/>
  <c r="G325" i="20"/>
  <c r="G182" i="12"/>
  <c r="G99" i="20"/>
  <c r="G105" i="12"/>
  <c r="G106" i="12" s="1"/>
  <c r="G332" i="20"/>
  <c r="G106" i="20"/>
  <c r="G263" i="20"/>
  <c r="G37" i="20"/>
  <c r="G355" i="20"/>
  <c r="G129" i="20"/>
  <c r="G84" i="20"/>
  <c r="G310" i="20"/>
  <c r="G153" i="20"/>
  <c r="G379" i="20"/>
  <c r="G33" i="20"/>
  <c r="G259" i="20"/>
  <c r="G292" i="20"/>
  <c r="G66" i="20"/>
  <c r="G156" i="20"/>
  <c r="G382" i="20"/>
  <c r="H14" i="12"/>
  <c r="I9" i="21" s="1"/>
  <c r="H110" i="12"/>
  <c r="I109" i="21" s="1"/>
  <c r="H38" i="12"/>
  <c r="I34" i="21" s="1"/>
  <c r="H62" i="12"/>
  <c r="I59" i="21" s="1"/>
  <c r="H134" i="12"/>
  <c r="I134" i="21" s="1"/>
  <c r="I10" i="12"/>
  <c r="I14" i="20" s="1"/>
  <c r="H86" i="12"/>
  <c r="I84" i="21" s="1"/>
  <c r="G339" i="20"/>
  <c r="G113" i="20"/>
  <c r="G295" i="20"/>
  <c r="G69" i="20"/>
  <c r="G389" i="20"/>
  <c r="G163" i="20"/>
  <c r="G38" i="20"/>
  <c r="G264" i="20"/>
  <c r="G68" i="20"/>
  <c r="G294" i="20"/>
  <c r="G124" i="20"/>
  <c r="G350" i="20"/>
  <c r="G338" i="20"/>
  <c r="G112" i="20"/>
  <c r="G57" i="20"/>
  <c r="G283" i="20"/>
  <c r="F272" i="20"/>
  <c r="G136" i="20"/>
  <c r="G362" i="20"/>
  <c r="G162" i="20"/>
  <c r="G388" i="20"/>
  <c r="G373" i="20"/>
  <c r="G184" i="12"/>
  <c r="G147" i="20"/>
  <c r="G153" i="12"/>
  <c r="G154" i="12" s="1"/>
  <c r="G286" i="20"/>
  <c r="G60" i="20"/>
  <c r="G254" i="20"/>
  <c r="G28" i="20"/>
  <c r="G133" i="20"/>
  <c r="G359" i="20"/>
  <c r="G130" i="20"/>
  <c r="G356" i="20"/>
  <c r="G45" i="20"/>
  <c r="G271" i="20"/>
  <c r="G341" i="20"/>
  <c r="G115" i="20"/>
  <c r="G44" i="20"/>
  <c r="G270" i="20"/>
  <c r="G165" i="20"/>
  <c r="G391" i="20"/>
  <c r="G390" i="20"/>
  <c r="G164" i="20"/>
  <c r="G361" i="20"/>
  <c r="G135" i="20"/>
  <c r="G117" i="20"/>
  <c r="G343" i="20"/>
  <c r="G253" i="20"/>
  <c r="G179" i="12"/>
  <c r="G27" i="20"/>
  <c r="G33" i="12"/>
  <c r="G34" i="12" s="1"/>
  <c r="G109" i="20"/>
  <c r="G335" i="20"/>
  <c r="G290" i="20"/>
  <c r="G64" i="20"/>
  <c r="G337" i="20"/>
  <c r="G111" i="20"/>
  <c r="G291" i="20"/>
  <c r="G65" i="20"/>
  <c r="G139" i="20"/>
  <c r="G365" i="20"/>
  <c r="G312" i="20"/>
  <c r="G86" i="20"/>
  <c r="G81" i="20"/>
  <c r="G307" i="20"/>
  <c r="G326" i="20"/>
  <c r="G100" i="20"/>
  <c r="G386" i="20"/>
  <c r="G160" i="20"/>
  <c r="G366" i="20"/>
  <c r="G140" i="20"/>
  <c r="G311" i="20"/>
  <c r="G85" i="20"/>
  <c r="G363" i="20"/>
  <c r="G137" i="20"/>
  <c r="G302" i="20"/>
  <c r="G76" i="20"/>
  <c r="G349" i="20"/>
  <c r="G183" i="12"/>
  <c r="G129" i="12"/>
  <c r="G130" i="12" s="1"/>
  <c r="G123" i="20"/>
  <c r="G181" i="12"/>
  <c r="G75" i="20"/>
  <c r="G81" i="12"/>
  <c r="G82" i="12" s="1"/>
  <c r="G301" i="20"/>
  <c r="G314" i="20"/>
  <c r="G88" i="20"/>
  <c r="G34" i="20"/>
  <c r="G260" i="20"/>
  <c r="G266" i="20"/>
  <c r="G40" i="20"/>
  <c r="G316" i="20"/>
  <c r="G90" i="20"/>
  <c r="G93" i="20"/>
  <c r="G319" i="20"/>
  <c r="G158" i="20"/>
  <c r="G384" i="20"/>
  <c r="G367" i="20"/>
  <c r="G141" i="20"/>
  <c r="G340" i="20"/>
  <c r="G114" i="20"/>
  <c r="G331" i="20"/>
  <c r="G105" i="20"/>
  <c r="G43" i="20"/>
  <c r="G269" i="20"/>
  <c r="G159" i="20"/>
  <c r="G385" i="20"/>
  <c r="G288" i="20"/>
  <c r="G62" i="20"/>
  <c r="G360" i="20"/>
  <c r="G134" i="20"/>
  <c r="G116" i="20"/>
  <c r="G342" i="20"/>
  <c r="F166" i="12"/>
  <c r="F175" i="12"/>
  <c r="F134" i="17"/>
  <c r="F74" i="17"/>
  <c r="H274" i="17"/>
  <c r="H79" i="17" s="1"/>
  <c r="G304" i="17"/>
  <c r="G108" i="17" s="1"/>
  <c r="I429" i="17"/>
  <c r="I200" i="17" s="1"/>
  <c r="G415" i="17"/>
  <c r="G198" i="17" s="1"/>
  <c r="G340" i="17"/>
  <c r="G342" i="17" s="1"/>
  <c r="H384" i="17"/>
  <c r="H386" i="17" s="1"/>
  <c r="F407" i="17"/>
  <c r="F409" i="17" s="1"/>
  <c r="E410" i="20"/>
  <c r="I354" i="17"/>
  <c r="I356" i="17" s="1"/>
  <c r="J287" i="17"/>
  <c r="J289" i="17" s="1"/>
  <c r="G185" i="17"/>
  <c r="G155" i="17"/>
  <c r="G127" i="17"/>
  <c r="G93" i="17"/>
  <c r="G99" i="17"/>
  <c r="G64" i="17"/>
  <c r="G35" i="17"/>
  <c r="G187" i="17"/>
  <c r="G157" i="17"/>
  <c r="G123" i="17"/>
  <c r="G129" i="17"/>
  <c r="G94" i="17"/>
  <c r="G65" i="17"/>
  <c r="G37" i="17"/>
  <c r="G202" i="17"/>
  <c r="G112" i="17"/>
  <c r="G183" i="17"/>
  <c r="G159" i="17"/>
  <c r="G63" i="17"/>
  <c r="G39" i="17"/>
  <c r="G82" i="17"/>
  <c r="G52" i="17"/>
  <c r="G184" i="17"/>
  <c r="G124" i="17"/>
  <c r="G95" i="17"/>
  <c r="G67" i="17"/>
  <c r="G83" i="17"/>
  <c r="G53" i="17"/>
  <c r="G203" i="17"/>
  <c r="H28" i="17"/>
  <c r="G154" i="17"/>
  <c r="G33" i="17"/>
  <c r="G113" i="17"/>
  <c r="G172" i="17"/>
  <c r="G142" i="17"/>
  <c r="G173" i="17"/>
  <c r="G189" i="17"/>
  <c r="G34" i="17"/>
  <c r="G69" i="17"/>
  <c r="G143" i="17"/>
  <c r="G153" i="17"/>
  <c r="G125" i="17"/>
  <c r="G97" i="17"/>
  <c r="G161" i="17"/>
  <c r="G133" i="17"/>
  <c r="G102" i="17"/>
  <c r="G191" i="17"/>
  <c r="G43" i="17"/>
  <c r="G193" i="17"/>
  <c r="G41" i="17"/>
  <c r="G72" i="17"/>
  <c r="G103" i="17"/>
  <c r="G71" i="17"/>
  <c r="G131" i="17"/>
  <c r="G162" i="17"/>
  <c r="G192" i="17"/>
  <c r="G163" i="17"/>
  <c r="G101" i="17"/>
  <c r="G42" i="17"/>
  <c r="G132" i="17"/>
  <c r="G73" i="17"/>
  <c r="H421" i="17"/>
  <c r="H423" i="17" s="1"/>
  <c r="F222" i="17"/>
  <c r="F224" i="17" s="1"/>
  <c r="J361" i="17"/>
  <c r="J363" i="17" s="1"/>
  <c r="I272" i="17"/>
  <c r="I236" i="17"/>
  <c r="I238" i="17" s="1"/>
  <c r="I317" i="17"/>
  <c r="I319" i="17" s="1"/>
  <c r="F296" i="17"/>
  <c r="F298" i="17" s="1"/>
  <c r="I236" i="20"/>
  <c r="H441" i="20"/>
  <c r="G377" i="17"/>
  <c r="G379" i="17" s="1"/>
  <c r="G229" i="17"/>
  <c r="G231" i="17" s="1"/>
  <c r="E413" i="20"/>
  <c r="F194" i="17"/>
  <c r="J435" i="17"/>
  <c r="J437" i="17" s="1"/>
  <c r="I309" i="17"/>
  <c r="I280" i="17"/>
  <c r="I282" i="17" s="1"/>
  <c r="J391" i="17"/>
  <c r="J393" i="17" s="1"/>
  <c r="J427" i="17"/>
  <c r="J398" i="17"/>
  <c r="J400" i="17" s="1"/>
  <c r="H413" i="17"/>
  <c r="F164" i="17"/>
  <c r="F44" i="17"/>
  <c r="F104" i="17"/>
  <c r="F259" i="17"/>
  <c r="F261" i="17" s="1"/>
  <c r="E414" i="20"/>
  <c r="H311" i="17"/>
  <c r="H109" i="17" s="1"/>
  <c r="F333" i="17"/>
  <c r="F335" i="17" s="1"/>
  <c r="G266" i="17"/>
  <c r="G268" i="17" s="1"/>
  <c r="J324" i="17"/>
  <c r="J326" i="17" s="1"/>
  <c r="H302" i="17"/>
  <c r="K9" i="20"/>
  <c r="K13" i="20" s="1"/>
  <c r="J215" i="20"/>
  <c r="J250" i="17"/>
  <c r="J252" i="17" s="1"/>
  <c r="J17" i="21" l="1"/>
  <c r="J117" i="21"/>
  <c r="J142" i="21"/>
  <c r="J92" i="21"/>
  <c r="J42" i="21"/>
  <c r="J67" i="21"/>
  <c r="I228" i="12"/>
  <c r="H24" i="17"/>
  <c r="J5" i="12"/>
  <c r="J9" i="12" s="1"/>
  <c r="I17" i="21"/>
  <c r="I142" i="21"/>
  <c r="I42" i="21"/>
  <c r="I117" i="21"/>
  <c r="I67" i="21"/>
  <c r="I92" i="21"/>
  <c r="F143" i="20"/>
  <c r="F187" i="20" s="1"/>
  <c r="F47" i="20"/>
  <c r="F183" i="20" s="1"/>
  <c r="F71" i="20"/>
  <c r="C80" i="17"/>
  <c r="B277" i="17" s="1"/>
  <c r="C170" i="17"/>
  <c r="B388" i="17" s="1"/>
  <c r="C140" i="17"/>
  <c r="B351" i="17" s="1"/>
  <c r="B240" i="17"/>
  <c r="G236" i="12"/>
  <c r="G237" i="12" s="1"/>
  <c r="G229" i="12" s="1"/>
  <c r="G170" i="12"/>
  <c r="G192" i="12" s="1"/>
  <c r="I144" i="12"/>
  <c r="J144" i="21" s="1"/>
  <c r="I148" i="12"/>
  <c r="J148" i="21" s="1"/>
  <c r="I152" i="12"/>
  <c r="J152" i="21" s="1"/>
  <c r="I140" i="12"/>
  <c r="J140" i="21" s="1"/>
  <c r="I146" i="12"/>
  <c r="J146" i="21" s="1"/>
  <c r="I150" i="12"/>
  <c r="J150" i="21" s="1"/>
  <c r="I138" i="12"/>
  <c r="J138" i="21" s="1"/>
  <c r="I141" i="12"/>
  <c r="J141" i="21" s="1"/>
  <c r="I145" i="12"/>
  <c r="J145" i="21" s="1"/>
  <c r="I149" i="12"/>
  <c r="J149" i="21" s="1"/>
  <c r="I139" i="12"/>
  <c r="J139" i="21" s="1"/>
  <c r="I135" i="12"/>
  <c r="J135" i="21" s="1"/>
  <c r="I147" i="12"/>
  <c r="J147" i="21" s="1"/>
  <c r="I137" i="12"/>
  <c r="J137" i="21" s="1"/>
  <c r="I117" i="12"/>
  <c r="J116" i="21" s="1"/>
  <c r="I120" i="12"/>
  <c r="J119" i="21" s="1"/>
  <c r="I124" i="12"/>
  <c r="J123" i="21" s="1"/>
  <c r="I128" i="12"/>
  <c r="J127" i="21" s="1"/>
  <c r="I116" i="12"/>
  <c r="J115" i="21" s="1"/>
  <c r="I119" i="12"/>
  <c r="J118" i="21" s="1"/>
  <c r="I122" i="12"/>
  <c r="J121" i="21" s="1"/>
  <c r="I126" i="12"/>
  <c r="J125" i="21" s="1"/>
  <c r="I114" i="12"/>
  <c r="J113" i="21" s="1"/>
  <c r="I98" i="12"/>
  <c r="J96" i="21" s="1"/>
  <c r="I102" i="12"/>
  <c r="J100" i="21" s="1"/>
  <c r="I151" i="12"/>
  <c r="J151" i="21" s="1"/>
  <c r="I121" i="12"/>
  <c r="J120" i="21" s="1"/>
  <c r="I125" i="12"/>
  <c r="J124" i="21" s="1"/>
  <c r="I115" i="12"/>
  <c r="J114" i="21" s="1"/>
  <c r="I99" i="12"/>
  <c r="J97" i="21" s="1"/>
  <c r="I101" i="12"/>
  <c r="J99" i="21" s="1"/>
  <c r="I89" i="12"/>
  <c r="J87" i="21" s="1"/>
  <c r="I143" i="12"/>
  <c r="J143" i="21" s="1"/>
  <c r="I123" i="12"/>
  <c r="J122" i="21" s="1"/>
  <c r="I113" i="12"/>
  <c r="J112" i="21" s="1"/>
  <c r="I100" i="12"/>
  <c r="J98" i="21" s="1"/>
  <c r="I91" i="12"/>
  <c r="J89" i="21" s="1"/>
  <c r="I87" i="12"/>
  <c r="J85" i="21" s="1"/>
  <c r="I69" i="12"/>
  <c r="J66" i="21" s="1"/>
  <c r="I73" i="12"/>
  <c r="J70" i="21" s="1"/>
  <c r="I77" i="12"/>
  <c r="J74" i="21" s="1"/>
  <c r="I67" i="12"/>
  <c r="J64" i="21" s="1"/>
  <c r="I111" i="12"/>
  <c r="J110" i="21" s="1"/>
  <c r="I95" i="12"/>
  <c r="J93" i="21" s="1"/>
  <c r="I97" i="12"/>
  <c r="J95" i="21" s="1"/>
  <c r="I104" i="12"/>
  <c r="J102" i="21" s="1"/>
  <c r="I92" i="12"/>
  <c r="J90" i="21" s="1"/>
  <c r="I74" i="12"/>
  <c r="J71" i="21" s="1"/>
  <c r="I76" i="12"/>
  <c r="J73" i="21" s="1"/>
  <c r="I63" i="12"/>
  <c r="J60" i="21" s="1"/>
  <c r="I45" i="12"/>
  <c r="J41" i="21" s="1"/>
  <c r="I49" i="12"/>
  <c r="J45" i="21" s="1"/>
  <c r="I127" i="12"/>
  <c r="J126" i="21" s="1"/>
  <c r="I96" i="12"/>
  <c r="J94" i="21" s="1"/>
  <c r="I75" i="12"/>
  <c r="J72" i="21" s="1"/>
  <c r="I65" i="12"/>
  <c r="J62" i="21" s="1"/>
  <c r="I47" i="12"/>
  <c r="J43" i="21" s="1"/>
  <c r="I51" i="12"/>
  <c r="J47" i="21" s="1"/>
  <c r="I55" i="12"/>
  <c r="J51" i="21" s="1"/>
  <c r="I41" i="12"/>
  <c r="J37" i="21" s="1"/>
  <c r="I23" i="12"/>
  <c r="J18" i="21" s="1"/>
  <c r="I93" i="12"/>
  <c r="J91" i="21" s="1"/>
  <c r="I103" i="12"/>
  <c r="J101" i="21" s="1"/>
  <c r="I72" i="12"/>
  <c r="J69" i="21" s="1"/>
  <c r="I79" i="12"/>
  <c r="J76" i="21" s="1"/>
  <c r="I66" i="12"/>
  <c r="J63" i="21" s="1"/>
  <c r="I78" i="12"/>
  <c r="J75" i="21" s="1"/>
  <c r="I68" i="12"/>
  <c r="J65" i="21" s="1"/>
  <c r="I56" i="12"/>
  <c r="J52" i="21" s="1"/>
  <c r="I26" i="12"/>
  <c r="J21" i="21" s="1"/>
  <c r="I30" i="12"/>
  <c r="J25" i="21" s="1"/>
  <c r="I53" i="12"/>
  <c r="J49" i="21" s="1"/>
  <c r="I15" i="12"/>
  <c r="J10" i="21" s="1"/>
  <c r="I90" i="12"/>
  <c r="J88" i="21" s="1"/>
  <c r="I50" i="12"/>
  <c r="J46" i="21" s="1"/>
  <c r="I43" i="12"/>
  <c r="J39" i="21" s="1"/>
  <c r="I28" i="12"/>
  <c r="J23" i="21" s="1"/>
  <c r="I32" i="12"/>
  <c r="J27" i="21" s="1"/>
  <c r="I20" i="12"/>
  <c r="J15" i="21" s="1"/>
  <c r="I27" i="12"/>
  <c r="J22" i="21" s="1"/>
  <c r="I31" i="12"/>
  <c r="J26" i="21" s="1"/>
  <c r="I17" i="12"/>
  <c r="J12" i="21" s="1"/>
  <c r="I18" i="12"/>
  <c r="J13" i="21" s="1"/>
  <c r="I42" i="12"/>
  <c r="J38" i="21" s="1"/>
  <c r="I39" i="12"/>
  <c r="J35" i="21" s="1"/>
  <c r="I25" i="12"/>
  <c r="J20" i="21" s="1"/>
  <c r="I29" i="12"/>
  <c r="J24" i="21" s="1"/>
  <c r="I71" i="12"/>
  <c r="J68" i="21" s="1"/>
  <c r="I80" i="12"/>
  <c r="J77" i="21" s="1"/>
  <c r="I48" i="12"/>
  <c r="J44" i="21" s="1"/>
  <c r="I52" i="12"/>
  <c r="J48" i="21" s="1"/>
  <c r="I54" i="12"/>
  <c r="J50" i="21" s="1"/>
  <c r="I44" i="12"/>
  <c r="J40" i="21" s="1"/>
  <c r="I21" i="12"/>
  <c r="J16" i="21" s="1"/>
  <c r="I24" i="12"/>
  <c r="J19" i="21" s="1"/>
  <c r="I19" i="12"/>
  <c r="J14" i="21" s="1"/>
  <c r="C51" i="17"/>
  <c r="C141" i="17" s="1"/>
  <c r="B358" i="17" s="1"/>
  <c r="K12" i="3"/>
  <c r="K310" i="3" s="1"/>
  <c r="J310" i="3"/>
  <c r="H86" i="21"/>
  <c r="H103" i="21" s="1"/>
  <c r="H111" i="21"/>
  <c r="H128" i="21" s="1"/>
  <c r="H330" i="20"/>
  <c r="H104" i="20"/>
  <c r="H61" i="21"/>
  <c r="H78" i="21" s="1"/>
  <c r="H36" i="21"/>
  <c r="H53" i="21" s="1"/>
  <c r="H258" i="20"/>
  <c r="H32" i="20"/>
  <c r="H282" i="20"/>
  <c r="H56" i="20"/>
  <c r="H354" i="20"/>
  <c r="H128" i="20"/>
  <c r="H103" i="20"/>
  <c r="H329" i="20"/>
  <c r="H102" i="20"/>
  <c r="H328" i="20"/>
  <c r="H378" i="20"/>
  <c r="H152" i="20"/>
  <c r="H306" i="20"/>
  <c r="H80" i="20"/>
  <c r="H136" i="21"/>
  <c r="H153" i="21" s="1"/>
  <c r="H127" i="20"/>
  <c r="H353" i="20"/>
  <c r="H352" i="20"/>
  <c r="H126" i="20"/>
  <c r="H11" i="21"/>
  <c r="H28" i="21" s="1"/>
  <c r="H304" i="20"/>
  <c r="H78" i="20"/>
  <c r="H55" i="20"/>
  <c r="H281" i="20"/>
  <c r="H256" i="20"/>
  <c r="H30" i="20"/>
  <c r="H31" i="20"/>
  <c r="H257" i="20"/>
  <c r="H54" i="20"/>
  <c r="H280" i="20"/>
  <c r="H151" i="20"/>
  <c r="H377" i="20"/>
  <c r="H79" i="20"/>
  <c r="H305" i="20"/>
  <c r="H150" i="20"/>
  <c r="H376" i="20"/>
  <c r="F175" i="17"/>
  <c r="F177" i="17" s="1"/>
  <c r="F178" i="17" s="1"/>
  <c r="I26" i="3"/>
  <c r="H29" i="3"/>
  <c r="H35" i="3" s="1"/>
  <c r="H38" i="3" s="1"/>
  <c r="H41" i="3" s="1"/>
  <c r="H58" i="3"/>
  <c r="I55" i="3"/>
  <c r="J299" i="3"/>
  <c r="J291" i="3"/>
  <c r="J283" i="3"/>
  <c r="J270" i="3"/>
  <c r="J262" i="3"/>
  <c r="J254" i="3"/>
  <c r="J246" i="3"/>
  <c r="J238" i="3"/>
  <c r="J230" i="3"/>
  <c r="J214" i="3"/>
  <c r="J222" i="3"/>
  <c r="F372" i="17"/>
  <c r="G369" i="17" s="1"/>
  <c r="F402" i="20"/>
  <c r="F393" i="20"/>
  <c r="F414" i="20" s="1"/>
  <c r="G94" i="20"/>
  <c r="F184" i="20"/>
  <c r="F403" i="20"/>
  <c r="F188" i="20"/>
  <c r="F179" i="20"/>
  <c r="F174" i="20"/>
  <c r="F237" i="12"/>
  <c r="F229" i="12" s="1"/>
  <c r="H234" i="12"/>
  <c r="H235" i="12" s="1"/>
  <c r="G175" i="12"/>
  <c r="G166" i="12"/>
  <c r="H350" i="20"/>
  <c r="H124" i="20"/>
  <c r="H313" i="20"/>
  <c r="H87" i="20"/>
  <c r="H342" i="20"/>
  <c r="H116" i="20"/>
  <c r="H367" i="20"/>
  <c r="H141" i="20"/>
  <c r="H86" i="20"/>
  <c r="H312" i="20"/>
  <c r="H180" i="12"/>
  <c r="H51" i="20"/>
  <c r="H277" i="20"/>
  <c r="H57" i="12"/>
  <c r="H58" i="12" s="1"/>
  <c r="H290" i="20"/>
  <c r="H64" i="20"/>
  <c r="H341" i="20"/>
  <c r="H115" i="20"/>
  <c r="H154" i="20"/>
  <c r="H380" i="20"/>
  <c r="G162" i="12"/>
  <c r="G171" i="12"/>
  <c r="F404" i="20"/>
  <c r="F369" i="20"/>
  <c r="F413" i="20" s="1"/>
  <c r="H182" i="12"/>
  <c r="H105" i="12"/>
  <c r="H106" i="12" s="1"/>
  <c r="H99" i="20"/>
  <c r="H325" i="20"/>
  <c r="H359" i="20"/>
  <c r="H133" i="20"/>
  <c r="J10" i="12"/>
  <c r="J14" i="20" s="1"/>
  <c r="I62" i="12"/>
  <c r="J59" i="21" s="1"/>
  <c r="I38" i="12"/>
  <c r="J34" i="21" s="1"/>
  <c r="I14" i="12"/>
  <c r="J9" i="21" s="1"/>
  <c r="I86" i="12"/>
  <c r="J84" i="21" s="1"/>
  <c r="I110" i="12"/>
  <c r="J109" i="21" s="1"/>
  <c r="I134" i="12"/>
  <c r="J134" i="21" s="1"/>
  <c r="H184" i="12"/>
  <c r="H373" i="20"/>
  <c r="H153" i="12"/>
  <c r="H154" i="12" s="1"/>
  <c r="H147" i="20"/>
  <c r="H100" i="20"/>
  <c r="H326" i="20"/>
  <c r="H160" i="20"/>
  <c r="H386" i="20"/>
  <c r="H90" i="20"/>
  <c r="H316" i="20"/>
  <c r="H311" i="20"/>
  <c r="H85" i="20"/>
  <c r="H140" i="20"/>
  <c r="H366" i="20"/>
  <c r="H385" i="20"/>
  <c r="H159" i="20"/>
  <c r="H336" i="20"/>
  <c r="H110" i="20"/>
  <c r="H88" i="20"/>
  <c r="H314" i="20"/>
  <c r="H391" i="20"/>
  <c r="H165" i="20"/>
  <c r="F177" i="20"/>
  <c r="F186" i="20"/>
  <c r="H278" i="20"/>
  <c r="H52" i="20"/>
  <c r="G368" i="20"/>
  <c r="G272" i="20"/>
  <c r="G166" i="20"/>
  <c r="G167" i="20" s="1"/>
  <c r="H38" i="20"/>
  <c r="H264" i="20"/>
  <c r="H379" i="20"/>
  <c r="H153" i="20"/>
  <c r="H364" i="20"/>
  <c r="H138" i="20"/>
  <c r="H293" i="20"/>
  <c r="H67" i="20"/>
  <c r="H270" i="20"/>
  <c r="H44" i="20"/>
  <c r="H292" i="20"/>
  <c r="H66" i="20"/>
  <c r="H294" i="20"/>
  <c r="H68" i="20"/>
  <c r="H136" i="20"/>
  <c r="H362" i="20"/>
  <c r="H384" i="20"/>
  <c r="H158" i="20"/>
  <c r="H283" i="20"/>
  <c r="H57" i="20"/>
  <c r="H339" i="20"/>
  <c r="H113" i="20"/>
  <c r="H289" i="20"/>
  <c r="H63" i="20"/>
  <c r="H317" i="20"/>
  <c r="H91" i="20"/>
  <c r="H135" i="20"/>
  <c r="H361" i="20"/>
  <c r="H157" i="20"/>
  <c r="H383" i="20"/>
  <c r="H105" i="20"/>
  <c r="H331" i="20"/>
  <c r="H81" i="20"/>
  <c r="H307" i="20"/>
  <c r="H42" i="20"/>
  <c r="H268" i="20"/>
  <c r="H337" i="20"/>
  <c r="H111" i="20"/>
  <c r="H388" i="20"/>
  <c r="H162" i="20"/>
  <c r="G344" i="20"/>
  <c r="F176" i="20"/>
  <c r="F185" i="20"/>
  <c r="G70" i="20"/>
  <c r="G71" i="20" s="1"/>
  <c r="G320" i="20"/>
  <c r="G142" i="20"/>
  <c r="G143" i="20" s="1"/>
  <c r="G161" i="12"/>
  <c r="G188" i="12" s="1"/>
  <c r="F447" i="20"/>
  <c r="F448" i="20" s="1"/>
  <c r="F449" i="20" s="1"/>
  <c r="F442" i="20" s="1"/>
  <c r="F400" i="20"/>
  <c r="F273" i="20"/>
  <c r="F409" i="20" s="1"/>
  <c r="H271" i="20"/>
  <c r="H45" i="20"/>
  <c r="H288" i="20"/>
  <c r="H62" i="20"/>
  <c r="H287" i="20"/>
  <c r="H61" i="20"/>
  <c r="H387" i="20"/>
  <c r="H161" i="20"/>
  <c r="H365" i="20"/>
  <c r="H139" i="20"/>
  <c r="H254" i="20"/>
  <c r="H28" i="20"/>
  <c r="H267" i="20"/>
  <c r="H41" i="20"/>
  <c r="H334" i="20"/>
  <c r="H108" i="20"/>
  <c r="H92" i="20"/>
  <c r="H318" i="20"/>
  <c r="H132" i="20"/>
  <c r="H358" i="20"/>
  <c r="H106" i="20"/>
  <c r="H332" i="20"/>
  <c r="H181" i="12"/>
  <c r="H81" i="12"/>
  <c r="H82" i="12" s="1"/>
  <c r="H75" i="20"/>
  <c r="H301" i="20"/>
  <c r="H40" i="20"/>
  <c r="H266" i="20"/>
  <c r="H183" i="12"/>
  <c r="H349" i="20"/>
  <c r="H129" i="12"/>
  <c r="H130" i="12" s="1"/>
  <c r="H123" i="20"/>
  <c r="H310" i="20"/>
  <c r="H84" i="20"/>
  <c r="H260" i="20"/>
  <c r="H34" i="20"/>
  <c r="H343" i="20"/>
  <c r="H117" i="20"/>
  <c r="H335" i="20"/>
  <c r="H109" i="20"/>
  <c r="H302" i="20"/>
  <c r="H76" i="20"/>
  <c r="H134" i="20"/>
  <c r="H360" i="20"/>
  <c r="H156" i="20"/>
  <c r="H382" i="20"/>
  <c r="H355" i="20"/>
  <c r="H129" i="20"/>
  <c r="G173" i="12"/>
  <c r="G164" i="12"/>
  <c r="F297" i="20"/>
  <c r="F410" i="20" s="1"/>
  <c r="F401" i="20"/>
  <c r="G163" i="12"/>
  <c r="G172" i="12"/>
  <c r="G165" i="12"/>
  <c r="G174" i="12"/>
  <c r="G46" i="20"/>
  <c r="G47" i="20" s="1"/>
  <c r="G392" i="20"/>
  <c r="H148" i="20"/>
  <c r="H374" i="20"/>
  <c r="H112" i="20"/>
  <c r="H338" i="20"/>
  <c r="H286" i="20"/>
  <c r="H60" i="20"/>
  <c r="H82" i="20"/>
  <c r="H308" i="20"/>
  <c r="H259" i="20"/>
  <c r="H33" i="20"/>
  <c r="H363" i="20"/>
  <c r="H137" i="20"/>
  <c r="H295" i="20"/>
  <c r="H69" i="20"/>
  <c r="H263" i="20"/>
  <c r="H37" i="20"/>
  <c r="H93" i="20"/>
  <c r="H319" i="20"/>
  <c r="H340" i="20"/>
  <c r="H114" i="20"/>
  <c r="H164" i="20"/>
  <c r="H390" i="20"/>
  <c r="H291" i="20"/>
  <c r="H65" i="20"/>
  <c r="H262" i="20"/>
  <c r="H36" i="20"/>
  <c r="H89" i="20"/>
  <c r="H315" i="20"/>
  <c r="H58" i="20"/>
  <c r="H284" i="20"/>
  <c r="H179" i="12"/>
  <c r="H253" i="20"/>
  <c r="H33" i="12"/>
  <c r="H34" i="12" s="1"/>
  <c r="H27" i="20"/>
  <c r="H265" i="20"/>
  <c r="H39" i="20"/>
  <c r="H269" i="20"/>
  <c r="H43" i="20"/>
  <c r="H389" i="20"/>
  <c r="H163" i="20"/>
  <c r="H356" i="20"/>
  <c r="H130" i="20"/>
  <c r="G118" i="20"/>
  <c r="G119" i="20" s="1"/>
  <c r="G296" i="20"/>
  <c r="J362" i="17"/>
  <c r="J141" i="17" s="1"/>
  <c r="J228" i="12"/>
  <c r="K5" i="12"/>
  <c r="K9" i="12" s="1"/>
  <c r="I24" i="17"/>
  <c r="F297" i="17"/>
  <c r="F107" i="17" s="1"/>
  <c r="F115" i="17" s="1"/>
  <c r="F117" i="17" s="1"/>
  <c r="F118" i="17" s="1"/>
  <c r="J325" i="17"/>
  <c r="J111" i="17" s="1"/>
  <c r="I281" i="17"/>
  <c r="I80" i="17" s="1"/>
  <c r="F260" i="17"/>
  <c r="F77" i="17" s="1"/>
  <c r="F85" i="17" s="1"/>
  <c r="F87" i="17" s="1"/>
  <c r="F88" i="17" s="1"/>
  <c r="F223" i="17"/>
  <c r="F47" i="17" s="1"/>
  <c r="F55" i="17" s="1"/>
  <c r="F57" i="17" s="1"/>
  <c r="F58" i="17" s="1"/>
  <c r="J288" i="17"/>
  <c r="J81" i="17" s="1"/>
  <c r="F334" i="17"/>
  <c r="F137" i="17" s="1"/>
  <c r="F145" i="17" s="1"/>
  <c r="F147" i="17" s="1"/>
  <c r="F148" i="17" s="1"/>
  <c r="J399" i="17"/>
  <c r="J171" i="17" s="1"/>
  <c r="G378" i="17"/>
  <c r="G168" i="17" s="1"/>
  <c r="I318" i="17"/>
  <c r="I110" i="17" s="1"/>
  <c r="G341" i="17"/>
  <c r="G138" i="17" s="1"/>
  <c r="K249" i="17"/>
  <c r="H303" i="17"/>
  <c r="H305" i="17" s="1"/>
  <c r="H414" i="17"/>
  <c r="H416" i="17" s="1"/>
  <c r="J428" i="17"/>
  <c r="J430" i="17" s="1"/>
  <c r="J242" i="17"/>
  <c r="I28" i="17"/>
  <c r="H187" i="17"/>
  <c r="H157" i="17"/>
  <c r="H123" i="17"/>
  <c r="H129" i="17"/>
  <c r="H94" i="17"/>
  <c r="H65" i="17"/>
  <c r="H37" i="17"/>
  <c r="H83" i="17"/>
  <c r="H52" i="17"/>
  <c r="H189" i="17"/>
  <c r="H159" i="17"/>
  <c r="H124" i="17"/>
  <c r="H95" i="17"/>
  <c r="H67" i="17"/>
  <c r="H33" i="17"/>
  <c r="H39" i="17"/>
  <c r="H53" i="17"/>
  <c r="H184" i="17"/>
  <c r="H93" i="17"/>
  <c r="H64" i="17"/>
  <c r="H112" i="17"/>
  <c r="H143" i="17"/>
  <c r="H173" i="17"/>
  <c r="H185" i="17"/>
  <c r="H125" i="17"/>
  <c r="H97" i="17"/>
  <c r="H69" i="17"/>
  <c r="H82" i="17"/>
  <c r="H202" i="17"/>
  <c r="H142" i="17"/>
  <c r="H155" i="17"/>
  <c r="H191" i="17"/>
  <c r="H154" i="17"/>
  <c r="H127" i="17"/>
  <c r="H99" i="17"/>
  <c r="H203" i="17"/>
  <c r="H113" i="17"/>
  <c r="H172" i="17"/>
  <c r="H34" i="17"/>
  <c r="H63" i="17"/>
  <c r="H35" i="17"/>
  <c r="H41" i="17"/>
  <c r="H133" i="17"/>
  <c r="H161" i="17"/>
  <c r="H43" i="17"/>
  <c r="H193" i="17"/>
  <c r="H153" i="17"/>
  <c r="H183" i="17"/>
  <c r="H102" i="17"/>
  <c r="H42" i="17"/>
  <c r="H163" i="17"/>
  <c r="H101" i="17"/>
  <c r="H103" i="17"/>
  <c r="H131" i="17"/>
  <c r="H192" i="17"/>
  <c r="H132" i="17"/>
  <c r="H72" i="17"/>
  <c r="H162" i="17"/>
  <c r="H73" i="17"/>
  <c r="H71" i="17"/>
  <c r="G134" i="17"/>
  <c r="G406" i="17"/>
  <c r="K434" i="17"/>
  <c r="J235" i="17"/>
  <c r="G221" i="17"/>
  <c r="G164" i="17"/>
  <c r="J353" i="17"/>
  <c r="I383" i="17"/>
  <c r="G267" i="17"/>
  <c r="G78" i="17" s="1"/>
  <c r="G258" i="17"/>
  <c r="K397" i="17"/>
  <c r="J346" i="17"/>
  <c r="H228" i="17"/>
  <c r="I420" i="17"/>
  <c r="H265" i="17"/>
  <c r="K390" i="17"/>
  <c r="G230" i="17"/>
  <c r="G48" i="17" s="1"/>
  <c r="G194" i="17"/>
  <c r="J392" i="17"/>
  <c r="J170" i="17" s="1"/>
  <c r="I348" i="17"/>
  <c r="I139" i="17" s="1"/>
  <c r="J279" i="17"/>
  <c r="I310" i="17"/>
  <c r="I312" i="17" s="1"/>
  <c r="H376" i="17"/>
  <c r="J236" i="20"/>
  <c r="I441" i="20"/>
  <c r="J316" i="17"/>
  <c r="H422" i="17"/>
  <c r="H199" i="17" s="1"/>
  <c r="G44" i="17"/>
  <c r="G104" i="17"/>
  <c r="K286" i="17"/>
  <c r="I355" i="17"/>
  <c r="I140" i="17" s="1"/>
  <c r="F408" i="17"/>
  <c r="F197" i="17" s="1"/>
  <c r="F205" i="17" s="1"/>
  <c r="F207" i="17" s="1"/>
  <c r="F208" i="17" s="1"/>
  <c r="H339" i="17"/>
  <c r="J251" i="17"/>
  <c r="J51" i="17" s="1"/>
  <c r="K215" i="20"/>
  <c r="L9" i="20"/>
  <c r="L13" i="20" s="1"/>
  <c r="K323" i="17"/>
  <c r="G332" i="17"/>
  <c r="J436" i="17"/>
  <c r="J201" i="17" s="1"/>
  <c r="I244" i="17"/>
  <c r="I50" i="17" s="1"/>
  <c r="G295" i="17"/>
  <c r="I237" i="17"/>
  <c r="I49" i="17" s="1"/>
  <c r="I273" i="17"/>
  <c r="I275" i="17" s="1"/>
  <c r="K360" i="17"/>
  <c r="G74" i="17"/>
  <c r="H385" i="17"/>
  <c r="H169" i="17" s="1"/>
  <c r="L17" i="21" l="1"/>
  <c r="L67" i="21"/>
  <c r="L142" i="21"/>
  <c r="L92" i="21"/>
  <c r="L117" i="21"/>
  <c r="L42" i="21"/>
  <c r="K17" i="21"/>
  <c r="K92" i="21"/>
  <c r="K42" i="21"/>
  <c r="K117" i="21"/>
  <c r="K142" i="21"/>
  <c r="K67" i="21"/>
  <c r="G95" i="20"/>
  <c r="G185" i="20" s="1"/>
  <c r="C81" i="17"/>
  <c r="B284" i="17" s="1"/>
  <c r="C171" i="17"/>
  <c r="B395" i="17" s="1"/>
  <c r="C201" i="17"/>
  <c r="B432" i="17" s="1"/>
  <c r="C111" i="17"/>
  <c r="B321" i="17" s="1"/>
  <c r="B247" i="17"/>
  <c r="H236" i="12"/>
  <c r="H237" i="12" s="1"/>
  <c r="H229" i="12" s="1"/>
  <c r="H170" i="12"/>
  <c r="H192" i="12" s="1"/>
  <c r="K321" i="3"/>
  <c r="J141" i="12"/>
  <c r="K141" i="21" s="1"/>
  <c r="J145" i="12"/>
  <c r="K145" i="21" s="1"/>
  <c r="J149" i="12"/>
  <c r="K149" i="21" s="1"/>
  <c r="J139" i="12"/>
  <c r="K139" i="21" s="1"/>
  <c r="J135" i="12"/>
  <c r="K135" i="21" s="1"/>
  <c r="J143" i="12"/>
  <c r="K143" i="21" s="1"/>
  <c r="J147" i="12"/>
  <c r="K147" i="21" s="1"/>
  <c r="J151" i="12"/>
  <c r="K151" i="21" s="1"/>
  <c r="J137" i="12"/>
  <c r="K137" i="21" s="1"/>
  <c r="J119" i="12"/>
  <c r="K118" i="21" s="1"/>
  <c r="J146" i="12"/>
  <c r="K146" i="21" s="1"/>
  <c r="J150" i="12"/>
  <c r="K150" i="21" s="1"/>
  <c r="J138" i="12"/>
  <c r="K138" i="21" s="1"/>
  <c r="J152" i="12"/>
  <c r="K152" i="21" s="1"/>
  <c r="J121" i="12"/>
  <c r="K120" i="21" s="1"/>
  <c r="J125" i="12"/>
  <c r="K124" i="21" s="1"/>
  <c r="J115" i="12"/>
  <c r="K114" i="21" s="1"/>
  <c r="J144" i="12"/>
  <c r="K144" i="21" s="1"/>
  <c r="J123" i="12"/>
  <c r="K122" i="21" s="1"/>
  <c r="J127" i="12"/>
  <c r="K126" i="21" s="1"/>
  <c r="J113" i="12"/>
  <c r="K112" i="21" s="1"/>
  <c r="J95" i="12"/>
  <c r="K93" i="21" s="1"/>
  <c r="J99" i="12"/>
  <c r="K97" i="21" s="1"/>
  <c r="J103" i="12"/>
  <c r="K101" i="21" s="1"/>
  <c r="J89" i="12"/>
  <c r="K87" i="21" s="1"/>
  <c r="J122" i="12"/>
  <c r="K121" i="21" s="1"/>
  <c r="J126" i="12"/>
  <c r="K125" i="21" s="1"/>
  <c r="J114" i="12"/>
  <c r="K113" i="21" s="1"/>
  <c r="J148" i="12"/>
  <c r="K148" i="21" s="1"/>
  <c r="J120" i="12"/>
  <c r="K119" i="21" s="1"/>
  <c r="J111" i="12"/>
  <c r="K110" i="21" s="1"/>
  <c r="J97" i="12"/>
  <c r="K95" i="21" s="1"/>
  <c r="J104" i="12"/>
  <c r="K102" i="21" s="1"/>
  <c r="J92" i="12"/>
  <c r="K90" i="21" s="1"/>
  <c r="J117" i="12"/>
  <c r="K116" i="21" s="1"/>
  <c r="J128" i="12"/>
  <c r="K127" i="21" s="1"/>
  <c r="J93" i="12"/>
  <c r="K91" i="21" s="1"/>
  <c r="J96" i="12"/>
  <c r="K94" i="21" s="1"/>
  <c r="J98" i="12"/>
  <c r="K96" i="21" s="1"/>
  <c r="J90" i="12"/>
  <c r="K88" i="21" s="1"/>
  <c r="J74" i="12"/>
  <c r="K71" i="21" s="1"/>
  <c r="J78" i="12"/>
  <c r="K75" i="21" s="1"/>
  <c r="J66" i="12"/>
  <c r="K63" i="21" s="1"/>
  <c r="J124" i="12"/>
  <c r="K123" i="21" s="1"/>
  <c r="J116" i="12"/>
  <c r="K115" i="21" s="1"/>
  <c r="J100" i="12"/>
  <c r="K98" i="21" s="1"/>
  <c r="J102" i="12"/>
  <c r="K100" i="21" s="1"/>
  <c r="J91" i="12"/>
  <c r="K89" i="21" s="1"/>
  <c r="J87" i="12"/>
  <c r="K85" i="21" s="1"/>
  <c r="J140" i="12"/>
  <c r="K140" i="21" s="1"/>
  <c r="J101" i="12"/>
  <c r="K99" i="21" s="1"/>
  <c r="J72" i="12"/>
  <c r="K69" i="21" s="1"/>
  <c r="J79" i="12"/>
  <c r="K76" i="21" s="1"/>
  <c r="J67" i="12"/>
  <c r="K64" i="21" s="1"/>
  <c r="J71" i="12"/>
  <c r="K68" i="21" s="1"/>
  <c r="J73" i="12"/>
  <c r="K70" i="21" s="1"/>
  <c r="J80" i="12"/>
  <c r="K77" i="21" s="1"/>
  <c r="J68" i="12"/>
  <c r="K65" i="21" s="1"/>
  <c r="J48" i="12"/>
  <c r="K44" i="21" s="1"/>
  <c r="J52" i="12"/>
  <c r="K48" i="21" s="1"/>
  <c r="J56" i="12"/>
  <c r="K52" i="21" s="1"/>
  <c r="J44" i="12"/>
  <c r="K40" i="21" s="1"/>
  <c r="J24" i="12"/>
  <c r="K19" i="21" s="1"/>
  <c r="J75" i="12"/>
  <c r="K72" i="21" s="1"/>
  <c r="J77" i="12"/>
  <c r="K74" i="21" s="1"/>
  <c r="J65" i="12"/>
  <c r="K62" i="21" s="1"/>
  <c r="J47" i="12"/>
  <c r="K43" i="21" s="1"/>
  <c r="J49" i="12"/>
  <c r="K45" i="21" s="1"/>
  <c r="J54" i="12"/>
  <c r="K50" i="21" s="1"/>
  <c r="J21" i="12"/>
  <c r="K16" i="21" s="1"/>
  <c r="J27" i="12"/>
  <c r="K22" i="21" s="1"/>
  <c r="J31" i="12"/>
  <c r="K26" i="21" s="1"/>
  <c r="J76" i="12"/>
  <c r="K73" i="21" s="1"/>
  <c r="J23" i="12"/>
  <c r="K18" i="21" s="1"/>
  <c r="J53" i="12"/>
  <c r="K49" i="21" s="1"/>
  <c r="J55" i="12"/>
  <c r="K51" i="21" s="1"/>
  <c r="J42" i="12"/>
  <c r="K38" i="21" s="1"/>
  <c r="J39" i="12"/>
  <c r="K35" i="21" s="1"/>
  <c r="J25" i="12"/>
  <c r="K20" i="21" s="1"/>
  <c r="J29" i="12"/>
  <c r="K24" i="21" s="1"/>
  <c r="J19" i="12"/>
  <c r="K14" i="21" s="1"/>
  <c r="J15" i="12"/>
  <c r="K10" i="21" s="1"/>
  <c r="J28" i="12"/>
  <c r="K23" i="21" s="1"/>
  <c r="J32" i="12"/>
  <c r="K27" i="21" s="1"/>
  <c r="J20" i="12"/>
  <c r="K15" i="21" s="1"/>
  <c r="J17" i="12"/>
  <c r="K12" i="21" s="1"/>
  <c r="J69" i="12"/>
  <c r="K66" i="21" s="1"/>
  <c r="J63" i="12"/>
  <c r="K60" i="21" s="1"/>
  <c r="J51" i="12"/>
  <c r="K47" i="21" s="1"/>
  <c r="J41" i="12"/>
  <c r="K37" i="21" s="1"/>
  <c r="J30" i="12"/>
  <c r="K25" i="21" s="1"/>
  <c r="J45" i="12"/>
  <c r="K41" i="21" s="1"/>
  <c r="J50" i="12"/>
  <c r="K46" i="21" s="1"/>
  <c r="J43" i="12"/>
  <c r="K39" i="21" s="1"/>
  <c r="J26" i="12"/>
  <c r="K21" i="21" s="1"/>
  <c r="J18" i="12"/>
  <c r="K13" i="21" s="1"/>
  <c r="L12" i="3"/>
  <c r="L321" i="3" s="1"/>
  <c r="I36" i="21"/>
  <c r="I53" i="21" s="1"/>
  <c r="I86" i="21"/>
  <c r="I103" i="21" s="1"/>
  <c r="I128" i="20"/>
  <c r="I354" i="20"/>
  <c r="I306" i="20"/>
  <c r="I80" i="20"/>
  <c r="I56" i="20"/>
  <c r="I282" i="20"/>
  <c r="I378" i="20"/>
  <c r="I152" i="20"/>
  <c r="I258" i="20"/>
  <c r="I32" i="20"/>
  <c r="I104" i="20"/>
  <c r="I330" i="20"/>
  <c r="I102" i="20"/>
  <c r="I328" i="20"/>
  <c r="I103" i="20"/>
  <c r="I329" i="20"/>
  <c r="I150" i="20"/>
  <c r="I376" i="20"/>
  <c r="I61" i="21"/>
  <c r="I78" i="21" s="1"/>
  <c r="I111" i="21"/>
  <c r="I128" i="21" s="1"/>
  <c r="I136" i="21"/>
  <c r="I153" i="21" s="1"/>
  <c r="I127" i="20"/>
  <c r="I353" i="20"/>
  <c r="I126" i="20"/>
  <c r="I352" i="20"/>
  <c r="I11" i="21"/>
  <c r="I28" i="21" s="1"/>
  <c r="I31" i="20"/>
  <c r="I257" i="20"/>
  <c r="I30" i="20"/>
  <c r="I256" i="20"/>
  <c r="I305" i="20"/>
  <c r="I79" i="20"/>
  <c r="I280" i="20"/>
  <c r="I54" i="20"/>
  <c r="I55" i="20"/>
  <c r="I281" i="20"/>
  <c r="I78" i="20"/>
  <c r="I304" i="20"/>
  <c r="I377" i="20"/>
  <c r="I151" i="20"/>
  <c r="I58" i="3"/>
  <c r="J55" i="3"/>
  <c r="J26" i="3"/>
  <c r="I29" i="3"/>
  <c r="I35" i="3" s="1"/>
  <c r="I38" i="3" s="1"/>
  <c r="I41" i="3" s="1"/>
  <c r="I234" i="12"/>
  <c r="I235" i="12" s="1"/>
  <c r="K299" i="3"/>
  <c r="K291" i="3"/>
  <c r="K283" i="3"/>
  <c r="K270" i="3"/>
  <c r="K262" i="3"/>
  <c r="K254" i="3"/>
  <c r="K246" i="3"/>
  <c r="K238" i="3"/>
  <c r="K230" i="3"/>
  <c r="K214" i="3"/>
  <c r="K222" i="3"/>
  <c r="G370" i="17"/>
  <c r="G372" i="17" s="1"/>
  <c r="H369" i="17" s="1"/>
  <c r="G176" i="20"/>
  <c r="H272" i="20"/>
  <c r="H447" i="20" s="1"/>
  <c r="H368" i="20"/>
  <c r="H404" i="20" s="1"/>
  <c r="G393" i="20"/>
  <c r="G414" i="20" s="1"/>
  <c r="G405" i="20"/>
  <c r="H320" i="20"/>
  <c r="G178" i="20"/>
  <c r="G187" i="20"/>
  <c r="G404" i="20"/>
  <c r="G369" i="20"/>
  <c r="G413" i="20" s="1"/>
  <c r="H175" i="12"/>
  <c r="H166" i="12"/>
  <c r="I339" i="20"/>
  <c r="I113" i="20"/>
  <c r="I362" i="20"/>
  <c r="I136" i="20"/>
  <c r="I264" i="20"/>
  <c r="I38" i="20"/>
  <c r="I288" i="20"/>
  <c r="I62" i="20"/>
  <c r="I308" i="20"/>
  <c r="I82" i="20"/>
  <c r="I271" i="20"/>
  <c r="I45" i="20"/>
  <c r="I361" i="20"/>
  <c r="I135" i="20"/>
  <c r="I317" i="20"/>
  <c r="I91" i="20"/>
  <c r="I68" i="20"/>
  <c r="I294" i="20"/>
  <c r="I358" i="20"/>
  <c r="I132" i="20"/>
  <c r="I108" i="20"/>
  <c r="I334" i="20"/>
  <c r="I374" i="20"/>
  <c r="I148" i="20"/>
  <c r="I331" i="20"/>
  <c r="I105" i="20"/>
  <c r="I382" i="20"/>
  <c r="I156" i="20"/>
  <c r="I266" i="20"/>
  <c r="I40" i="20"/>
  <c r="I315" i="20"/>
  <c r="I89" i="20"/>
  <c r="I387" i="20"/>
  <c r="I161" i="20"/>
  <c r="I385" i="20"/>
  <c r="I159" i="20"/>
  <c r="I180" i="12"/>
  <c r="I51" i="20"/>
  <c r="I277" i="20"/>
  <c r="I57" i="12"/>
  <c r="I58" i="12" s="1"/>
  <c r="I270" i="20"/>
  <c r="I44" i="20"/>
  <c r="I287" i="20"/>
  <c r="I61" i="20"/>
  <c r="I311" i="20"/>
  <c r="I85" i="20"/>
  <c r="I366" i="20"/>
  <c r="I140" i="20"/>
  <c r="I380" i="20"/>
  <c r="I154" i="20"/>
  <c r="H344" i="20"/>
  <c r="H171" i="12"/>
  <c r="H162" i="12"/>
  <c r="G186" i="20"/>
  <c r="G177" i="20"/>
  <c r="G183" i="20"/>
  <c r="G174" i="20"/>
  <c r="G221" i="20"/>
  <c r="G222" i="20" s="1"/>
  <c r="G223" i="20" s="1"/>
  <c r="G216" i="20" s="1"/>
  <c r="H94" i="20"/>
  <c r="H95" i="20" s="1"/>
  <c r="G402" i="20"/>
  <c r="G321" i="20"/>
  <c r="G411" i="20" s="1"/>
  <c r="G345" i="20"/>
  <c r="G412" i="20" s="1"/>
  <c r="G403" i="20"/>
  <c r="H392" i="20"/>
  <c r="I326" i="20"/>
  <c r="I100" i="20"/>
  <c r="I335" i="20"/>
  <c r="I109" i="20"/>
  <c r="I384" i="20"/>
  <c r="I158" i="20"/>
  <c r="I283" i="20"/>
  <c r="I57" i="20"/>
  <c r="I313" i="20"/>
  <c r="I87" i="20"/>
  <c r="I292" i="20"/>
  <c r="I66" i="20"/>
  <c r="I184" i="12"/>
  <c r="I147" i="20"/>
  <c r="I373" i="20"/>
  <c r="I153" i="12"/>
  <c r="I154" i="12" s="1"/>
  <c r="I318" i="20"/>
  <c r="I92" i="20"/>
  <c r="I278" i="20"/>
  <c r="I52" i="20"/>
  <c r="I302" i="20"/>
  <c r="I76" i="20"/>
  <c r="I391" i="20"/>
  <c r="I165" i="20"/>
  <c r="I260" i="20"/>
  <c r="I34" i="20"/>
  <c r="I286" i="20"/>
  <c r="I60" i="20"/>
  <c r="I262" i="20"/>
  <c r="I36" i="20"/>
  <c r="I316" i="20"/>
  <c r="I90" i="20"/>
  <c r="I337" i="20"/>
  <c r="I111" i="20"/>
  <c r="I379" i="20"/>
  <c r="I153" i="20"/>
  <c r="I181" i="12"/>
  <c r="I301" i="20"/>
  <c r="I81" i="12"/>
  <c r="I82" i="12" s="1"/>
  <c r="I75" i="20"/>
  <c r="I383" i="20"/>
  <c r="I157" i="20"/>
  <c r="I363" i="20"/>
  <c r="I137" i="20"/>
  <c r="I364" i="20"/>
  <c r="I138" i="20"/>
  <c r="K10" i="12"/>
  <c r="K14" i="20" s="1"/>
  <c r="J62" i="12"/>
  <c r="K59" i="21" s="1"/>
  <c r="J110" i="12"/>
  <c r="K109" i="21" s="1"/>
  <c r="J38" i="12"/>
  <c r="K34" i="21" s="1"/>
  <c r="J14" i="12"/>
  <c r="K9" i="21" s="1"/>
  <c r="J134" i="12"/>
  <c r="K134" i="21" s="1"/>
  <c r="J86" i="12"/>
  <c r="K84" i="21" s="1"/>
  <c r="H118" i="20"/>
  <c r="H119" i="20" s="1"/>
  <c r="H296" i="20"/>
  <c r="H46" i="20"/>
  <c r="H47" i="20" s="1"/>
  <c r="H142" i="20"/>
  <c r="H143" i="20" s="1"/>
  <c r="H172" i="12"/>
  <c r="H163" i="12"/>
  <c r="G175" i="20"/>
  <c r="G184" i="20"/>
  <c r="G179" i="20"/>
  <c r="G188" i="20"/>
  <c r="I332" i="20"/>
  <c r="I106" i="20"/>
  <c r="I310" i="20"/>
  <c r="I84" i="20"/>
  <c r="I359" i="20"/>
  <c r="I133" i="20"/>
  <c r="I267" i="20"/>
  <c r="I41" i="20"/>
  <c r="I93" i="20"/>
  <c r="I319" i="20"/>
  <c r="I390" i="20"/>
  <c r="I164" i="20"/>
  <c r="I307" i="20"/>
  <c r="I81" i="20"/>
  <c r="I183" i="12"/>
  <c r="I349" i="20"/>
  <c r="I129" i="12"/>
  <c r="I130" i="12" s="1"/>
  <c r="I123" i="20"/>
  <c r="I182" i="12"/>
  <c r="I105" i="12"/>
  <c r="I106" i="12" s="1"/>
  <c r="I325" i="20"/>
  <c r="I99" i="20"/>
  <c r="I291" i="20"/>
  <c r="I65" i="20"/>
  <c r="I350" i="20"/>
  <c r="I124" i="20"/>
  <c r="I367" i="20"/>
  <c r="I141" i="20"/>
  <c r="I284" i="20"/>
  <c r="I58" i="20"/>
  <c r="I355" i="20"/>
  <c r="I129" i="20"/>
  <c r="I265" i="20"/>
  <c r="I39" i="20"/>
  <c r="I314" i="20"/>
  <c r="I88" i="20"/>
  <c r="I343" i="20"/>
  <c r="I117" i="20"/>
  <c r="I388" i="20"/>
  <c r="I162" i="20"/>
  <c r="H173" i="12"/>
  <c r="H164" i="12"/>
  <c r="H70" i="20"/>
  <c r="H71" i="20" s="1"/>
  <c r="G297" i="20"/>
  <c r="G410" i="20" s="1"/>
  <c r="G401" i="20"/>
  <c r="H161" i="12"/>
  <c r="H188" i="12" s="1"/>
  <c r="H174" i="12"/>
  <c r="H165" i="12"/>
  <c r="G400" i="20"/>
  <c r="G447" i="20"/>
  <c r="G448" i="20" s="1"/>
  <c r="G449" i="20" s="1"/>
  <c r="G442" i="20" s="1"/>
  <c r="G273" i="20"/>
  <c r="G409" i="20" s="1"/>
  <c r="H166" i="20"/>
  <c r="H167" i="20" s="1"/>
  <c r="I295" i="20"/>
  <c r="I69" i="20"/>
  <c r="I269" i="20"/>
  <c r="I43" i="20"/>
  <c r="I360" i="20"/>
  <c r="I134" i="20"/>
  <c r="I63" i="20"/>
  <c r="I289" i="20"/>
  <c r="I365" i="20"/>
  <c r="I139" i="20"/>
  <c r="I290" i="20"/>
  <c r="I64" i="20"/>
  <c r="I263" i="20"/>
  <c r="I37" i="20"/>
  <c r="I312" i="20"/>
  <c r="I86" i="20"/>
  <c r="I338" i="20"/>
  <c r="I112" i="20"/>
  <c r="I389" i="20"/>
  <c r="I163" i="20"/>
  <c r="I293" i="20"/>
  <c r="I67" i="20"/>
  <c r="I179" i="12"/>
  <c r="I253" i="20"/>
  <c r="I27" i="20"/>
  <c r="I33" i="12"/>
  <c r="I34" i="12" s="1"/>
  <c r="I340" i="20"/>
  <c r="I114" i="20"/>
  <c r="I342" i="20"/>
  <c r="I116" i="20"/>
  <c r="I386" i="20"/>
  <c r="I160" i="20"/>
  <c r="I356" i="20"/>
  <c r="I130" i="20"/>
  <c r="I259" i="20"/>
  <c r="I33" i="20"/>
  <c r="I268" i="20"/>
  <c r="I42" i="20"/>
  <c r="I254" i="20"/>
  <c r="I28" i="20"/>
  <c r="I341" i="20"/>
  <c r="I115" i="20"/>
  <c r="I336" i="20"/>
  <c r="I110" i="20"/>
  <c r="L5" i="12"/>
  <c r="L9" i="12" s="1"/>
  <c r="J24" i="17"/>
  <c r="K228" i="12"/>
  <c r="J429" i="17"/>
  <c r="J200" i="17" s="1"/>
  <c r="I274" i="17"/>
  <c r="I79" i="17" s="1"/>
  <c r="G296" i="17"/>
  <c r="G298" i="17" s="1"/>
  <c r="K287" i="17"/>
  <c r="K289" i="17" s="1"/>
  <c r="J317" i="17"/>
  <c r="J319" i="17" s="1"/>
  <c r="H377" i="17"/>
  <c r="H266" i="17"/>
  <c r="G259" i="17"/>
  <c r="G261" i="17" s="1"/>
  <c r="H164" i="17"/>
  <c r="H104" i="17"/>
  <c r="H44" i="17"/>
  <c r="H134" i="17"/>
  <c r="I413" i="17"/>
  <c r="K250" i="17"/>
  <c r="K252" i="17" s="1"/>
  <c r="J236" i="17"/>
  <c r="J238" i="17" s="1"/>
  <c r="I302" i="17"/>
  <c r="J272" i="17"/>
  <c r="M9" i="20"/>
  <c r="M13" i="20" s="1"/>
  <c r="L215" i="20"/>
  <c r="K236" i="20"/>
  <c r="J441" i="20"/>
  <c r="K391" i="17"/>
  <c r="K393" i="17" s="1"/>
  <c r="I384" i="17"/>
  <c r="G222" i="17"/>
  <c r="K435" i="17"/>
  <c r="K437" i="17" s="1"/>
  <c r="G407" i="17"/>
  <c r="G409" i="17" s="1"/>
  <c r="H194" i="17"/>
  <c r="H74" i="17"/>
  <c r="I183" i="17"/>
  <c r="I189" i="17"/>
  <c r="I153" i="17"/>
  <c r="I159" i="17"/>
  <c r="I124" i="17"/>
  <c r="I95" i="17"/>
  <c r="I67" i="17"/>
  <c r="I33" i="17"/>
  <c r="I39" i="17"/>
  <c r="I203" i="17"/>
  <c r="I113" i="17"/>
  <c r="I184" i="17"/>
  <c r="I154" i="17"/>
  <c r="I125" i="17"/>
  <c r="I97" i="17"/>
  <c r="I63" i="17"/>
  <c r="I69" i="17"/>
  <c r="I34" i="17"/>
  <c r="I52" i="17"/>
  <c r="I185" i="17"/>
  <c r="I123" i="17"/>
  <c r="I94" i="17"/>
  <c r="I65" i="17"/>
  <c r="I82" i="17"/>
  <c r="I202" i="17"/>
  <c r="I142" i="17"/>
  <c r="I172" i="17"/>
  <c r="J28" i="17"/>
  <c r="I187" i="17"/>
  <c r="I127" i="17"/>
  <c r="I99" i="17"/>
  <c r="I43" i="17"/>
  <c r="I83" i="17"/>
  <c r="I112" i="17"/>
  <c r="I143" i="17"/>
  <c r="I173" i="17"/>
  <c r="I157" i="17"/>
  <c r="I35" i="17"/>
  <c r="I53" i="17"/>
  <c r="I155" i="17"/>
  <c r="I129" i="17"/>
  <c r="I64" i="17"/>
  <c r="I37" i="17"/>
  <c r="I93" i="17"/>
  <c r="I191" i="17"/>
  <c r="I133" i="17"/>
  <c r="I41" i="17"/>
  <c r="I102" i="17"/>
  <c r="I161" i="17"/>
  <c r="I193" i="17"/>
  <c r="I72" i="17"/>
  <c r="I192" i="17"/>
  <c r="I103" i="17"/>
  <c r="I131" i="17"/>
  <c r="I162" i="17"/>
  <c r="I73" i="17"/>
  <c r="I163" i="17"/>
  <c r="I101" i="17"/>
  <c r="I42" i="17"/>
  <c r="I71" i="17"/>
  <c r="I132" i="17"/>
  <c r="J243" i="17"/>
  <c r="H304" i="17"/>
  <c r="H108" i="17" s="1"/>
  <c r="K361" i="17"/>
  <c r="K363" i="17" s="1"/>
  <c r="K324" i="17"/>
  <c r="K326" i="17" s="1"/>
  <c r="J309" i="17"/>
  <c r="J280" i="17"/>
  <c r="J282" i="17" s="1"/>
  <c r="G333" i="17"/>
  <c r="H340" i="17"/>
  <c r="I311" i="17"/>
  <c r="I109" i="17" s="1"/>
  <c r="I421" i="17"/>
  <c r="I423" i="17" s="1"/>
  <c r="H229" i="17"/>
  <c r="H231" i="17" s="1"/>
  <c r="J347" i="17"/>
  <c r="J349" i="17" s="1"/>
  <c r="K398" i="17"/>
  <c r="K400" i="17" s="1"/>
  <c r="J354" i="17"/>
  <c r="J356" i="17" s="1"/>
  <c r="K427" i="17"/>
  <c r="H415" i="17"/>
  <c r="H198" i="17" s="1"/>
  <c r="M17" i="21" l="1"/>
  <c r="M142" i="21"/>
  <c r="M42" i="21"/>
  <c r="M117" i="21"/>
  <c r="M67" i="21"/>
  <c r="M92" i="21"/>
  <c r="J33" i="12"/>
  <c r="J34" i="12" s="1"/>
  <c r="M12" i="3"/>
  <c r="N12" i="3" s="1"/>
  <c r="I236" i="12"/>
  <c r="I237" i="12" s="1"/>
  <c r="I229" i="12" s="1"/>
  <c r="K146" i="12"/>
  <c r="L146" i="21" s="1"/>
  <c r="K150" i="12"/>
  <c r="L150" i="21" s="1"/>
  <c r="K138" i="12"/>
  <c r="L138" i="21" s="1"/>
  <c r="K144" i="12"/>
  <c r="L144" i="21" s="1"/>
  <c r="K148" i="12"/>
  <c r="L148" i="21" s="1"/>
  <c r="K152" i="12"/>
  <c r="L152" i="21" s="1"/>
  <c r="K140" i="12"/>
  <c r="L140" i="21" s="1"/>
  <c r="K143" i="12"/>
  <c r="L143" i="21" s="1"/>
  <c r="K147" i="12"/>
  <c r="L147" i="21" s="1"/>
  <c r="K151" i="12"/>
  <c r="L151" i="21" s="1"/>
  <c r="K137" i="12"/>
  <c r="L137" i="21" s="1"/>
  <c r="K122" i="12"/>
  <c r="L121" i="21" s="1"/>
  <c r="K126" i="12"/>
  <c r="L125" i="21" s="1"/>
  <c r="K114" i="12"/>
  <c r="L113" i="21" s="1"/>
  <c r="K141" i="12"/>
  <c r="L141" i="21" s="1"/>
  <c r="K149" i="12"/>
  <c r="L149" i="21" s="1"/>
  <c r="K135" i="12"/>
  <c r="L135" i="21" s="1"/>
  <c r="K117" i="12"/>
  <c r="L116" i="21" s="1"/>
  <c r="K120" i="12"/>
  <c r="L119" i="21" s="1"/>
  <c r="K124" i="12"/>
  <c r="L123" i="21" s="1"/>
  <c r="K128" i="12"/>
  <c r="L127" i="21" s="1"/>
  <c r="K116" i="12"/>
  <c r="L115" i="21" s="1"/>
  <c r="K96" i="12"/>
  <c r="L94" i="21" s="1"/>
  <c r="K100" i="12"/>
  <c r="L98" i="21" s="1"/>
  <c r="K104" i="12"/>
  <c r="L102" i="21" s="1"/>
  <c r="K145" i="12"/>
  <c r="L145" i="21" s="1"/>
  <c r="K119" i="12"/>
  <c r="L118" i="21" s="1"/>
  <c r="K123" i="12"/>
  <c r="L122" i="21" s="1"/>
  <c r="K127" i="12"/>
  <c r="L126" i="21" s="1"/>
  <c r="K113" i="12"/>
  <c r="L112" i="21" s="1"/>
  <c r="K139" i="12"/>
  <c r="L139" i="21" s="1"/>
  <c r="K125" i="12"/>
  <c r="L124" i="21" s="1"/>
  <c r="K95" i="12"/>
  <c r="L93" i="21" s="1"/>
  <c r="K102" i="12"/>
  <c r="L100" i="21" s="1"/>
  <c r="K91" i="12"/>
  <c r="L89" i="21" s="1"/>
  <c r="K87" i="12"/>
  <c r="L85" i="21" s="1"/>
  <c r="K101" i="12"/>
  <c r="L99" i="21" s="1"/>
  <c r="K103" i="12"/>
  <c r="L101" i="21" s="1"/>
  <c r="K71" i="12"/>
  <c r="L68" i="21" s="1"/>
  <c r="K75" i="12"/>
  <c r="L72" i="21" s="1"/>
  <c r="K79" i="12"/>
  <c r="L76" i="21" s="1"/>
  <c r="K65" i="12"/>
  <c r="L62" i="21" s="1"/>
  <c r="K115" i="12"/>
  <c r="L114" i="21" s="1"/>
  <c r="K93" i="12"/>
  <c r="L91" i="21" s="1"/>
  <c r="K98" i="12"/>
  <c r="L96" i="21" s="1"/>
  <c r="K90" i="12"/>
  <c r="L88" i="21" s="1"/>
  <c r="K77" i="12"/>
  <c r="L74" i="21" s="1"/>
  <c r="K66" i="12"/>
  <c r="L63" i="21" s="1"/>
  <c r="K47" i="12"/>
  <c r="L43" i="21" s="1"/>
  <c r="K111" i="12"/>
  <c r="L110" i="21" s="1"/>
  <c r="K97" i="12"/>
  <c r="L95" i="21" s="1"/>
  <c r="K89" i="12"/>
  <c r="L87" i="21" s="1"/>
  <c r="K92" i="12"/>
  <c r="L90" i="21" s="1"/>
  <c r="K69" i="12"/>
  <c r="L66" i="21" s="1"/>
  <c r="K76" i="12"/>
  <c r="L73" i="21" s="1"/>
  <c r="K78" i="12"/>
  <c r="L75" i="21" s="1"/>
  <c r="K63" i="12"/>
  <c r="L60" i="21" s="1"/>
  <c r="K45" i="12"/>
  <c r="L41" i="21" s="1"/>
  <c r="K49" i="12"/>
  <c r="L45" i="21" s="1"/>
  <c r="K53" i="12"/>
  <c r="L49" i="21" s="1"/>
  <c r="K43" i="12"/>
  <c r="L39" i="21" s="1"/>
  <c r="K39" i="12"/>
  <c r="L35" i="21" s="1"/>
  <c r="K21" i="12"/>
  <c r="L16" i="21" s="1"/>
  <c r="K121" i="12"/>
  <c r="L120" i="21" s="1"/>
  <c r="K73" i="12"/>
  <c r="L70" i="21" s="1"/>
  <c r="K80" i="12"/>
  <c r="L77" i="21" s="1"/>
  <c r="K68" i="12"/>
  <c r="L65" i="21" s="1"/>
  <c r="K48" i="12"/>
  <c r="L44" i="21" s="1"/>
  <c r="K99" i="12"/>
  <c r="L97" i="21" s="1"/>
  <c r="K50" i="12"/>
  <c r="L46" i="21" s="1"/>
  <c r="K52" i="12"/>
  <c r="L48" i="21" s="1"/>
  <c r="K44" i="12"/>
  <c r="L40" i="21" s="1"/>
  <c r="K24" i="12"/>
  <c r="L19" i="21" s="1"/>
  <c r="K28" i="12"/>
  <c r="L23" i="21" s="1"/>
  <c r="K32" i="12"/>
  <c r="L27" i="21" s="1"/>
  <c r="K56" i="12"/>
  <c r="L52" i="21" s="1"/>
  <c r="K31" i="12"/>
  <c r="L26" i="21" s="1"/>
  <c r="K74" i="12"/>
  <c r="L71" i="21" s="1"/>
  <c r="K51" i="12"/>
  <c r="L47" i="21" s="1"/>
  <c r="K41" i="12"/>
  <c r="L37" i="21" s="1"/>
  <c r="K23" i="12"/>
  <c r="L18" i="21" s="1"/>
  <c r="K26" i="12"/>
  <c r="L21" i="21" s="1"/>
  <c r="K30" i="12"/>
  <c r="L25" i="21" s="1"/>
  <c r="K18" i="12"/>
  <c r="L13" i="21" s="1"/>
  <c r="K15" i="12"/>
  <c r="L10" i="21" s="1"/>
  <c r="K20" i="12"/>
  <c r="L15" i="21" s="1"/>
  <c r="K67" i="12"/>
  <c r="L64" i="21" s="1"/>
  <c r="K54" i="12"/>
  <c r="L50" i="21" s="1"/>
  <c r="K17" i="12"/>
  <c r="L12" i="21" s="1"/>
  <c r="K72" i="12"/>
  <c r="L69" i="21" s="1"/>
  <c r="K55" i="12"/>
  <c r="L51" i="21" s="1"/>
  <c r="K42" i="12"/>
  <c r="L38" i="21" s="1"/>
  <c r="K25" i="12"/>
  <c r="L20" i="21" s="1"/>
  <c r="K29" i="12"/>
  <c r="L24" i="21" s="1"/>
  <c r="K19" i="12"/>
  <c r="L14" i="21" s="1"/>
  <c r="K27" i="12"/>
  <c r="L22" i="21" s="1"/>
  <c r="J36" i="21"/>
  <c r="J53" i="21" s="1"/>
  <c r="J136" i="21"/>
  <c r="J153" i="21" s="1"/>
  <c r="J61" i="21"/>
  <c r="J78" i="21" s="1"/>
  <c r="J86" i="21"/>
  <c r="J103" i="21" s="1"/>
  <c r="J330" i="20"/>
  <c r="J104" i="20"/>
  <c r="J103" i="20"/>
  <c r="J329" i="20"/>
  <c r="J354" i="20"/>
  <c r="J128" i="20"/>
  <c r="J102" i="20"/>
  <c r="J328" i="20"/>
  <c r="J282" i="20"/>
  <c r="J56" i="20"/>
  <c r="J258" i="20"/>
  <c r="J32" i="20"/>
  <c r="J306" i="20"/>
  <c r="J80" i="20"/>
  <c r="J150" i="20"/>
  <c r="J376" i="20"/>
  <c r="J378" i="20"/>
  <c r="J152" i="20"/>
  <c r="J111" i="21"/>
  <c r="J128" i="21" s="1"/>
  <c r="J353" i="20"/>
  <c r="J127" i="20"/>
  <c r="J352" i="20"/>
  <c r="J126" i="20"/>
  <c r="J11" i="21"/>
  <c r="J28" i="21" s="1"/>
  <c r="J305" i="20"/>
  <c r="J79" i="20"/>
  <c r="J304" i="20"/>
  <c r="J78" i="20"/>
  <c r="J54" i="20"/>
  <c r="J280" i="20"/>
  <c r="J256" i="20"/>
  <c r="J30" i="20"/>
  <c r="J257" i="20"/>
  <c r="J31" i="20"/>
  <c r="J281" i="20"/>
  <c r="J55" i="20"/>
  <c r="J151" i="20"/>
  <c r="J377" i="20"/>
  <c r="K26" i="3"/>
  <c r="J29" i="3"/>
  <c r="J35" i="3" s="1"/>
  <c r="J38" i="3" s="1"/>
  <c r="J41" i="3" s="1"/>
  <c r="K55" i="3"/>
  <c r="J58" i="3"/>
  <c r="L299" i="3"/>
  <c r="L291" i="3"/>
  <c r="L283" i="3"/>
  <c r="L270" i="3"/>
  <c r="L262" i="3"/>
  <c r="L254" i="3"/>
  <c r="L246" i="3"/>
  <c r="L238" i="3"/>
  <c r="L230" i="3"/>
  <c r="L214" i="3"/>
  <c r="L222" i="3"/>
  <c r="H370" i="17"/>
  <c r="H372" i="17" s="1"/>
  <c r="G371" i="17"/>
  <c r="G167" i="17" s="1"/>
  <c r="G175" i="17" s="1"/>
  <c r="G177" i="17" s="1"/>
  <c r="G178" i="17" s="1"/>
  <c r="I272" i="20"/>
  <c r="I447" i="20" s="1"/>
  <c r="H369" i="20"/>
  <c r="H413" i="20" s="1"/>
  <c r="I368" i="20"/>
  <c r="I369" i="20" s="1"/>
  <c r="I413" i="20" s="1"/>
  <c r="H400" i="20"/>
  <c r="H273" i="20"/>
  <c r="H409" i="20" s="1"/>
  <c r="J234" i="12"/>
  <c r="J235" i="12" s="1"/>
  <c r="H188" i="20"/>
  <c r="H179" i="20"/>
  <c r="I173" i="12"/>
  <c r="I164" i="12"/>
  <c r="J60" i="20"/>
  <c r="J286" i="20"/>
  <c r="J295" i="20"/>
  <c r="J69" i="20"/>
  <c r="J284" i="20"/>
  <c r="J58" i="20"/>
  <c r="J62" i="20"/>
  <c r="J288" i="20"/>
  <c r="J374" i="20"/>
  <c r="J148" i="20"/>
  <c r="J262" i="20"/>
  <c r="J36" i="20"/>
  <c r="J387" i="20"/>
  <c r="J161" i="20"/>
  <c r="J179" i="12"/>
  <c r="J27" i="20"/>
  <c r="J253" i="20"/>
  <c r="J90" i="20"/>
  <c r="J316" i="20"/>
  <c r="J92" i="20"/>
  <c r="J318" i="20"/>
  <c r="J137" i="20"/>
  <c r="J363" i="20"/>
  <c r="J383" i="20"/>
  <c r="J157" i="20"/>
  <c r="J266" i="20"/>
  <c r="J40" i="20"/>
  <c r="J138" i="20"/>
  <c r="J364" i="20"/>
  <c r="J114" i="20"/>
  <c r="J340" i="20"/>
  <c r="J164" i="20"/>
  <c r="J390" i="20"/>
  <c r="J93" i="20"/>
  <c r="J319" i="20"/>
  <c r="J28" i="20"/>
  <c r="J254" i="20"/>
  <c r="J135" i="20"/>
  <c r="J361" i="20"/>
  <c r="K86" i="12"/>
  <c r="L84" i="21" s="1"/>
  <c r="K134" i="12"/>
  <c r="L134" i="21" s="1"/>
  <c r="K62" i="12"/>
  <c r="L59" i="21" s="1"/>
  <c r="K38" i="12"/>
  <c r="L34" i="21" s="1"/>
  <c r="L10" i="12"/>
  <c r="L14" i="20" s="1"/>
  <c r="K14" i="12"/>
  <c r="L9" i="21" s="1"/>
  <c r="K110" i="12"/>
  <c r="L109" i="21" s="1"/>
  <c r="I94" i="20"/>
  <c r="I95" i="20" s="1"/>
  <c r="I166" i="20"/>
  <c r="I167" i="20" s="1"/>
  <c r="H405" i="20"/>
  <c r="H393" i="20"/>
  <c r="H414" i="20" s="1"/>
  <c r="I70" i="20"/>
  <c r="I71" i="20" s="1"/>
  <c r="H402" i="20"/>
  <c r="H321" i="20"/>
  <c r="H411" i="20" s="1"/>
  <c r="H401" i="20"/>
  <c r="H297" i="20"/>
  <c r="H410" i="20" s="1"/>
  <c r="J366" i="20"/>
  <c r="J140" i="20"/>
  <c r="J163" i="20"/>
  <c r="J389" i="20"/>
  <c r="J52" i="20"/>
  <c r="J278" i="20"/>
  <c r="J312" i="20"/>
  <c r="J86" i="20"/>
  <c r="J184" i="12"/>
  <c r="J147" i="20"/>
  <c r="J153" i="12"/>
  <c r="J154" i="12" s="1"/>
  <c r="J373" i="20"/>
  <c r="J37" i="20"/>
  <c r="J263" i="20"/>
  <c r="J65" i="20"/>
  <c r="J291" i="20"/>
  <c r="J183" i="12"/>
  <c r="J123" i="20"/>
  <c r="J129" i="12"/>
  <c r="J130" i="12" s="1"/>
  <c r="J349" i="20"/>
  <c r="J338" i="20"/>
  <c r="J112" i="20"/>
  <c r="J359" i="20"/>
  <c r="J133" i="20"/>
  <c r="J380" i="20"/>
  <c r="J154" i="20"/>
  <c r="J315" i="20"/>
  <c r="J89" i="20"/>
  <c r="J268" i="20"/>
  <c r="J42" i="20"/>
  <c r="J342" i="20"/>
  <c r="J116" i="20"/>
  <c r="J355" i="20"/>
  <c r="J129" i="20"/>
  <c r="J385" i="20"/>
  <c r="J159" i="20"/>
  <c r="J57" i="20"/>
  <c r="J283" i="20"/>
  <c r="J87" i="20"/>
  <c r="J313" i="20"/>
  <c r="J88" i="20"/>
  <c r="J314" i="20"/>
  <c r="J67" i="20"/>
  <c r="J293" i="20"/>
  <c r="J110" i="20"/>
  <c r="J336" i="20"/>
  <c r="J130" i="20"/>
  <c r="J356" i="20"/>
  <c r="I163" i="12"/>
  <c r="I172" i="12"/>
  <c r="H176" i="20"/>
  <c r="H185" i="20"/>
  <c r="J117" i="20"/>
  <c r="J343" i="20"/>
  <c r="I161" i="12"/>
  <c r="I188" i="12" s="1"/>
  <c r="I170" i="12"/>
  <c r="I192" i="12" s="1"/>
  <c r="I118" i="20"/>
  <c r="I119" i="20" s="1"/>
  <c r="I142" i="20"/>
  <c r="I143" i="20" s="1"/>
  <c r="H187" i="20"/>
  <c r="H178" i="20"/>
  <c r="H186" i="20"/>
  <c r="H177" i="20"/>
  <c r="J113" i="20"/>
  <c r="J339" i="20"/>
  <c r="J158" i="20"/>
  <c r="J384" i="20"/>
  <c r="J292" i="20"/>
  <c r="J66" i="20"/>
  <c r="J182" i="12"/>
  <c r="J325" i="20"/>
  <c r="J99" i="20"/>
  <c r="J105" i="12"/>
  <c r="J106" i="12" s="1"/>
  <c r="J317" i="20"/>
  <c r="J91" i="20"/>
  <c r="J33" i="20"/>
  <c r="J259" i="20"/>
  <c r="J44" i="20"/>
  <c r="J270" i="20"/>
  <c r="J310" i="20"/>
  <c r="J84" i="20"/>
  <c r="J63" i="20"/>
  <c r="J289" i="20"/>
  <c r="J334" i="20"/>
  <c r="J108" i="20"/>
  <c r="J124" i="20"/>
  <c r="J350" i="20"/>
  <c r="J332" i="20"/>
  <c r="J106" i="20"/>
  <c r="J265" i="20"/>
  <c r="J39" i="20"/>
  <c r="J181" i="12"/>
  <c r="J75" i="20"/>
  <c r="J301" i="20"/>
  <c r="J81" i="12"/>
  <c r="J82" i="12" s="1"/>
  <c r="J85" i="20"/>
  <c r="J311" i="20"/>
  <c r="J136" i="20"/>
  <c r="J362" i="20"/>
  <c r="J156" i="20"/>
  <c r="J382" i="20"/>
  <c r="J264" i="20"/>
  <c r="J38" i="20"/>
  <c r="J367" i="20"/>
  <c r="J141" i="20"/>
  <c r="J294" i="20"/>
  <c r="J68" i="20"/>
  <c r="J365" i="20"/>
  <c r="J139" i="20"/>
  <c r="J391" i="20"/>
  <c r="J165" i="20"/>
  <c r="I320" i="20"/>
  <c r="I175" i="12"/>
  <c r="I166" i="12"/>
  <c r="I171" i="12"/>
  <c r="I162" i="12"/>
  <c r="J331" i="20"/>
  <c r="J105" i="20"/>
  <c r="I46" i="20"/>
  <c r="I47" i="20" s="1"/>
  <c r="H175" i="20"/>
  <c r="H184" i="20"/>
  <c r="I344" i="20"/>
  <c r="I165" i="12"/>
  <c r="I174" i="12"/>
  <c r="H174" i="20"/>
  <c r="H221" i="20"/>
  <c r="H222" i="20" s="1"/>
  <c r="H223" i="20" s="1"/>
  <c r="H216" i="20" s="1"/>
  <c r="H183" i="20"/>
  <c r="J41" i="20"/>
  <c r="J267" i="20"/>
  <c r="J360" i="20"/>
  <c r="J134" i="20"/>
  <c r="J335" i="20"/>
  <c r="J109" i="20"/>
  <c r="J388" i="20"/>
  <c r="J162" i="20"/>
  <c r="J379" i="20"/>
  <c r="J153" i="20"/>
  <c r="J271" i="20"/>
  <c r="J45" i="20"/>
  <c r="J180" i="12"/>
  <c r="J57" i="12"/>
  <c r="J58" i="12" s="1"/>
  <c r="J51" i="20"/>
  <c r="J277" i="20"/>
  <c r="J302" i="20"/>
  <c r="J76" i="20"/>
  <c r="J341" i="20"/>
  <c r="J115" i="20"/>
  <c r="J386" i="20"/>
  <c r="J160" i="20"/>
  <c r="J287" i="20"/>
  <c r="J61" i="20"/>
  <c r="J269" i="20"/>
  <c r="J43" i="20"/>
  <c r="J337" i="20"/>
  <c r="J111" i="20"/>
  <c r="J358" i="20"/>
  <c r="J132" i="20"/>
  <c r="J260" i="20"/>
  <c r="J34" i="20"/>
  <c r="J307" i="20"/>
  <c r="J81" i="20"/>
  <c r="J64" i="20"/>
  <c r="J290" i="20"/>
  <c r="J326" i="20"/>
  <c r="J100" i="20"/>
  <c r="J308" i="20"/>
  <c r="J82" i="20"/>
  <c r="I392" i="20"/>
  <c r="H403" i="20"/>
  <c r="H345" i="20"/>
  <c r="H412" i="20" s="1"/>
  <c r="I296" i="20"/>
  <c r="H448" i="20"/>
  <c r="H449" i="20" s="1"/>
  <c r="H442" i="20" s="1"/>
  <c r="G297" i="17"/>
  <c r="G107" i="17" s="1"/>
  <c r="G115" i="17" s="1"/>
  <c r="G117" i="17" s="1"/>
  <c r="G118" i="17" s="1"/>
  <c r="H230" i="17"/>
  <c r="H48" i="17" s="1"/>
  <c r="K392" i="17"/>
  <c r="K170" i="17" s="1"/>
  <c r="K251" i="17"/>
  <c r="K51" i="17" s="1"/>
  <c r="L228" i="12"/>
  <c r="M5" i="12"/>
  <c r="M9" i="12" s="1"/>
  <c r="K24" i="17"/>
  <c r="K399" i="17"/>
  <c r="K171" i="17" s="1"/>
  <c r="J281" i="17"/>
  <c r="J80" i="17" s="1"/>
  <c r="K288" i="17"/>
  <c r="K81" i="17" s="1"/>
  <c r="J318" i="17"/>
  <c r="J110" i="17" s="1"/>
  <c r="K436" i="17"/>
  <c r="K201" i="17" s="1"/>
  <c r="J355" i="17"/>
  <c r="J140" i="17" s="1"/>
  <c r="I422" i="17"/>
  <c r="I199" i="17" s="1"/>
  <c r="J348" i="17"/>
  <c r="J139" i="17" s="1"/>
  <c r="G408" i="17"/>
  <c r="G197" i="17" s="1"/>
  <c r="G205" i="17" s="1"/>
  <c r="G207" i="17" s="1"/>
  <c r="G208" i="17" s="1"/>
  <c r="J237" i="17"/>
  <c r="J49" i="17" s="1"/>
  <c r="H379" i="17"/>
  <c r="H378" i="17"/>
  <c r="H168" i="17" s="1"/>
  <c r="J310" i="17"/>
  <c r="J312" i="17" s="1"/>
  <c r="L434" i="17"/>
  <c r="I303" i="17"/>
  <c r="I305" i="17" s="1"/>
  <c r="H268" i="17"/>
  <c r="H267" i="17"/>
  <c r="H78" i="17" s="1"/>
  <c r="K346" i="17"/>
  <c r="H342" i="17"/>
  <c r="H341" i="17"/>
  <c r="H138" i="17" s="1"/>
  <c r="K325" i="17"/>
  <c r="K111" i="17" s="1"/>
  <c r="J245" i="17"/>
  <c r="J244" i="17"/>
  <c r="J50" i="17" s="1"/>
  <c r="I386" i="17"/>
  <c r="I385" i="17"/>
  <c r="I169" i="17" s="1"/>
  <c r="L236" i="20"/>
  <c r="K441" i="20"/>
  <c r="I164" i="17"/>
  <c r="G335" i="17"/>
  <c r="G334" i="17"/>
  <c r="G137" i="17" s="1"/>
  <c r="G145" i="17" s="1"/>
  <c r="G147" i="17" s="1"/>
  <c r="G148" i="17" s="1"/>
  <c r="L323" i="17"/>
  <c r="G224" i="17"/>
  <c r="G223" i="17"/>
  <c r="G47" i="17" s="1"/>
  <c r="G55" i="17" s="1"/>
  <c r="G57" i="17" s="1"/>
  <c r="G58" i="17" s="1"/>
  <c r="L360" i="17"/>
  <c r="I134" i="17"/>
  <c r="I194" i="17"/>
  <c r="H406" i="17"/>
  <c r="N9" i="20"/>
  <c r="N13" i="20" s="1"/>
  <c r="M215" i="20"/>
  <c r="I414" i="17"/>
  <c r="I416" i="17" s="1"/>
  <c r="H258" i="17"/>
  <c r="L286" i="17"/>
  <c r="K428" i="17"/>
  <c r="K430" i="17" s="1"/>
  <c r="K353" i="17"/>
  <c r="L397" i="17"/>
  <c r="I228" i="17"/>
  <c r="J420" i="17"/>
  <c r="K279" i="17"/>
  <c r="K362" i="17"/>
  <c r="K141" i="17" s="1"/>
  <c r="I104" i="17"/>
  <c r="K28" i="17"/>
  <c r="J184" i="17"/>
  <c r="J154" i="17"/>
  <c r="J125" i="17"/>
  <c r="J97" i="17"/>
  <c r="J63" i="17"/>
  <c r="J69" i="17"/>
  <c r="J34" i="17"/>
  <c r="J83" i="17"/>
  <c r="J202" i="17"/>
  <c r="J112" i="17"/>
  <c r="J185" i="17"/>
  <c r="J155" i="17"/>
  <c r="J127" i="17"/>
  <c r="J93" i="17"/>
  <c r="J99" i="17"/>
  <c r="J64" i="17"/>
  <c r="J35" i="17"/>
  <c r="J52" i="17"/>
  <c r="J203" i="17"/>
  <c r="J113" i="17"/>
  <c r="J187" i="17"/>
  <c r="J124" i="17"/>
  <c r="J95" i="17"/>
  <c r="J67" i="17"/>
  <c r="J43" i="17"/>
  <c r="J53" i="17"/>
  <c r="J189" i="17"/>
  <c r="J153" i="17"/>
  <c r="J129" i="17"/>
  <c r="J33" i="17"/>
  <c r="J82" i="17"/>
  <c r="J142" i="17"/>
  <c r="J172" i="17"/>
  <c r="J123" i="17"/>
  <c r="J94" i="17"/>
  <c r="J173" i="17"/>
  <c r="J183" i="17"/>
  <c r="J39" i="17"/>
  <c r="J157" i="17"/>
  <c r="J102" i="17"/>
  <c r="J159" i="17"/>
  <c r="J37" i="17"/>
  <c r="J65" i="17"/>
  <c r="J143" i="17"/>
  <c r="J41" i="17"/>
  <c r="J133" i="17"/>
  <c r="J161" i="17"/>
  <c r="J193" i="17"/>
  <c r="J191" i="17"/>
  <c r="J101" i="17"/>
  <c r="J132" i="17"/>
  <c r="J72" i="17"/>
  <c r="J162" i="17"/>
  <c r="J73" i="17"/>
  <c r="J71" i="17"/>
  <c r="J192" i="17"/>
  <c r="J42" i="17"/>
  <c r="J131" i="17"/>
  <c r="J163" i="17"/>
  <c r="J103" i="17"/>
  <c r="I74" i="17"/>
  <c r="I44" i="17"/>
  <c r="L390" i="17"/>
  <c r="J273" i="17"/>
  <c r="J275" i="17" s="1"/>
  <c r="K235" i="17"/>
  <c r="L249" i="17"/>
  <c r="G260" i="17"/>
  <c r="G77" i="17" s="1"/>
  <c r="G85" i="17" s="1"/>
  <c r="G87" i="17" s="1"/>
  <c r="G88" i="17" s="1"/>
  <c r="K316" i="17"/>
  <c r="H295" i="17"/>
  <c r="N17" i="21" l="1"/>
  <c r="N117" i="21"/>
  <c r="N92" i="21"/>
  <c r="N67" i="21"/>
  <c r="N142" i="21"/>
  <c r="N42" i="21"/>
  <c r="M321" i="3"/>
  <c r="J236" i="12"/>
  <c r="L143" i="12"/>
  <c r="M143" i="21" s="1"/>
  <c r="L147" i="12"/>
  <c r="M147" i="21" s="1"/>
  <c r="L151" i="12"/>
  <c r="M151" i="21" s="1"/>
  <c r="L137" i="12"/>
  <c r="M137" i="21" s="1"/>
  <c r="L141" i="12"/>
  <c r="M141" i="21" s="1"/>
  <c r="L145" i="12"/>
  <c r="M145" i="21" s="1"/>
  <c r="L149" i="12"/>
  <c r="M149" i="21" s="1"/>
  <c r="L139" i="12"/>
  <c r="M139" i="21" s="1"/>
  <c r="L135" i="12"/>
  <c r="M135" i="21" s="1"/>
  <c r="L117" i="12"/>
  <c r="M116" i="21" s="1"/>
  <c r="L144" i="12"/>
  <c r="M144" i="21" s="1"/>
  <c r="L148" i="12"/>
  <c r="M148" i="21" s="1"/>
  <c r="L152" i="12"/>
  <c r="M152" i="21" s="1"/>
  <c r="L140" i="12"/>
  <c r="M140" i="21" s="1"/>
  <c r="L146" i="12"/>
  <c r="M146" i="21" s="1"/>
  <c r="L119" i="12"/>
  <c r="M118" i="21" s="1"/>
  <c r="L123" i="12"/>
  <c r="M122" i="21" s="1"/>
  <c r="L127" i="12"/>
  <c r="M126" i="21" s="1"/>
  <c r="L113" i="12"/>
  <c r="M112" i="21" s="1"/>
  <c r="L121" i="12"/>
  <c r="M120" i="21" s="1"/>
  <c r="L125" i="12"/>
  <c r="M124" i="21" s="1"/>
  <c r="L115" i="12"/>
  <c r="M114" i="21" s="1"/>
  <c r="L111" i="12"/>
  <c r="M110" i="21" s="1"/>
  <c r="L93" i="12"/>
  <c r="M91" i="21" s="1"/>
  <c r="L97" i="12"/>
  <c r="M95" i="21" s="1"/>
  <c r="L101" i="12"/>
  <c r="M99" i="21" s="1"/>
  <c r="L150" i="12"/>
  <c r="M150" i="21" s="1"/>
  <c r="L120" i="12"/>
  <c r="M119" i="21" s="1"/>
  <c r="L124" i="12"/>
  <c r="M123" i="21" s="1"/>
  <c r="L128" i="12"/>
  <c r="M127" i="21" s="1"/>
  <c r="L116" i="12"/>
  <c r="M115" i="21" s="1"/>
  <c r="L98" i="12"/>
  <c r="M96" i="21" s="1"/>
  <c r="L100" i="12"/>
  <c r="M98" i="21" s="1"/>
  <c r="L90" i="12"/>
  <c r="M88" i="21" s="1"/>
  <c r="L122" i="12"/>
  <c r="M121" i="21" s="1"/>
  <c r="L99" i="12"/>
  <c r="M97" i="21" s="1"/>
  <c r="L89" i="12"/>
  <c r="M87" i="21" s="1"/>
  <c r="L92" i="12"/>
  <c r="M90" i="21" s="1"/>
  <c r="L72" i="12"/>
  <c r="M69" i="21" s="1"/>
  <c r="L76" i="12"/>
  <c r="M73" i="21" s="1"/>
  <c r="L80" i="12"/>
  <c r="M77" i="21" s="1"/>
  <c r="L138" i="12"/>
  <c r="M138" i="21" s="1"/>
  <c r="L114" i="12"/>
  <c r="M113" i="21" s="1"/>
  <c r="L96" i="12"/>
  <c r="M94" i="21" s="1"/>
  <c r="L103" i="12"/>
  <c r="M101" i="21" s="1"/>
  <c r="L102" i="12"/>
  <c r="M100" i="21" s="1"/>
  <c r="L73" i="12"/>
  <c r="M70" i="21" s="1"/>
  <c r="L75" i="12"/>
  <c r="M72" i="21" s="1"/>
  <c r="L65" i="12"/>
  <c r="M62" i="21" s="1"/>
  <c r="L68" i="12"/>
  <c r="M65" i="21" s="1"/>
  <c r="L48" i="12"/>
  <c r="M44" i="21" s="1"/>
  <c r="L91" i="12"/>
  <c r="M89" i="21" s="1"/>
  <c r="L74" i="12"/>
  <c r="M71" i="21" s="1"/>
  <c r="L67" i="12"/>
  <c r="M64" i="21" s="1"/>
  <c r="L50" i="12"/>
  <c r="M46" i="21" s="1"/>
  <c r="L54" i="12"/>
  <c r="M50" i="21" s="1"/>
  <c r="L42" i="12"/>
  <c r="M38" i="21" s="1"/>
  <c r="L95" i="12"/>
  <c r="M93" i="21" s="1"/>
  <c r="L104" i="12"/>
  <c r="M102" i="21" s="1"/>
  <c r="L87" i="12"/>
  <c r="M85" i="21" s="1"/>
  <c r="L69" i="12"/>
  <c r="M66" i="21" s="1"/>
  <c r="L71" i="12"/>
  <c r="M68" i="21" s="1"/>
  <c r="L78" i="12"/>
  <c r="M75" i="21" s="1"/>
  <c r="L63" i="12"/>
  <c r="M60" i="21" s="1"/>
  <c r="L45" i="12"/>
  <c r="M41" i="21" s="1"/>
  <c r="L49" i="12"/>
  <c r="M45" i="21" s="1"/>
  <c r="L126" i="12"/>
  <c r="M125" i="21" s="1"/>
  <c r="L79" i="12"/>
  <c r="M76" i="21" s="1"/>
  <c r="L55" i="12"/>
  <c r="M51" i="21" s="1"/>
  <c r="L43" i="12"/>
  <c r="M39" i="21" s="1"/>
  <c r="L25" i="12"/>
  <c r="M20" i="21" s="1"/>
  <c r="L29" i="12"/>
  <c r="M24" i="21" s="1"/>
  <c r="L15" i="12"/>
  <c r="M10" i="21" s="1"/>
  <c r="L66" i="12"/>
  <c r="M63" i="21" s="1"/>
  <c r="L56" i="12"/>
  <c r="M52" i="21" s="1"/>
  <c r="L27" i="12"/>
  <c r="M22" i="21" s="1"/>
  <c r="L31" i="12"/>
  <c r="M26" i="21" s="1"/>
  <c r="L17" i="12"/>
  <c r="M12" i="21" s="1"/>
  <c r="L30" i="12"/>
  <c r="M25" i="21" s="1"/>
  <c r="L19" i="12"/>
  <c r="M14" i="21" s="1"/>
  <c r="L52" i="12"/>
  <c r="M48" i="21" s="1"/>
  <c r="L28" i="12"/>
  <c r="M23" i="21" s="1"/>
  <c r="L20" i="12"/>
  <c r="M15" i="21" s="1"/>
  <c r="L47" i="12"/>
  <c r="M43" i="21" s="1"/>
  <c r="L51" i="12"/>
  <c r="M47" i="21" s="1"/>
  <c r="L53" i="12"/>
  <c r="M49" i="21" s="1"/>
  <c r="L41" i="12"/>
  <c r="M37" i="21" s="1"/>
  <c r="L39" i="12"/>
  <c r="M35" i="21" s="1"/>
  <c r="L23" i="12"/>
  <c r="M18" i="21" s="1"/>
  <c r="L26" i="12"/>
  <c r="M21" i="21" s="1"/>
  <c r="L18" i="12"/>
  <c r="M13" i="21" s="1"/>
  <c r="L77" i="12"/>
  <c r="M74" i="21" s="1"/>
  <c r="L44" i="12"/>
  <c r="M40" i="21" s="1"/>
  <c r="L21" i="12"/>
  <c r="M16" i="21" s="1"/>
  <c r="L24" i="12"/>
  <c r="M19" i="21" s="1"/>
  <c r="L32" i="12"/>
  <c r="M27" i="21" s="1"/>
  <c r="K111" i="21"/>
  <c r="K128" i="21" s="1"/>
  <c r="K86" i="21"/>
  <c r="K103" i="21" s="1"/>
  <c r="K36" i="21"/>
  <c r="K53" i="21" s="1"/>
  <c r="K61" i="21"/>
  <c r="K78" i="21" s="1"/>
  <c r="K378" i="20"/>
  <c r="K152" i="20"/>
  <c r="K258" i="20"/>
  <c r="K32" i="20"/>
  <c r="K328" i="20"/>
  <c r="K102" i="20"/>
  <c r="K329" i="20"/>
  <c r="K103" i="20"/>
  <c r="K80" i="20"/>
  <c r="K306" i="20"/>
  <c r="K136" i="21"/>
  <c r="K153" i="21" s="1"/>
  <c r="K150" i="20"/>
  <c r="K376" i="20"/>
  <c r="K282" i="20"/>
  <c r="K56" i="20"/>
  <c r="K330" i="20"/>
  <c r="K104" i="20"/>
  <c r="K128" i="20"/>
  <c r="K354" i="20"/>
  <c r="K11" i="21"/>
  <c r="K28" i="21" s="1"/>
  <c r="K127" i="20"/>
  <c r="K353" i="20"/>
  <c r="K352" i="20"/>
  <c r="K126" i="20"/>
  <c r="K280" i="20"/>
  <c r="K54" i="20"/>
  <c r="K78" i="20"/>
  <c r="K304" i="20"/>
  <c r="K305" i="20"/>
  <c r="K79" i="20"/>
  <c r="K257" i="20"/>
  <c r="K31" i="20"/>
  <c r="K30" i="20"/>
  <c r="K256" i="20"/>
  <c r="K281" i="20"/>
  <c r="K55" i="20"/>
  <c r="K151" i="20"/>
  <c r="K377" i="20"/>
  <c r="K58" i="3"/>
  <c r="L55" i="3"/>
  <c r="L26" i="3"/>
  <c r="K29" i="3"/>
  <c r="K35" i="3" s="1"/>
  <c r="K38" i="3" s="1"/>
  <c r="K41" i="3" s="1"/>
  <c r="N246" i="3"/>
  <c r="M299" i="3"/>
  <c r="M291" i="3"/>
  <c r="M283" i="3"/>
  <c r="M270" i="3"/>
  <c r="M262" i="3"/>
  <c r="M254" i="3"/>
  <c r="M246" i="3"/>
  <c r="M238" i="3"/>
  <c r="M230" i="3"/>
  <c r="N321" i="3"/>
  <c r="O12" i="3"/>
  <c r="M214" i="3"/>
  <c r="M222" i="3"/>
  <c r="H371" i="17"/>
  <c r="H167" i="17" s="1"/>
  <c r="H175" i="17" s="1"/>
  <c r="H177" i="17" s="1"/>
  <c r="H178" i="17" s="1"/>
  <c r="I273" i="20"/>
  <c r="I409" i="20" s="1"/>
  <c r="I400" i="20"/>
  <c r="J344" i="20"/>
  <c r="J345" i="20" s="1"/>
  <c r="J412" i="20" s="1"/>
  <c r="I404" i="20"/>
  <c r="K234" i="12"/>
  <c r="K235" i="12" s="1"/>
  <c r="J171" i="12"/>
  <c r="J162" i="12"/>
  <c r="I174" i="20"/>
  <c r="I221" i="20"/>
  <c r="I222" i="20" s="1"/>
  <c r="I223" i="20" s="1"/>
  <c r="I216" i="20" s="1"/>
  <c r="I183" i="20"/>
  <c r="J163" i="12"/>
  <c r="J172" i="12"/>
  <c r="J174" i="12"/>
  <c r="J165" i="12"/>
  <c r="K341" i="20"/>
  <c r="K115" i="20"/>
  <c r="K334" i="20"/>
  <c r="K108" i="20"/>
  <c r="K278" i="20"/>
  <c r="K52" i="20"/>
  <c r="K44" i="20"/>
  <c r="K270" i="20"/>
  <c r="K361" i="20"/>
  <c r="K135" i="20"/>
  <c r="K380" i="20"/>
  <c r="K154" i="20"/>
  <c r="K89" i="20"/>
  <c r="K315" i="20"/>
  <c r="L38" i="12"/>
  <c r="M34" i="21" s="1"/>
  <c r="L86" i="12"/>
  <c r="M84" i="21" s="1"/>
  <c r="L134" i="12"/>
  <c r="M134" i="21" s="1"/>
  <c r="L110" i="12"/>
  <c r="M109" i="21" s="1"/>
  <c r="L14" i="12"/>
  <c r="M9" i="21" s="1"/>
  <c r="M10" i="12"/>
  <c r="M14" i="20" s="1"/>
  <c r="L62" i="12"/>
  <c r="M59" i="21" s="1"/>
  <c r="K180" i="12"/>
  <c r="K277" i="20"/>
  <c r="K51" i="20"/>
  <c r="K57" i="12"/>
  <c r="K58" i="12" s="1"/>
  <c r="K181" i="12"/>
  <c r="K81" i="12"/>
  <c r="K82" i="12" s="1"/>
  <c r="K301" i="20"/>
  <c r="K75" i="20"/>
  <c r="K87" i="20"/>
  <c r="K313" i="20"/>
  <c r="K110" i="20"/>
  <c r="K336" i="20"/>
  <c r="K162" i="20"/>
  <c r="K388" i="20"/>
  <c r="K184" i="12"/>
  <c r="K147" i="20"/>
  <c r="K153" i="12"/>
  <c r="K154" i="12" s="1"/>
  <c r="K373" i="20"/>
  <c r="K307" i="20"/>
  <c r="K81" i="20"/>
  <c r="K295" i="20"/>
  <c r="K69" i="20"/>
  <c r="K271" i="20"/>
  <c r="K45" i="20"/>
  <c r="K312" i="20"/>
  <c r="K86" i="20"/>
  <c r="K335" i="20"/>
  <c r="K109" i="20"/>
  <c r="K382" i="20"/>
  <c r="K156" i="20"/>
  <c r="J46" i="20"/>
  <c r="J47" i="20" s="1"/>
  <c r="I345" i="20"/>
  <c r="I412" i="20" s="1"/>
  <c r="I403" i="20"/>
  <c r="J142" i="20"/>
  <c r="J143" i="20" s="1"/>
  <c r="K179" i="12"/>
  <c r="K253" i="20"/>
  <c r="K33" i="12"/>
  <c r="K34" i="12" s="1"/>
  <c r="K27" i="20"/>
  <c r="I297" i="20"/>
  <c r="I410" i="20" s="1"/>
  <c r="I401" i="20"/>
  <c r="J296" i="20"/>
  <c r="J94" i="20"/>
  <c r="J95" i="20" s="1"/>
  <c r="J173" i="12"/>
  <c r="J164" i="12"/>
  <c r="I187" i="20"/>
  <c r="I178" i="20"/>
  <c r="J166" i="12"/>
  <c r="J175" i="12"/>
  <c r="I188" i="20"/>
  <c r="I179" i="20"/>
  <c r="K290" i="20"/>
  <c r="K64" i="20"/>
  <c r="K316" i="20"/>
  <c r="K90" i="20"/>
  <c r="K130" i="20"/>
  <c r="K356" i="20"/>
  <c r="K260" i="20"/>
  <c r="K34" i="20"/>
  <c r="K61" i="20"/>
  <c r="K287" i="20"/>
  <c r="K266" i="20"/>
  <c r="K40" i="20"/>
  <c r="K340" i="20"/>
  <c r="K114" i="20"/>
  <c r="K362" i="20"/>
  <c r="K136" i="20"/>
  <c r="K284" i="20"/>
  <c r="K58" i="20"/>
  <c r="K291" i="20"/>
  <c r="K65" i="20"/>
  <c r="K390" i="20"/>
  <c r="K164" i="20"/>
  <c r="K366" i="20"/>
  <c r="K140" i="20"/>
  <c r="K326" i="20"/>
  <c r="K100" i="20"/>
  <c r="K28" i="20"/>
  <c r="K254" i="20"/>
  <c r="K84" i="20"/>
  <c r="K310" i="20"/>
  <c r="K138" i="20"/>
  <c r="K364" i="20"/>
  <c r="K148" i="20"/>
  <c r="K374" i="20"/>
  <c r="K37" i="20"/>
  <c r="K263" i="20"/>
  <c r="K355" i="20"/>
  <c r="K129" i="20"/>
  <c r="K293" i="20"/>
  <c r="K67" i="20"/>
  <c r="K360" i="20"/>
  <c r="K134" i="20"/>
  <c r="K288" i="20"/>
  <c r="K62" i="20"/>
  <c r="K302" i="20"/>
  <c r="K76" i="20"/>
  <c r="K386" i="20"/>
  <c r="K160" i="20"/>
  <c r="K332" i="20"/>
  <c r="K106" i="20"/>
  <c r="I393" i="20"/>
  <c r="I414" i="20" s="1"/>
  <c r="I405" i="20"/>
  <c r="J320" i="20"/>
  <c r="J392" i="20"/>
  <c r="K153" i="20"/>
  <c r="K379" i="20"/>
  <c r="K183" i="12"/>
  <c r="K349" i="20"/>
  <c r="K123" i="20"/>
  <c r="K129" i="12"/>
  <c r="K130" i="12" s="1"/>
  <c r="K314" i="20"/>
  <c r="K88" i="20"/>
  <c r="K337" i="20"/>
  <c r="K111" i="20"/>
  <c r="K387" i="20"/>
  <c r="K161" i="20"/>
  <c r="K294" i="20"/>
  <c r="K68" i="20"/>
  <c r="K338" i="20"/>
  <c r="K112" i="20"/>
  <c r="K259" i="20"/>
  <c r="K33" i="20"/>
  <c r="K265" i="20"/>
  <c r="K39" i="20"/>
  <c r="K331" i="20"/>
  <c r="K105" i="20"/>
  <c r="K358" i="20"/>
  <c r="K132" i="20"/>
  <c r="K389" i="20"/>
  <c r="K163" i="20"/>
  <c r="K182" i="12"/>
  <c r="K99" i="20"/>
  <c r="K105" i="12"/>
  <c r="K106" i="12" s="1"/>
  <c r="K325" i="20"/>
  <c r="K283" i="20"/>
  <c r="K57" i="20"/>
  <c r="K268" i="20"/>
  <c r="K42" i="20"/>
  <c r="K318" i="20"/>
  <c r="K92" i="20"/>
  <c r="K264" i="20"/>
  <c r="K38" i="20"/>
  <c r="K367" i="20"/>
  <c r="K141" i="20"/>
  <c r="K383" i="20"/>
  <c r="K157" i="20"/>
  <c r="J161" i="12"/>
  <c r="J188" i="12" s="1"/>
  <c r="J170" i="12"/>
  <c r="J192" i="12" s="1"/>
  <c r="J70" i="20"/>
  <c r="J71" i="20" s="1"/>
  <c r="I321" i="20"/>
  <c r="I411" i="20" s="1"/>
  <c r="I402" i="20"/>
  <c r="J118" i="20"/>
  <c r="J119" i="20" s="1"/>
  <c r="I186" i="20"/>
  <c r="I177" i="20"/>
  <c r="J368" i="20"/>
  <c r="J166" i="20"/>
  <c r="J167" i="20" s="1"/>
  <c r="I184" i="20"/>
  <c r="I175" i="20"/>
  <c r="I185" i="20"/>
  <c r="I176" i="20"/>
  <c r="K43" i="20"/>
  <c r="K269" i="20"/>
  <c r="K159" i="20"/>
  <c r="K385" i="20"/>
  <c r="K286" i="20"/>
  <c r="K60" i="20"/>
  <c r="K262" i="20"/>
  <c r="K36" i="20"/>
  <c r="K311" i="20"/>
  <c r="K85" i="20"/>
  <c r="K384" i="20"/>
  <c r="K158" i="20"/>
  <c r="K308" i="20"/>
  <c r="K82" i="20"/>
  <c r="K267" i="20"/>
  <c r="K41" i="20"/>
  <c r="K391" i="20"/>
  <c r="K165" i="20"/>
  <c r="K137" i="20"/>
  <c r="K363" i="20"/>
  <c r="K289" i="20"/>
  <c r="K63" i="20"/>
  <c r="K66" i="20"/>
  <c r="K292" i="20"/>
  <c r="K343" i="20"/>
  <c r="K117" i="20"/>
  <c r="K365" i="20"/>
  <c r="K139" i="20"/>
  <c r="K342" i="20"/>
  <c r="K116" i="20"/>
  <c r="K133" i="20"/>
  <c r="K359" i="20"/>
  <c r="K91" i="20"/>
  <c r="K317" i="20"/>
  <c r="K93" i="20"/>
  <c r="K319" i="20"/>
  <c r="K339" i="20"/>
  <c r="K113" i="20"/>
  <c r="K350" i="20"/>
  <c r="K124" i="20"/>
  <c r="J272" i="20"/>
  <c r="I448" i="20"/>
  <c r="I449" i="20" s="1"/>
  <c r="I442" i="20" s="1"/>
  <c r="M228" i="12"/>
  <c r="L24" i="17"/>
  <c r="N5" i="12"/>
  <c r="N9" i="12" s="1"/>
  <c r="J311" i="17"/>
  <c r="J109" i="17" s="1"/>
  <c r="J274" i="17"/>
  <c r="J79" i="17" s="1"/>
  <c r="K317" i="17"/>
  <c r="K319" i="17" s="1"/>
  <c r="K236" i="17"/>
  <c r="K238" i="17" s="1"/>
  <c r="J134" i="17"/>
  <c r="L427" i="17"/>
  <c r="J413" i="17"/>
  <c r="H407" i="17"/>
  <c r="H409" i="17" s="1"/>
  <c r="K242" i="17"/>
  <c r="I339" i="17"/>
  <c r="K347" i="17"/>
  <c r="K349" i="17" s="1"/>
  <c r="J302" i="17"/>
  <c r="H296" i="17"/>
  <c r="H298" i="17" s="1"/>
  <c r="J74" i="17"/>
  <c r="J421" i="17"/>
  <c r="J423" i="17" s="1"/>
  <c r="L398" i="17"/>
  <c r="L400" i="17" s="1"/>
  <c r="N215" i="20"/>
  <c r="O9" i="20"/>
  <c r="O13" i="20" s="1"/>
  <c r="L435" i="17"/>
  <c r="L437" i="17" s="1"/>
  <c r="K272" i="17"/>
  <c r="J164" i="17"/>
  <c r="K185" i="17"/>
  <c r="K155" i="17"/>
  <c r="K127" i="17"/>
  <c r="K93" i="17"/>
  <c r="K99" i="17"/>
  <c r="K64" i="17"/>
  <c r="K35" i="17"/>
  <c r="K82" i="17"/>
  <c r="K187" i="17"/>
  <c r="K157" i="17"/>
  <c r="K129" i="17"/>
  <c r="K94" i="17"/>
  <c r="K65" i="17"/>
  <c r="K37" i="17"/>
  <c r="K83" i="17"/>
  <c r="K52" i="17"/>
  <c r="K202" i="17"/>
  <c r="K112" i="17"/>
  <c r="K189" i="17"/>
  <c r="K153" i="17"/>
  <c r="K125" i="17"/>
  <c r="K97" i="17"/>
  <c r="K69" i="17"/>
  <c r="K33" i="17"/>
  <c r="K113" i="17"/>
  <c r="K154" i="17"/>
  <c r="K34" i="17"/>
  <c r="K184" i="17"/>
  <c r="K63" i="17"/>
  <c r="K39" i="17"/>
  <c r="K53" i="17"/>
  <c r="K143" i="17"/>
  <c r="L28" i="17"/>
  <c r="K124" i="17"/>
  <c r="K95" i="17"/>
  <c r="K183" i="17"/>
  <c r="K67" i="17"/>
  <c r="K142" i="17"/>
  <c r="K173" i="17"/>
  <c r="K203" i="17"/>
  <c r="K172" i="17"/>
  <c r="K159" i="17"/>
  <c r="K133" i="17"/>
  <c r="K102" i="17"/>
  <c r="K41" i="17"/>
  <c r="K161" i="17"/>
  <c r="K43" i="17"/>
  <c r="K123" i="17"/>
  <c r="K193" i="17"/>
  <c r="K191" i="17"/>
  <c r="K162" i="17"/>
  <c r="K192" i="17"/>
  <c r="K73" i="17"/>
  <c r="K163" i="17"/>
  <c r="K101" i="17"/>
  <c r="K132" i="17"/>
  <c r="K42" i="17"/>
  <c r="K103" i="17"/>
  <c r="K131" i="17"/>
  <c r="K72" i="17"/>
  <c r="K71" i="17"/>
  <c r="K429" i="17"/>
  <c r="K200" i="17" s="1"/>
  <c r="H221" i="17"/>
  <c r="H332" i="17"/>
  <c r="J383" i="17"/>
  <c r="I369" i="17"/>
  <c r="K309" i="17"/>
  <c r="J44" i="17"/>
  <c r="J104" i="17"/>
  <c r="L324" i="17"/>
  <c r="L326" i="17" s="1"/>
  <c r="M236" i="20"/>
  <c r="L441" i="20"/>
  <c r="I376" i="17"/>
  <c r="L250" i="17"/>
  <c r="L252" i="17" s="1"/>
  <c r="L391" i="17"/>
  <c r="L393" i="17" s="1"/>
  <c r="J194" i="17"/>
  <c r="L361" i="17"/>
  <c r="L363" i="17" s="1"/>
  <c r="K280" i="17"/>
  <c r="K282" i="17" s="1"/>
  <c r="I229" i="17"/>
  <c r="I231" i="17" s="1"/>
  <c r="K354" i="17"/>
  <c r="K356" i="17" s="1"/>
  <c r="L287" i="17"/>
  <c r="L289" i="17" s="1"/>
  <c r="H259" i="17"/>
  <c r="H261" i="17" s="1"/>
  <c r="I415" i="17"/>
  <c r="I198" i="17" s="1"/>
  <c r="I265" i="17"/>
  <c r="I304" i="17"/>
  <c r="I108" i="17" s="1"/>
  <c r="O17" i="21" l="1"/>
  <c r="O92" i="21"/>
  <c r="O117" i="21"/>
  <c r="O142" i="21"/>
  <c r="O42" i="21"/>
  <c r="O67" i="21"/>
  <c r="K236" i="12"/>
  <c r="K237" i="12" s="1"/>
  <c r="K229" i="12" s="1"/>
  <c r="K170" i="12"/>
  <c r="K192" i="12" s="1"/>
  <c r="M144" i="12"/>
  <c r="N144" i="21" s="1"/>
  <c r="M148" i="12"/>
  <c r="N148" i="21" s="1"/>
  <c r="M152" i="12"/>
  <c r="N152" i="21" s="1"/>
  <c r="M140" i="12"/>
  <c r="N140" i="21" s="1"/>
  <c r="M146" i="12"/>
  <c r="N146" i="21" s="1"/>
  <c r="M150" i="12"/>
  <c r="N150" i="21" s="1"/>
  <c r="M138" i="12"/>
  <c r="N138" i="21" s="1"/>
  <c r="M141" i="12"/>
  <c r="N141" i="21" s="1"/>
  <c r="M145" i="12"/>
  <c r="N145" i="21" s="1"/>
  <c r="M149" i="12"/>
  <c r="N149" i="21" s="1"/>
  <c r="M139" i="12"/>
  <c r="N139" i="21" s="1"/>
  <c r="M135" i="12"/>
  <c r="N135" i="21" s="1"/>
  <c r="M151" i="12"/>
  <c r="N151" i="21" s="1"/>
  <c r="M120" i="12"/>
  <c r="N119" i="21" s="1"/>
  <c r="M124" i="12"/>
  <c r="N123" i="21" s="1"/>
  <c r="M128" i="12"/>
  <c r="N127" i="21" s="1"/>
  <c r="M116" i="12"/>
  <c r="N115" i="21" s="1"/>
  <c r="M143" i="12"/>
  <c r="N143" i="21" s="1"/>
  <c r="M122" i="12"/>
  <c r="N121" i="21" s="1"/>
  <c r="M126" i="12"/>
  <c r="N125" i="21" s="1"/>
  <c r="M114" i="12"/>
  <c r="N113" i="21" s="1"/>
  <c r="M98" i="12"/>
  <c r="N96" i="21" s="1"/>
  <c r="M102" i="12"/>
  <c r="N100" i="21" s="1"/>
  <c r="M117" i="12"/>
  <c r="N116" i="21" s="1"/>
  <c r="M121" i="12"/>
  <c r="N120" i="21" s="1"/>
  <c r="M125" i="12"/>
  <c r="N124" i="21" s="1"/>
  <c r="M115" i="12"/>
  <c r="N114" i="21" s="1"/>
  <c r="M93" i="12"/>
  <c r="N91" i="21" s="1"/>
  <c r="M96" i="12"/>
  <c r="N94" i="21" s="1"/>
  <c r="M103" i="12"/>
  <c r="N101" i="21" s="1"/>
  <c r="M137" i="12"/>
  <c r="N137" i="21" s="1"/>
  <c r="M127" i="12"/>
  <c r="N126" i="21" s="1"/>
  <c r="M111" i="12"/>
  <c r="N110" i="21" s="1"/>
  <c r="M95" i="12"/>
  <c r="N93" i="21" s="1"/>
  <c r="M97" i="12"/>
  <c r="N95" i="21" s="1"/>
  <c r="M104" i="12"/>
  <c r="N102" i="21" s="1"/>
  <c r="M91" i="12"/>
  <c r="N89" i="21" s="1"/>
  <c r="M87" i="12"/>
  <c r="N85" i="21" s="1"/>
  <c r="M69" i="12"/>
  <c r="N66" i="21" s="1"/>
  <c r="M73" i="12"/>
  <c r="N70" i="21" s="1"/>
  <c r="M77" i="12"/>
  <c r="N74" i="21" s="1"/>
  <c r="M67" i="12"/>
  <c r="N64" i="21" s="1"/>
  <c r="M147" i="12"/>
  <c r="N147" i="21" s="1"/>
  <c r="M123" i="12"/>
  <c r="N122" i="21" s="1"/>
  <c r="M113" i="12"/>
  <c r="N112" i="21" s="1"/>
  <c r="M99" i="12"/>
  <c r="N97" i="21" s="1"/>
  <c r="M101" i="12"/>
  <c r="N99" i="21" s="1"/>
  <c r="M89" i="12"/>
  <c r="N87" i="21" s="1"/>
  <c r="M92" i="12"/>
  <c r="N90" i="21" s="1"/>
  <c r="M71" i="12"/>
  <c r="N68" i="21" s="1"/>
  <c r="M78" i="12"/>
  <c r="N75" i="21" s="1"/>
  <c r="M80" i="12"/>
  <c r="N77" i="21" s="1"/>
  <c r="M63" i="12"/>
  <c r="N60" i="21" s="1"/>
  <c r="M45" i="12"/>
  <c r="N41" i="21" s="1"/>
  <c r="M49" i="12"/>
  <c r="N45" i="21" s="1"/>
  <c r="M90" i="12"/>
  <c r="N88" i="21" s="1"/>
  <c r="M72" i="12"/>
  <c r="N69" i="21" s="1"/>
  <c r="M79" i="12"/>
  <c r="N76" i="21" s="1"/>
  <c r="M66" i="12"/>
  <c r="N63" i="21" s="1"/>
  <c r="M47" i="12"/>
  <c r="N43" i="21" s="1"/>
  <c r="M51" i="12"/>
  <c r="N47" i="21" s="1"/>
  <c r="M55" i="12"/>
  <c r="N51" i="21" s="1"/>
  <c r="M41" i="12"/>
  <c r="N37" i="21" s="1"/>
  <c r="M23" i="12"/>
  <c r="N18" i="21" s="1"/>
  <c r="M74" i="12"/>
  <c r="N71" i="21" s="1"/>
  <c r="M76" i="12"/>
  <c r="N73" i="21" s="1"/>
  <c r="M48" i="12"/>
  <c r="N44" i="21" s="1"/>
  <c r="M53" i="12"/>
  <c r="N49" i="21" s="1"/>
  <c r="M42" i="12"/>
  <c r="N38" i="21" s="1"/>
  <c r="M39" i="12"/>
  <c r="N35" i="21" s="1"/>
  <c r="M26" i="12"/>
  <c r="N21" i="21" s="1"/>
  <c r="M30" i="12"/>
  <c r="N25" i="21" s="1"/>
  <c r="M68" i="12"/>
  <c r="N65" i="21" s="1"/>
  <c r="M119" i="12"/>
  <c r="N118" i="21" s="1"/>
  <c r="M75" i="12"/>
  <c r="N72" i="21" s="1"/>
  <c r="M52" i="12"/>
  <c r="N48" i="21" s="1"/>
  <c r="M54" i="12"/>
  <c r="N50" i="21" s="1"/>
  <c r="M44" i="12"/>
  <c r="N40" i="21" s="1"/>
  <c r="M21" i="12"/>
  <c r="N16" i="21" s="1"/>
  <c r="M24" i="12"/>
  <c r="N19" i="21" s="1"/>
  <c r="M28" i="12"/>
  <c r="N23" i="21" s="1"/>
  <c r="M32" i="12"/>
  <c r="N27" i="21" s="1"/>
  <c r="M20" i="12"/>
  <c r="N15" i="21" s="1"/>
  <c r="M27" i="12"/>
  <c r="N22" i="21" s="1"/>
  <c r="M18" i="12"/>
  <c r="N13" i="21" s="1"/>
  <c r="M50" i="12"/>
  <c r="N46" i="21" s="1"/>
  <c r="M43" i="12"/>
  <c r="N39" i="21" s="1"/>
  <c r="M29" i="12"/>
  <c r="N24" i="21" s="1"/>
  <c r="M19" i="12"/>
  <c r="N14" i="21" s="1"/>
  <c r="M65" i="12"/>
  <c r="N62" i="21" s="1"/>
  <c r="M56" i="12"/>
  <c r="N52" i="21" s="1"/>
  <c r="M31" i="12"/>
  <c r="N26" i="21" s="1"/>
  <c r="M17" i="12"/>
  <c r="N12" i="21" s="1"/>
  <c r="M100" i="12"/>
  <c r="N98" i="21" s="1"/>
  <c r="M25" i="12"/>
  <c r="N20" i="21" s="1"/>
  <c r="M15" i="12"/>
  <c r="N10" i="21" s="1"/>
  <c r="L36" i="21"/>
  <c r="L53" i="21" s="1"/>
  <c r="L136" i="21"/>
  <c r="L153" i="21" s="1"/>
  <c r="L61" i="21"/>
  <c r="L78" i="21" s="1"/>
  <c r="L86" i="21"/>
  <c r="L103" i="21" s="1"/>
  <c r="L354" i="20"/>
  <c r="L128" i="20"/>
  <c r="L258" i="20"/>
  <c r="L32" i="20"/>
  <c r="L328" i="20"/>
  <c r="L102" i="20"/>
  <c r="L330" i="20"/>
  <c r="L104" i="20"/>
  <c r="L306" i="20"/>
  <c r="L80" i="20"/>
  <c r="L150" i="20"/>
  <c r="L376" i="20"/>
  <c r="L103" i="20"/>
  <c r="L329" i="20"/>
  <c r="L378" i="20"/>
  <c r="L152" i="20"/>
  <c r="L282" i="20"/>
  <c r="L56" i="20"/>
  <c r="L377" i="20"/>
  <c r="L151" i="20"/>
  <c r="L111" i="21"/>
  <c r="L128" i="21" s="1"/>
  <c r="L353" i="20"/>
  <c r="L127" i="20"/>
  <c r="L126" i="20"/>
  <c r="L352" i="20"/>
  <c r="L11" i="21"/>
  <c r="L28" i="21" s="1"/>
  <c r="L304" i="20"/>
  <c r="L78" i="20"/>
  <c r="L305" i="20"/>
  <c r="L79" i="20"/>
  <c r="L256" i="20"/>
  <c r="L30" i="20"/>
  <c r="L257" i="20"/>
  <c r="L31" i="20"/>
  <c r="L54" i="20"/>
  <c r="L280" i="20"/>
  <c r="L281" i="20"/>
  <c r="L55" i="20"/>
  <c r="M26" i="3"/>
  <c r="L29" i="3"/>
  <c r="L35" i="3" s="1"/>
  <c r="L38" i="3" s="1"/>
  <c r="L41" i="3" s="1"/>
  <c r="L58" i="3"/>
  <c r="M55" i="3"/>
  <c r="N230" i="3"/>
  <c r="N238" i="3"/>
  <c r="N222" i="3"/>
  <c r="N299" i="3"/>
  <c r="N291" i="3"/>
  <c r="N283" i="3"/>
  <c r="N270" i="3"/>
  <c r="N262" i="3"/>
  <c r="N214" i="3"/>
  <c r="N254" i="3"/>
  <c r="O321" i="3"/>
  <c r="P12" i="3"/>
  <c r="J403" i="20"/>
  <c r="J237" i="12"/>
  <c r="J229" i="12" s="1"/>
  <c r="L234" i="12"/>
  <c r="L235" i="12" s="1"/>
  <c r="J273" i="20"/>
  <c r="J409" i="20" s="1"/>
  <c r="J447" i="20"/>
  <c r="J448" i="20" s="1"/>
  <c r="J449" i="20" s="1"/>
  <c r="J442" i="20" s="1"/>
  <c r="J400" i="20"/>
  <c r="J369" i="20"/>
  <c r="J413" i="20" s="1"/>
  <c r="J404" i="20"/>
  <c r="K344" i="20"/>
  <c r="K165" i="12"/>
  <c r="K174" i="12"/>
  <c r="K272" i="20"/>
  <c r="J187" i="20"/>
  <c r="J178" i="20"/>
  <c r="K166" i="20"/>
  <c r="K167" i="20" s="1"/>
  <c r="K94" i="20"/>
  <c r="K95" i="20" s="1"/>
  <c r="K171" i="12"/>
  <c r="K162" i="12"/>
  <c r="L57" i="20"/>
  <c r="L283" i="20"/>
  <c r="L268" i="20"/>
  <c r="L42" i="20"/>
  <c r="L336" i="20"/>
  <c r="L110" i="20"/>
  <c r="L264" i="20"/>
  <c r="L38" i="20"/>
  <c r="L326" i="20"/>
  <c r="L100" i="20"/>
  <c r="L391" i="20"/>
  <c r="L165" i="20"/>
  <c r="L263" i="20"/>
  <c r="L37" i="20"/>
  <c r="L319" i="20"/>
  <c r="L93" i="20"/>
  <c r="L134" i="20"/>
  <c r="L360" i="20"/>
  <c r="L153" i="20"/>
  <c r="L379" i="20"/>
  <c r="L63" i="20"/>
  <c r="L289" i="20"/>
  <c r="L65" i="20"/>
  <c r="L291" i="20"/>
  <c r="L68" i="20"/>
  <c r="L294" i="20"/>
  <c r="L388" i="20"/>
  <c r="L162" i="20"/>
  <c r="L386" i="20"/>
  <c r="L160" i="20"/>
  <c r="L292" i="20"/>
  <c r="L66" i="20"/>
  <c r="L293" i="20"/>
  <c r="L67" i="20"/>
  <c r="L88" i="20"/>
  <c r="L314" i="20"/>
  <c r="L367" i="20"/>
  <c r="L141" i="20"/>
  <c r="L358" i="20"/>
  <c r="L132" i="20"/>
  <c r="L58" i="20"/>
  <c r="L284" i="20"/>
  <c r="K173" i="12"/>
  <c r="K164" i="12"/>
  <c r="K142" i="20"/>
  <c r="K143" i="20" s="1"/>
  <c r="K320" i="20"/>
  <c r="K70" i="20"/>
  <c r="K71" i="20" s="1"/>
  <c r="L87" i="20"/>
  <c r="L313" i="20"/>
  <c r="L339" i="20"/>
  <c r="L113" i="20"/>
  <c r="L85" i="20"/>
  <c r="L311" i="20"/>
  <c r="L60" i="20"/>
  <c r="L286" i="20"/>
  <c r="L106" i="20"/>
  <c r="L332" i="20"/>
  <c r="L158" i="20"/>
  <c r="L384" i="20"/>
  <c r="L33" i="20"/>
  <c r="L259" i="20"/>
  <c r="L334" i="20"/>
  <c r="L108" i="20"/>
  <c r="L316" i="20"/>
  <c r="L90" i="20"/>
  <c r="L86" i="20"/>
  <c r="L312" i="20"/>
  <c r="L138" i="20"/>
  <c r="L364" i="20"/>
  <c r="L163" i="20"/>
  <c r="L389" i="20"/>
  <c r="L82" i="20"/>
  <c r="L308" i="20"/>
  <c r="L62" i="20"/>
  <c r="L288" i="20"/>
  <c r="L40" i="20"/>
  <c r="L266" i="20"/>
  <c r="L269" i="20"/>
  <c r="L43" i="20"/>
  <c r="L278" i="20"/>
  <c r="L52" i="20"/>
  <c r="L137" i="20"/>
  <c r="L363" i="20"/>
  <c r="L382" i="20"/>
  <c r="L156" i="20"/>
  <c r="L111" i="20"/>
  <c r="L337" i="20"/>
  <c r="L180" i="12"/>
  <c r="L277" i="20"/>
  <c r="L51" i="20"/>
  <c r="L57" i="12"/>
  <c r="L58" i="12" s="1"/>
  <c r="L342" i="20"/>
  <c r="L116" i="20"/>
  <c r="L390" i="20"/>
  <c r="L164" i="20"/>
  <c r="J175" i="20"/>
  <c r="J184" i="20"/>
  <c r="K118" i="20"/>
  <c r="K119" i="20" s="1"/>
  <c r="K368" i="20"/>
  <c r="J405" i="20"/>
  <c r="J393" i="20"/>
  <c r="J414" i="20" s="1"/>
  <c r="J185" i="20"/>
  <c r="J176" i="20"/>
  <c r="K46" i="20"/>
  <c r="K47" i="20" s="1"/>
  <c r="K392" i="20"/>
  <c r="K172" i="12"/>
  <c r="K163" i="12"/>
  <c r="K296" i="20"/>
  <c r="L355" i="20"/>
  <c r="L129" i="20"/>
  <c r="L331" i="20"/>
  <c r="L105" i="20"/>
  <c r="L81" i="20"/>
  <c r="L307" i="20"/>
  <c r="L135" i="20"/>
  <c r="L361" i="20"/>
  <c r="M110" i="12"/>
  <c r="N109" i="21" s="1"/>
  <c r="N10" i="12"/>
  <c r="N14" i="20" s="1"/>
  <c r="M62" i="12"/>
  <c r="N59" i="21" s="1"/>
  <c r="M38" i="12"/>
  <c r="N34" i="21" s="1"/>
  <c r="M134" i="12"/>
  <c r="N134" i="21" s="1"/>
  <c r="M14" i="12"/>
  <c r="N9" i="21" s="1"/>
  <c r="M86" i="12"/>
  <c r="N84" i="21" s="1"/>
  <c r="L270" i="20"/>
  <c r="L44" i="20"/>
  <c r="L295" i="20"/>
  <c r="L69" i="20"/>
  <c r="L109" i="20"/>
  <c r="L335" i="20"/>
  <c r="L366" i="20"/>
  <c r="L140" i="20"/>
  <c r="L387" i="20"/>
  <c r="L161" i="20"/>
  <c r="L28" i="20"/>
  <c r="L254" i="20"/>
  <c r="L36" i="20"/>
  <c r="L262" i="20"/>
  <c r="L315" i="20"/>
  <c r="L89" i="20"/>
  <c r="L340" i="20"/>
  <c r="L114" i="20"/>
  <c r="L359" i="20"/>
  <c r="L133" i="20"/>
  <c r="L310" i="20"/>
  <c r="L84" i="20"/>
  <c r="L61" i="20"/>
  <c r="L287" i="20"/>
  <c r="L91" i="20"/>
  <c r="L317" i="20"/>
  <c r="L34" i="20"/>
  <c r="L260" i="20"/>
  <c r="L385" i="20"/>
  <c r="L159" i="20"/>
  <c r="J179" i="20"/>
  <c r="J188" i="20"/>
  <c r="J177" i="20"/>
  <c r="J186" i="20"/>
  <c r="J321" i="20"/>
  <c r="J411" i="20" s="1"/>
  <c r="J402" i="20"/>
  <c r="J401" i="20"/>
  <c r="J297" i="20"/>
  <c r="J410" i="20" s="1"/>
  <c r="K161" i="12"/>
  <c r="K188" i="12" s="1"/>
  <c r="J221" i="20"/>
  <c r="J222" i="20" s="1"/>
  <c r="J223" i="20" s="1"/>
  <c r="J216" i="20" s="1"/>
  <c r="J174" i="20"/>
  <c r="J183" i="20"/>
  <c r="K175" i="12"/>
  <c r="K166" i="12"/>
  <c r="L338" i="20"/>
  <c r="L112" i="20"/>
  <c r="L45" i="20"/>
  <c r="L271" i="20"/>
  <c r="L181" i="12"/>
  <c r="L75" i="20"/>
  <c r="L81" i="12"/>
  <c r="L82" i="12" s="1"/>
  <c r="L301" i="20"/>
  <c r="L115" i="20"/>
  <c r="L341" i="20"/>
  <c r="L380" i="20"/>
  <c r="L154" i="20"/>
  <c r="L179" i="12"/>
  <c r="L27" i="20"/>
  <c r="L253" i="20"/>
  <c r="L33" i="12"/>
  <c r="L34" i="12" s="1"/>
  <c r="L267" i="20"/>
  <c r="L41" i="20"/>
  <c r="L183" i="12"/>
  <c r="L129" i="12"/>
  <c r="L130" i="12" s="1"/>
  <c r="L349" i="20"/>
  <c r="L123" i="20"/>
  <c r="L139" i="20"/>
  <c r="L365" i="20"/>
  <c r="L130" i="20"/>
  <c r="L356" i="20"/>
  <c r="L157" i="20"/>
  <c r="L383" i="20"/>
  <c r="L76" i="20"/>
  <c r="L302" i="20"/>
  <c r="L184" i="12"/>
  <c r="L147" i="20"/>
  <c r="L153" i="12"/>
  <c r="L154" i="12" s="1"/>
  <c r="L373" i="20"/>
  <c r="L343" i="20"/>
  <c r="L117" i="20"/>
  <c r="L124" i="20"/>
  <c r="L350" i="20"/>
  <c r="L182" i="12"/>
  <c r="L99" i="20"/>
  <c r="L105" i="12"/>
  <c r="L106" i="12" s="1"/>
  <c r="L325" i="20"/>
  <c r="L265" i="20"/>
  <c r="L39" i="20"/>
  <c r="L290" i="20"/>
  <c r="L64" i="20"/>
  <c r="L318" i="20"/>
  <c r="L92" i="20"/>
  <c r="L362" i="20"/>
  <c r="L136" i="20"/>
  <c r="L374" i="20"/>
  <c r="L148" i="20"/>
  <c r="K355" i="17"/>
  <c r="K140" i="17" s="1"/>
  <c r="M24" i="17"/>
  <c r="N228" i="12"/>
  <c r="O5" i="12"/>
  <c r="O9" i="12" s="1"/>
  <c r="H260" i="17"/>
  <c r="H77" i="17" s="1"/>
  <c r="H85" i="17" s="1"/>
  <c r="H87" i="17" s="1"/>
  <c r="H88" i="17" s="1"/>
  <c r="H297" i="17"/>
  <c r="H107" i="17" s="1"/>
  <c r="H115" i="17" s="1"/>
  <c r="H117" i="17" s="1"/>
  <c r="H118" i="17" s="1"/>
  <c r="L399" i="17"/>
  <c r="L171" i="17" s="1"/>
  <c r="L288" i="17"/>
  <c r="L81" i="17" s="1"/>
  <c r="L362" i="17"/>
  <c r="L141" i="17" s="1"/>
  <c r="L436" i="17"/>
  <c r="L201" i="17" s="1"/>
  <c r="H408" i="17"/>
  <c r="H197" i="17" s="1"/>
  <c r="H205" i="17" s="1"/>
  <c r="H207" i="17" s="1"/>
  <c r="H208" i="17" s="1"/>
  <c r="K318" i="17"/>
  <c r="K110" i="17" s="1"/>
  <c r="J422" i="17"/>
  <c r="J199" i="17" s="1"/>
  <c r="K237" i="17"/>
  <c r="K49" i="17" s="1"/>
  <c r="L279" i="17"/>
  <c r="M390" i="17"/>
  <c r="I370" i="17"/>
  <c r="I372" i="17" s="1"/>
  <c r="L346" i="17"/>
  <c r="J414" i="17"/>
  <c r="J416" i="17" s="1"/>
  <c r="J384" i="17"/>
  <c r="J386" i="17" s="1"/>
  <c r="K74" i="17"/>
  <c r="M434" i="17"/>
  <c r="K243" i="17"/>
  <c r="K245" i="17" s="1"/>
  <c r="I258" i="17"/>
  <c r="I230" i="17"/>
  <c r="I48" i="17" s="1"/>
  <c r="K281" i="17"/>
  <c r="K80" i="17" s="1"/>
  <c r="L392" i="17"/>
  <c r="L170" i="17" s="1"/>
  <c r="I377" i="17"/>
  <c r="I379" i="17" s="1"/>
  <c r="K310" i="17"/>
  <c r="K312" i="17" s="1"/>
  <c r="H333" i="17"/>
  <c r="H335" i="17" s="1"/>
  <c r="K134" i="17"/>
  <c r="K194" i="17"/>
  <c r="K44" i="17"/>
  <c r="K164" i="17"/>
  <c r="K104" i="17"/>
  <c r="O215" i="20"/>
  <c r="P9" i="20"/>
  <c r="J303" i="17"/>
  <c r="J305" i="17" s="1"/>
  <c r="L428" i="17"/>
  <c r="L430" i="17" s="1"/>
  <c r="I266" i="17"/>
  <c r="I268" i="17" s="1"/>
  <c r="J228" i="17"/>
  <c r="M323" i="17"/>
  <c r="K273" i="17"/>
  <c r="K275" i="17" s="1"/>
  <c r="M249" i="17"/>
  <c r="M28" i="17"/>
  <c r="L187" i="17"/>
  <c r="L157" i="17"/>
  <c r="L123" i="17"/>
  <c r="L129" i="17"/>
  <c r="L94" i="17"/>
  <c r="L65" i="17"/>
  <c r="L37" i="17"/>
  <c r="L189" i="17"/>
  <c r="L159" i="17"/>
  <c r="L124" i="17"/>
  <c r="L95" i="17"/>
  <c r="L67" i="17"/>
  <c r="L33" i="17"/>
  <c r="L39" i="17"/>
  <c r="L82" i="17"/>
  <c r="L52" i="17"/>
  <c r="L154" i="17"/>
  <c r="L127" i="17"/>
  <c r="L99" i="17"/>
  <c r="L34" i="17"/>
  <c r="L53" i="17"/>
  <c r="L203" i="17"/>
  <c r="L143" i="17"/>
  <c r="L173" i="17"/>
  <c r="L155" i="17"/>
  <c r="L63" i="17"/>
  <c r="L35" i="17"/>
  <c r="L202" i="17"/>
  <c r="L113" i="17"/>
  <c r="L125" i="17"/>
  <c r="L97" i="17"/>
  <c r="L112" i="17"/>
  <c r="L185" i="17"/>
  <c r="L41" i="17"/>
  <c r="L142" i="17"/>
  <c r="L172" i="17"/>
  <c r="L184" i="17"/>
  <c r="L83" i="17"/>
  <c r="L64" i="17"/>
  <c r="L93" i="17"/>
  <c r="L69" i="17"/>
  <c r="L191" i="17"/>
  <c r="L43" i="17"/>
  <c r="L161" i="17"/>
  <c r="L193" i="17"/>
  <c r="L133" i="17"/>
  <c r="L102" i="17"/>
  <c r="L153" i="17"/>
  <c r="L183" i="17"/>
  <c r="L101" i="17"/>
  <c r="L162" i="17"/>
  <c r="L192" i="17"/>
  <c r="L71" i="17"/>
  <c r="L131" i="17"/>
  <c r="L132" i="17"/>
  <c r="L42" i="17"/>
  <c r="L72" i="17"/>
  <c r="L73" i="17"/>
  <c r="L103" i="17"/>
  <c r="L163" i="17"/>
  <c r="M397" i="17"/>
  <c r="I295" i="17"/>
  <c r="K348" i="17"/>
  <c r="K139" i="17" s="1"/>
  <c r="I406" i="17"/>
  <c r="M286" i="17"/>
  <c r="L353" i="17"/>
  <c r="M360" i="17"/>
  <c r="L251" i="17"/>
  <c r="L51" i="17" s="1"/>
  <c r="N236" i="20"/>
  <c r="M441" i="20"/>
  <c r="L325" i="17"/>
  <c r="L111" i="17" s="1"/>
  <c r="H222" i="17"/>
  <c r="H224" i="17" s="1"/>
  <c r="K420" i="17"/>
  <c r="I340" i="17"/>
  <c r="I342" i="17" s="1"/>
  <c r="L235" i="17"/>
  <c r="L316" i="17"/>
  <c r="P17" i="21" l="1"/>
  <c r="P67" i="21"/>
  <c r="P142" i="21"/>
  <c r="P42" i="21"/>
  <c r="P92" i="21"/>
  <c r="P117" i="21"/>
  <c r="Q9" i="20"/>
  <c r="P13" i="20"/>
  <c r="L236" i="12"/>
  <c r="L237" i="12" s="1"/>
  <c r="L229" i="12" s="1"/>
  <c r="L170" i="12"/>
  <c r="L192" i="12" s="1"/>
  <c r="N141" i="12"/>
  <c r="O141" i="21" s="1"/>
  <c r="N145" i="12"/>
  <c r="O145" i="21" s="1"/>
  <c r="N149" i="12"/>
  <c r="O149" i="21" s="1"/>
  <c r="N139" i="12"/>
  <c r="O139" i="21" s="1"/>
  <c r="N135" i="12"/>
  <c r="O135" i="21" s="1"/>
  <c r="N143" i="12"/>
  <c r="O143" i="21" s="1"/>
  <c r="N147" i="12"/>
  <c r="O147" i="21" s="1"/>
  <c r="N151" i="12"/>
  <c r="O151" i="21" s="1"/>
  <c r="N137" i="12"/>
  <c r="O137" i="21" s="1"/>
  <c r="N119" i="12"/>
  <c r="O118" i="21" s="1"/>
  <c r="N146" i="12"/>
  <c r="O146" i="21" s="1"/>
  <c r="N150" i="12"/>
  <c r="O150" i="21" s="1"/>
  <c r="N138" i="12"/>
  <c r="O138" i="21" s="1"/>
  <c r="N117" i="12"/>
  <c r="O116" i="21" s="1"/>
  <c r="N121" i="12"/>
  <c r="O120" i="21" s="1"/>
  <c r="N125" i="12"/>
  <c r="O124" i="21" s="1"/>
  <c r="N115" i="12"/>
  <c r="O114" i="21" s="1"/>
  <c r="N148" i="12"/>
  <c r="O148" i="21" s="1"/>
  <c r="N140" i="12"/>
  <c r="O140" i="21" s="1"/>
  <c r="N123" i="12"/>
  <c r="O122" i="21" s="1"/>
  <c r="N127" i="12"/>
  <c r="O126" i="21" s="1"/>
  <c r="N113" i="12"/>
  <c r="O112" i="21" s="1"/>
  <c r="N95" i="12"/>
  <c r="O93" i="21" s="1"/>
  <c r="N99" i="12"/>
  <c r="O97" i="21" s="1"/>
  <c r="N103" i="12"/>
  <c r="O101" i="21" s="1"/>
  <c r="N89" i="12"/>
  <c r="O87" i="21" s="1"/>
  <c r="N144" i="12"/>
  <c r="O144" i="21" s="1"/>
  <c r="N122" i="12"/>
  <c r="O121" i="21" s="1"/>
  <c r="N126" i="12"/>
  <c r="O125" i="21" s="1"/>
  <c r="N114" i="12"/>
  <c r="O113" i="21" s="1"/>
  <c r="N124" i="12"/>
  <c r="O123" i="21" s="1"/>
  <c r="N116" i="12"/>
  <c r="O115" i="21" s="1"/>
  <c r="N101" i="12"/>
  <c r="O99" i="21" s="1"/>
  <c r="N92" i="12"/>
  <c r="O90" i="21" s="1"/>
  <c r="N100" i="12"/>
  <c r="O98" i="21" s="1"/>
  <c r="N102" i="12"/>
  <c r="O100" i="21" s="1"/>
  <c r="N90" i="12"/>
  <c r="O88" i="21" s="1"/>
  <c r="N74" i="12"/>
  <c r="O71" i="21" s="1"/>
  <c r="N78" i="12"/>
  <c r="O75" i="21" s="1"/>
  <c r="N66" i="12"/>
  <c r="O63" i="21" s="1"/>
  <c r="N128" i="12"/>
  <c r="O127" i="21" s="1"/>
  <c r="N111" i="12"/>
  <c r="O110" i="21" s="1"/>
  <c r="N97" i="12"/>
  <c r="O95" i="21" s="1"/>
  <c r="N104" i="12"/>
  <c r="O102" i="21" s="1"/>
  <c r="N91" i="12"/>
  <c r="O89" i="21" s="1"/>
  <c r="N87" i="12"/>
  <c r="O85" i="21" s="1"/>
  <c r="N93" i="12"/>
  <c r="O91" i="21" s="1"/>
  <c r="N69" i="12"/>
  <c r="O66" i="21" s="1"/>
  <c r="N76" i="12"/>
  <c r="O73" i="21" s="1"/>
  <c r="N120" i="12"/>
  <c r="O119" i="21" s="1"/>
  <c r="N98" i="12"/>
  <c r="O96" i="21" s="1"/>
  <c r="N75" i="12"/>
  <c r="O72" i="21" s="1"/>
  <c r="N77" i="12"/>
  <c r="O74" i="21" s="1"/>
  <c r="N65" i="12"/>
  <c r="O62" i="21" s="1"/>
  <c r="N68" i="12"/>
  <c r="O65" i="21" s="1"/>
  <c r="N48" i="12"/>
  <c r="O44" i="21" s="1"/>
  <c r="N52" i="12"/>
  <c r="O48" i="21" s="1"/>
  <c r="N56" i="12"/>
  <c r="O52" i="21" s="1"/>
  <c r="N44" i="12"/>
  <c r="O40" i="21" s="1"/>
  <c r="N24" i="12"/>
  <c r="O19" i="21" s="1"/>
  <c r="N152" i="12"/>
  <c r="O152" i="21" s="1"/>
  <c r="N96" i="12"/>
  <c r="O94" i="21" s="1"/>
  <c r="N72" i="12"/>
  <c r="O69" i="21" s="1"/>
  <c r="N79" i="12"/>
  <c r="O76" i="21" s="1"/>
  <c r="N67" i="12"/>
  <c r="O64" i="21" s="1"/>
  <c r="N47" i="12"/>
  <c r="O43" i="21" s="1"/>
  <c r="N71" i="12"/>
  <c r="O68" i="21" s="1"/>
  <c r="N80" i="12"/>
  <c r="O77" i="21" s="1"/>
  <c r="N45" i="12"/>
  <c r="O41" i="21" s="1"/>
  <c r="N51" i="12"/>
  <c r="O47" i="21" s="1"/>
  <c r="N41" i="12"/>
  <c r="O37" i="21" s="1"/>
  <c r="N23" i="12"/>
  <c r="O18" i="21" s="1"/>
  <c r="N27" i="12"/>
  <c r="O22" i="21" s="1"/>
  <c r="N31" i="12"/>
  <c r="O26" i="21" s="1"/>
  <c r="N17" i="12"/>
  <c r="O12" i="21" s="1"/>
  <c r="N42" i="12"/>
  <c r="O38" i="21" s="1"/>
  <c r="N26" i="12"/>
  <c r="O21" i="21" s="1"/>
  <c r="N30" i="12"/>
  <c r="O25" i="21" s="1"/>
  <c r="N63" i="12"/>
  <c r="O60" i="21" s="1"/>
  <c r="N50" i="12"/>
  <c r="O46" i="21" s="1"/>
  <c r="N43" i="12"/>
  <c r="O39" i="21" s="1"/>
  <c r="N25" i="12"/>
  <c r="O20" i="21" s="1"/>
  <c r="N29" i="12"/>
  <c r="O24" i="21" s="1"/>
  <c r="N19" i="12"/>
  <c r="O14" i="21" s="1"/>
  <c r="N15" i="12"/>
  <c r="O10" i="21" s="1"/>
  <c r="N32" i="12"/>
  <c r="O27" i="21" s="1"/>
  <c r="N53" i="12"/>
  <c r="O49" i="21" s="1"/>
  <c r="N55" i="12"/>
  <c r="O51" i="21" s="1"/>
  <c r="N18" i="12"/>
  <c r="O13" i="21" s="1"/>
  <c r="N73" i="12"/>
  <c r="O70" i="21" s="1"/>
  <c r="N54" i="12"/>
  <c r="O50" i="21" s="1"/>
  <c r="N21" i="12"/>
  <c r="O16" i="21" s="1"/>
  <c r="N28" i="12"/>
  <c r="O23" i="21" s="1"/>
  <c r="N20" i="12"/>
  <c r="O15" i="21" s="1"/>
  <c r="N49" i="12"/>
  <c r="O45" i="21" s="1"/>
  <c r="N39" i="12"/>
  <c r="O35" i="21" s="1"/>
  <c r="M136" i="21"/>
  <c r="M153" i="21" s="1"/>
  <c r="M36" i="21"/>
  <c r="M53" i="21" s="1"/>
  <c r="M61" i="21"/>
  <c r="M78" i="21" s="1"/>
  <c r="M86" i="21"/>
  <c r="M103" i="21" s="1"/>
  <c r="M103" i="20"/>
  <c r="M329" i="20"/>
  <c r="M128" i="20"/>
  <c r="M354" i="20"/>
  <c r="M258" i="20"/>
  <c r="M32" i="20"/>
  <c r="M330" i="20"/>
  <c r="M104" i="20"/>
  <c r="M378" i="20"/>
  <c r="M152" i="20"/>
  <c r="M151" i="20"/>
  <c r="M377" i="20"/>
  <c r="M282" i="20"/>
  <c r="M56" i="20"/>
  <c r="M376" i="20"/>
  <c r="M150" i="20"/>
  <c r="M306" i="20"/>
  <c r="M80" i="20"/>
  <c r="M102" i="20"/>
  <c r="M328" i="20"/>
  <c r="M111" i="21"/>
  <c r="M128" i="21" s="1"/>
  <c r="M353" i="20"/>
  <c r="M127" i="20"/>
  <c r="M352" i="20"/>
  <c r="M126" i="20"/>
  <c r="M11" i="21"/>
  <c r="M28" i="21" s="1"/>
  <c r="M30" i="20"/>
  <c r="M256" i="20"/>
  <c r="M79" i="20"/>
  <c r="M305" i="20"/>
  <c r="M78" i="20"/>
  <c r="M304" i="20"/>
  <c r="M55" i="20"/>
  <c r="M281" i="20"/>
  <c r="M280" i="20"/>
  <c r="M54" i="20"/>
  <c r="M257" i="20"/>
  <c r="M31" i="20"/>
  <c r="M58" i="3"/>
  <c r="N55" i="3"/>
  <c r="N26" i="3"/>
  <c r="M29" i="3"/>
  <c r="M35" i="3" s="1"/>
  <c r="M38" i="3" s="1"/>
  <c r="M41" i="3" s="1"/>
  <c r="M234" i="12"/>
  <c r="M235" i="12" s="1"/>
  <c r="O299" i="3"/>
  <c r="O291" i="3"/>
  <c r="O283" i="3"/>
  <c r="O270" i="3"/>
  <c r="O262" i="3"/>
  <c r="O230" i="3"/>
  <c r="O254" i="3"/>
  <c r="O246" i="3"/>
  <c r="O238" i="3"/>
  <c r="P321" i="3"/>
  <c r="O214" i="3"/>
  <c r="O222" i="3"/>
  <c r="Q12" i="3"/>
  <c r="L118" i="20"/>
  <c r="L119" i="20" s="1"/>
  <c r="L142" i="20"/>
  <c r="L320" i="20"/>
  <c r="L321" i="20" s="1"/>
  <c r="L411" i="20" s="1"/>
  <c r="L46" i="20"/>
  <c r="L47" i="20" s="1"/>
  <c r="M65" i="20"/>
  <c r="M291" i="20"/>
  <c r="M34" i="20"/>
  <c r="M260" i="20"/>
  <c r="M387" i="20"/>
  <c r="M161" i="20"/>
  <c r="M384" i="20"/>
  <c r="M158" i="20"/>
  <c r="M287" i="20"/>
  <c r="M61" i="20"/>
  <c r="M44" i="20"/>
  <c r="M270" i="20"/>
  <c r="M367" i="20"/>
  <c r="M141" i="20"/>
  <c r="K369" i="20"/>
  <c r="K413" i="20" s="1"/>
  <c r="K404" i="20"/>
  <c r="K184" i="20"/>
  <c r="K175" i="20"/>
  <c r="L368" i="20"/>
  <c r="L172" i="12"/>
  <c r="L163" i="12"/>
  <c r="M92" i="20"/>
  <c r="M318" i="20"/>
  <c r="M69" i="20"/>
  <c r="M295" i="20"/>
  <c r="M269" i="20"/>
  <c r="M43" i="20"/>
  <c r="M340" i="20"/>
  <c r="M114" i="20"/>
  <c r="M164" i="20"/>
  <c r="M390" i="20"/>
  <c r="M132" i="20"/>
  <c r="M358" i="20"/>
  <c r="M184" i="12"/>
  <c r="M373" i="20"/>
  <c r="M147" i="20"/>
  <c r="M153" i="12"/>
  <c r="M154" i="12" s="1"/>
  <c r="M266" i="20"/>
  <c r="M40" i="20"/>
  <c r="M389" i="20"/>
  <c r="M163" i="20"/>
  <c r="M331" i="20"/>
  <c r="M105" i="20"/>
  <c r="M180" i="12"/>
  <c r="M277" i="20"/>
  <c r="M51" i="20"/>
  <c r="M57" i="12"/>
  <c r="M58" i="12" s="1"/>
  <c r="M290" i="20"/>
  <c r="M64" i="20"/>
  <c r="M140" i="20"/>
  <c r="M366" i="20"/>
  <c r="M113" i="20"/>
  <c r="M339" i="20"/>
  <c r="M156" i="20"/>
  <c r="M382" i="20"/>
  <c r="O10" i="12"/>
  <c r="O14" i="20" s="1"/>
  <c r="N110" i="12"/>
  <c r="O109" i="21" s="1"/>
  <c r="N62" i="12"/>
  <c r="O59" i="21" s="1"/>
  <c r="N38" i="12"/>
  <c r="O34" i="21" s="1"/>
  <c r="N14" i="12"/>
  <c r="O9" i="21" s="1"/>
  <c r="N134" i="12"/>
  <c r="O134" i="21" s="1"/>
  <c r="N86" i="12"/>
  <c r="O84" i="21" s="1"/>
  <c r="M356" i="20"/>
  <c r="M130" i="20"/>
  <c r="M62" i="20"/>
  <c r="M288" i="20"/>
  <c r="M38" i="20"/>
  <c r="M264" i="20"/>
  <c r="M87" i="20"/>
  <c r="M313" i="20"/>
  <c r="M116" i="20"/>
  <c r="M342" i="20"/>
  <c r="M153" i="20"/>
  <c r="M379" i="20"/>
  <c r="M58" i="20"/>
  <c r="M284" i="20"/>
  <c r="K186" i="20"/>
  <c r="K177" i="20"/>
  <c r="K402" i="20"/>
  <c r="K321" i="20"/>
  <c r="K411" i="20" s="1"/>
  <c r="M364" i="20"/>
  <c r="M138" i="20"/>
  <c r="M380" i="20"/>
  <c r="M154" i="20"/>
  <c r="M41" i="20"/>
  <c r="M267" i="20"/>
  <c r="M293" i="20"/>
  <c r="M67" i="20"/>
  <c r="M360" i="20"/>
  <c r="M134" i="20"/>
  <c r="M336" i="20"/>
  <c r="M110" i="20"/>
  <c r="M254" i="20"/>
  <c r="M28" i="20"/>
  <c r="M326" i="20"/>
  <c r="M100" i="20"/>
  <c r="M383" i="20"/>
  <c r="M157" i="20"/>
  <c r="M316" i="20"/>
  <c r="M90" i="20"/>
  <c r="M307" i="20"/>
  <c r="M81" i="20"/>
  <c r="M271" i="20"/>
  <c r="M45" i="20"/>
  <c r="M386" i="20"/>
  <c r="M160" i="20"/>
  <c r="M334" i="20"/>
  <c r="M108" i="20"/>
  <c r="L296" i="20"/>
  <c r="K179" i="20"/>
  <c r="K188" i="20"/>
  <c r="L344" i="20"/>
  <c r="L392" i="20"/>
  <c r="L174" i="12"/>
  <c r="L165" i="12"/>
  <c r="L161" i="12"/>
  <c r="L188" i="12" s="1"/>
  <c r="L94" i="20"/>
  <c r="L95" i="20" s="1"/>
  <c r="M263" i="20"/>
  <c r="M37" i="20"/>
  <c r="M182" i="12"/>
  <c r="M99" i="20"/>
  <c r="M105" i="12"/>
  <c r="M106" i="12" s="1"/>
  <c r="M325" i="20"/>
  <c r="M42" i="20"/>
  <c r="M268" i="20"/>
  <c r="M115" i="20"/>
  <c r="M341" i="20"/>
  <c r="M33" i="20"/>
  <c r="M259" i="20"/>
  <c r="M319" i="20"/>
  <c r="M93" i="20"/>
  <c r="M262" i="20"/>
  <c r="M36" i="20"/>
  <c r="M310" i="20"/>
  <c r="M84" i="20"/>
  <c r="M332" i="20"/>
  <c r="M106" i="20"/>
  <c r="M181" i="12"/>
  <c r="M301" i="20"/>
  <c r="M75" i="20"/>
  <c r="M81" i="12"/>
  <c r="M82" i="12" s="1"/>
  <c r="M57" i="20"/>
  <c r="M283" i="20"/>
  <c r="M391" i="20"/>
  <c r="M165" i="20"/>
  <c r="M335" i="20"/>
  <c r="M109" i="20"/>
  <c r="M278" i="20"/>
  <c r="M52" i="20"/>
  <c r="M355" i="20"/>
  <c r="M129" i="20"/>
  <c r="M317" i="20"/>
  <c r="M91" i="20"/>
  <c r="M289" i="20"/>
  <c r="M63" i="20"/>
  <c r="M361" i="20"/>
  <c r="M135" i="20"/>
  <c r="M363" i="20"/>
  <c r="M137" i="20"/>
  <c r="M365" i="20"/>
  <c r="M139" i="20"/>
  <c r="K393" i="20"/>
  <c r="K414" i="20" s="1"/>
  <c r="K405" i="20"/>
  <c r="L162" i="12"/>
  <c r="L171" i="12"/>
  <c r="K187" i="20"/>
  <c r="K178" i="20"/>
  <c r="K345" i="20"/>
  <c r="K412" i="20" s="1"/>
  <c r="K403" i="20"/>
  <c r="L166" i="20"/>
  <c r="L167" i="20" s="1"/>
  <c r="L164" i="12"/>
  <c r="L173" i="12"/>
  <c r="L166" i="12"/>
  <c r="L175" i="12"/>
  <c r="L272" i="20"/>
  <c r="M312" i="20"/>
  <c r="M86" i="20"/>
  <c r="M133" i="20"/>
  <c r="M359" i="20"/>
  <c r="M179" i="12"/>
  <c r="M27" i="20"/>
  <c r="M33" i="12"/>
  <c r="M34" i="12" s="1"/>
  <c r="M253" i="20"/>
  <c r="M337" i="20"/>
  <c r="M111" i="20"/>
  <c r="M311" i="20"/>
  <c r="M85" i="20"/>
  <c r="M66" i="20"/>
  <c r="M292" i="20"/>
  <c r="M343" i="20"/>
  <c r="M117" i="20"/>
  <c r="M82" i="20"/>
  <c r="M308" i="20"/>
  <c r="M294" i="20"/>
  <c r="M68" i="20"/>
  <c r="M39" i="20"/>
  <c r="M265" i="20"/>
  <c r="M88" i="20"/>
  <c r="M314" i="20"/>
  <c r="M76" i="20"/>
  <c r="M302" i="20"/>
  <c r="M124" i="20"/>
  <c r="M350" i="20"/>
  <c r="M148" i="20"/>
  <c r="M374" i="20"/>
  <c r="M315" i="20"/>
  <c r="M89" i="20"/>
  <c r="M385" i="20"/>
  <c r="M159" i="20"/>
  <c r="M183" i="12"/>
  <c r="M129" i="12"/>
  <c r="M130" i="12" s="1"/>
  <c r="M123" i="20"/>
  <c r="M349" i="20"/>
  <c r="M60" i="20"/>
  <c r="M286" i="20"/>
  <c r="M136" i="20"/>
  <c r="M362" i="20"/>
  <c r="M112" i="20"/>
  <c r="M338" i="20"/>
  <c r="M388" i="20"/>
  <c r="M162" i="20"/>
  <c r="K297" i="20"/>
  <c r="K410" i="20" s="1"/>
  <c r="K401" i="20"/>
  <c r="K183" i="20"/>
  <c r="K221" i="20"/>
  <c r="K222" i="20" s="1"/>
  <c r="K223" i="20" s="1"/>
  <c r="K216" i="20" s="1"/>
  <c r="K174" i="20"/>
  <c r="L70" i="20"/>
  <c r="L71" i="20" s="1"/>
  <c r="K185" i="20"/>
  <c r="K176" i="20"/>
  <c r="K447" i="20"/>
  <c r="K448" i="20" s="1"/>
  <c r="K449" i="20" s="1"/>
  <c r="K442" i="20" s="1"/>
  <c r="K400" i="20"/>
  <c r="K273" i="20"/>
  <c r="K409" i="20" s="1"/>
  <c r="O228" i="12"/>
  <c r="P5" i="12"/>
  <c r="P9" i="12" s="1"/>
  <c r="N24" i="17"/>
  <c r="I341" i="17"/>
  <c r="I138" i="17" s="1"/>
  <c r="L429" i="17"/>
  <c r="L200" i="17" s="1"/>
  <c r="K311" i="17"/>
  <c r="K109" i="17" s="1"/>
  <c r="I371" i="17"/>
  <c r="I167" i="17" s="1"/>
  <c r="J304" i="17"/>
  <c r="J108" i="17" s="1"/>
  <c r="I267" i="17"/>
  <c r="I78" i="17" s="1"/>
  <c r="H334" i="17"/>
  <c r="H137" i="17" s="1"/>
  <c r="H145" i="17" s="1"/>
  <c r="H147" i="17" s="1"/>
  <c r="H148" i="17" s="1"/>
  <c r="K244" i="17"/>
  <c r="K50" i="17" s="1"/>
  <c r="K274" i="17"/>
  <c r="K79" i="17" s="1"/>
  <c r="L236" i="17"/>
  <c r="L238" i="17" s="1"/>
  <c r="M361" i="17"/>
  <c r="M363" i="17" s="1"/>
  <c r="I296" i="17"/>
  <c r="I298" i="17" s="1"/>
  <c r="L134" i="17"/>
  <c r="J376" i="17"/>
  <c r="L347" i="17"/>
  <c r="L349" i="17" s="1"/>
  <c r="I221" i="17"/>
  <c r="O236" i="20"/>
  <c r="N441" i="20"/>
  <c r="I407" i="17"/>
  <c r="I409" i="17" s="1"/>
  <c r="M250" i="17"/>
  <c r="M252" i="17" s="1"/>
  <c r="J229" i="17"/>
  <c r="J231" i="17" s="1"/>
  <c r="I332" i="17"/>
  <c r="I259" i="17"/>
  <c r="I261" i="17" s="1"/>
  <c r="L317" i="17"/>
  <c r="L319" i="17" s="1"/>
  <c r="J339" i="17"/>
  <c r="K421" i="17"/>
  <c r="K423" i="17" s="1"/>
  <c r="M287" i="17"/>
  <c r="M289" i="17" s="1"/>
  <c r="L194" i="17"/>
  <c r="L44" i="17"/>
  <c r="M324" i="17"/>
  <c r="M326" i="17" s="1"/>
  <c r="M427" i="17"/>
  <c r="K302" i="17"/>
  <c r="L242" i="17"/>
  <c r="J415" i="17"/>
  <c r="J198" i="17" s="1"/>
  <c r="L354" i="17"/>
  <c r="L356" i="17" s="1"/>
  <c r="K383" i="17"/>
  <c r="M398" i="17"/>
  <c r="M400" i="17" s="1"/>
  <c r="L74" i="17"/>
  <c r="J265" i="17"/>
  <c r="L280" i="17"/>
  <c r="L282" i="17" s="1"/>
  <c r="H223" i="17"/>
  <c r="H47" i="17" s="1"/>
  <c r="H55" i="17" s="1"/>
  <c r="H57" i="17" s="1"/>
  <c r="H58" i="17" s="1"/>
  <c r="L164" i="17"/>
  <c r="L104" i="17"/>
  <c r="M183" i="17"/>
  <c r="M189" i="17"/>
  <c r="M153" i="17"/>
  <c r="M159" i="17"/>
  <c r="M124" i="17"/>
  <c r="M95" i="17"/>
  <c r="M67" i="17"/>
  <c r="M33" i="17"/>
  <c r="M39" i="17"/>
  <c r="M203" i="17"/>
  <c r="M113" i="17"/>
  <c r="M184" i="17"/>
  <c r="M154" i="17"/>
  <c r="M125" i="17"/>
  <c r="M97" i="17"/>
  <c r="M63" i="17"/>
  <c r="M69" i="17"/>
  <c r="M34" i="17"/>
  <c r="M52" i="17"/>
  <c r="M155" i="17"/>
  <c r="M129" i="17"/>
  <c r="M35" i="17"/>
  <c r="M142" i="17"/>
  <c r="M172" i="17"/>
  <c r="N28" i="17"/>
  <c r="M157" i="17"/>
  <c r="M93" i="17"/>
  <c r="M64" i="17"/>
  <c r="M37" i="17"/>
  <c r="M143" i="17"/>
  <c r="M173" i="17"/>
  <c r="M187" i="17"/>
  <c r="M65" i="17"/>
  <c r="M127" i="17"/>
  <c r="M99" i="17"/>
  <c r="M83" i="17"/>
  <c r="M53" i="17"/>
  <c r="M123" i="17"/>
  <c r="M94" i="17"/>
  <c r="M43" i="17"/>
  <c r="M82" i="17"/>
  <c r="M202" i="17"/>
  <c r="M112" i="17"/>
  <c r="M185" i="17"/>
  <c r="M193" i="17"/>
  <c r="M41" i="17"/>
  <c r="M102" i="17"/>
  <c r="M161" i="17"/>
  <c r="M133" i="17"/>
  <c r="M191" i="17"/>
  <c r="M101" i="17"/>
  <c r="M73" i="17"/>
  <c r="M162" i="17"/>
  <c r="M192" i="17"/>
  <c r="M42" i="17"/>
  <c r="M132" i="17"/>
  <c r="M72" i="17"/>
  <c r="M163" i="17"/>
  <c r="M71" i="17"/>
  <c r="M103" i="17"/>
  <c r="M131" i="17"/>
  <c r="L272" i="17"/>
  <c r="L309" i="17"/>
  <c r="I378" i="17"/>
  <c r="I168" i="17" s="1"/>
  <c r="M435" i="17"/>
  <c r="M437" i="17" s="1"/>
  <c r="J385" i="17"/>
  <c r="J169" i="17" s="1"/>
  <c r="K413" i="17"/>
  <c r="J369" i="17"/>
  <c r="M391" i="17"/>
  <c r="M393" i="17" s="1"/>
  <c r="Q17" i="21" l="1"/>
  <c r="Q142" i="21"/>
  <c r="Q42" i="21"/>
  <c r="Q117" i="21"/>
  <c r="Q92" i="21"/>
  <c r="Q67" i="21"/>
  <c r="R9" i="20"/>
  <c r="Q13" i="20"/>
  <c r="L143" i="20"/>
  <c r="L187" i="20" s="1"/>
  <c r="M236" i="12"/>
  <c r="M237" i="12" s="1"/>
  <c r="M229" i="12" s="1"/>
  <c r="M170" i="12"/>
  <c r="M192" i="12" s="1"/>
  <c r="O146" i="12"/>
  <c r="P146" i="21" s="1"/>
  <c r="O150" i="12"/>
  <c r="P150" i="21" s="1"/>
  <c r="O138" i="12"/>
  <c r="P138" i="21" s="1"/>
  <c r="O144" i="12"/>
  <c r="P144" i="21" s="1"/>
  <c r="O148" i="12"/>
  <c r="P148" i="21" s="1"/>
  <c r="O152" i="12"/>
  <c r="P152" i="21" s="1"/>
  <c r="O140" i="12"/>
  <c r="P140" i="21" s="1"/>
  <c r="O143" i="12"/>
  <c r="P143" i="21" s="1"/>
  <c r="O147" i="12"/>
  <c r="P147" i="21" s="1"/>
  <c r="O151" i="12"/>
  <c r="P151" i="21" s="1"/>
  <c r="O137" i="12"/>
  <c r="P137" i="21" s="1"/>
  <c r="O145" i="12"/>
  <c r="P145" i="21" s="1"/>
  <c r="O122" i="12"/>
  <c r="P121" i="21" s="1"/>
  <c r="O126" i="12"/>
  <c r="P125" i="21" s="1"/>
  <c r="O114" i="12"/>
  <c r="P113" i="21" s="1"/>
  <c r="O139" i="12"/>
  <c r="P139" i="21" s="1"/>
  <c r="O119" i="12"/>
  <c r="P118" i="21" s="1"/>
  <c r="O120" i="12"/>
  <c r="P119" i="21" s="1"/>
  <c r="O124" i="12"/>
  <c r="P123" i="21" s="1"/>
  <c r="O128" i="12"/>
  <c r="P127" i="21" s="1"/>
  <c r="O116" i="12"/>
  <c r="P115" i="21" s="1"/>
  <c r="O96" i="12"/>
  <c r="P94" i="21" s="1"/>
  <c r="O100" i="12"/>
  <c r="P98" i="21" s="1"/>
  <c r="O104" i="12"/>
  <c r="P102" i="21" s="1"/>
  <c r="O141" i="12"/>
  <c r="P141" i="21" s="1"/>
  <c r="O149" i="12"/>
  <c r="P149" i="21" s="1"/>
  <c r="O135" i="12"/>
  <c r="P135" i="21" s="1"/>
  <c r="O123" i="12"/>
  <c r="P122" i="21" s="1"/>
  <c r="O127" i="12"/>
  <c r="P126" i="21" s="1"/>
  <c r="O113" i="12"/>
  <c r="P112" i="21" s="1"/>
  <c r="O115" i="12"/>
  <c r="P114" i="21" s="1"/>
  <c r="O111" i="12"/>
  <c r="P110" i="21" s="1"/>
  <c r="O97" i="12"/>
  <c r="P95" i="21" s="1"/>
  <c r="O99" i="12"/>
  <c r="P97" i="21" s="1"/>
  <c r="O89" i="12"/>
  <c r="P87" i="21" s="1"/>
  <c r="O91" i="12"/>
  <c r="P89" i="21" s="1"/>
  <c r="O87" i="12"/>
  <c r="P85" i="21" s="1"/>
  <c r="O121" i="12"/>
  <c r="P120" i="21" s="1"/>
  <c r="O93" i="12"/>
  <c r="P91" i="21" s="1"/>
  <c r="O98" i="12"/>
  <c r="P96" i="21" s="1"/>
  <c r="O71" i="12"/>
  <c r="P68" i="21" s="1"/>
  <c r="O75" i="12"/>
  <c r="P72" i="21" s="1"/>
  <c r="O79" i="12"/>
  <c r="P76" i="21" s="1"/>
  <c r="O65" i="12"/>
  <c r="P62" i="21" s="1"/>
  <c r="O117" i="12"/>
  <c r="P116" i="21" s="1"/>
  <c r="O95" i="12"/>
  <c r="P93" i="21" s="1"/>
  <c r="O102" i="12"/>
  <c r="P100" i="21" s="1"/>
  <c r="O90" i="12"/>
  <c r="P88" i="21" s="1"/>
  <c r="O125" i="12"/>
  <c r="P124" i="21" s="1"/>
  <c r="O103" i="12"/>
  <c r="P101" i="21" s="1"/>
  <c r="O72" i="12"/>
  <c r="P69" i="21" s="1"/>
  <c r="O74" i="12"/>
  <c r="P71" i="21" s="1"/>
  <c r="O67" i="12"/>
  <c r="P64" i="21" s="1"/>
  <c r="O47" i="12"/>
  <c r="P43" i="21" s="1"/>
  <c r="O73" i="12"/>
  <c r="P70" i="21" s="1"/>
  <c r="O80" i="12"/>
  <c r="P77" i="21" s="1"/>
  <c r="O63" i="12"/>
  <c r="P60" i="21" s="1"/>
  <c r="O45" i="12"/>
  <c r="P41" i="21" s="1"/>
  <c r="O49" i="12"/>
  <c r="P45" i="21" s="1"/>
  <c r="O53" i="12"/>
  <c r="P49" i="21" s="1"/>
  <c r="O43" i="12"/>
  <c r="P39" i="21" s="1"/>
  <c r="O39" i="12"/>
  <c r="P35" i="21" s="1"/>
  <c r="O21" i="12"/>
  <c r="P16" i="21" s="1"/>
  <c r="O92" i="12"/>
  <c r="P90" i="21" s="1"/>
  <c r="O77" i="12"/>
  <c r="P74" i="21" s="1"/>
  <c r="O66" i="12"/>
  <c r="P63" i="21" s="1"/>
  <c r="O68" i="12"/>
  <c r="P65" i="21" s="1"/>
  <c r="O48" i="12"/>
  <c r="P44" i="21" s="1"/>
  <c r="O54" i="12"/>
  <c r="P50" i="21" s="1"/>
  <c r="O56" i="12"/>
  <c r="P52" i="21" s="1"/>
  <c r="O28" i="12"/>
  <c r="P23" i="21" s="1"/>
  <c r="O32" i="12"/>
  <c r="P27" i="21" s="1"/>
  <c r="O41" i="12"/>
  <c r="P37" i="21" s="1"/>
  <c r="O101" i="12"/>
  <c r="P99" i="21" s="1"/>
  <c r="O69" i="12"/>
  <c r="P66" i="21" s="1"/>
  <c r="O76" i="12"/>
  <c r="P73" i="21" s="1"/>
  <c r="O55" i="12"/>
  <c r="P51" i="21" s="1"/>
  <c r="O42" i="12"/>
  <c r="P38" i="21" s="1"/>
  <c r="O26" i="12"/>
  <c r="P21" i="21" s="1"/>
  <c r="O30" i="12"/>
  <c r="P25" i="21" s="1"/>
  <c r="O18" i="12"/>
  <c r="P13" i="21" s="1"/>
  <c r="O29" i="12"/>
  <c r="P24" i="21" s="1"/>
  <c r="O19" i="12"/>
  <c r="P14" i="21" s="1"/>
  <c r="O15" i="12"/>
  <c r="P10" i="21" s="1"/>
  <c r="O78" i="12"/>
  <c r="P75" i="21" s="1"/>
  <c r="O27" i="12"/>
  <c r="P22" i="21" s="1"/>
  <c r="O50" i="12"/>
  <c r="P46" i="21" s="1"/>
  <c r="O52" i="12"/>
  <c r="P48" i="21" s="1"/>
  <c r="O44" i="12"/>
  <c r="P40" i="21" s="1"/>
  <c r="O24" i="12"/>
  <c r="P19" i="21" s="1"/>
  <c r="O25" i="12"/>
  <c r="P20" i="21" s="1"/>
  <c r="O20" i="12"/>
  <c r="P15" i="21" s="1"/>
  <c r="O51" i="12"/>
  <c r="P47" i="21" s="1"/>
  <c r="O23" i="12"/>
  <c r="P18" i="21" s="1"/>
  <c r="O31" i="12"/>
  <c r="P26" i="21" s="1"/>
  <c r="O17" i="12"/>
  <c r="P12" i="21" s="1"/>
  <c r="I175" i="17"/>
  <c r="I177" i="17" s="1"/>
  <c r="I178" i="17" s="1"/>
  <c r="N86" i="21"/>
  <c r="N103" i="21" s="1"/>
  <c r="N136" i="21"/>
  <c r="N153" i="21" s="1"/>
  <c r="N36" i="21"/>
  <c r="N53" i="21" s="1"/>
  <c r="N111" i="21"/>
  <c r="N128" i="21" s="1"/>
  <c r="N32" i="20"/>
  <c r="N258" i="20"/>
  <c r="N329" i="20"/>
  <c r="N103" i="20"/>
  <c r="N354" i="20"/>
  <c r="N128" i="20"/>
  <c r="N378" i="20"/>
  <c r="N152" i="20"/>
  <c r="N306" i="20"/>
  <c r="N80" i="20"/>
  <c r="N151" i="20"/>
  <c r="N377" i="20"/>
  <c r="N330" i="20"/>
  <c r="N104" i="20"/>
  <c r="N376" i="20"/>
  <c r="N150" i="20"/>
  <c r="N282" i="20"/>
  <c r="N56" i="20"/>
  <c r="N328" i="20"/>
  <c r="N102" i="20"/>
  <c r="N61" i="21"/>
  <c r="N78" i="21" s="1"/>
  <c r="N353" i="20"/>
  <c r="N127" i="20"/>
  <c r="N126" i="20"/>
  <c r="N352" i="20"/>
  <c r="N11" i="21"/>
  <c r="N28" i="21" s="1"/>
  <c r="N256" i="20"/>
  <c r="N30" i="20"/>
  <c r="N304" i="20"/>
  <c r="N78" i="20"/>
  <c r="N257" i="20"/>
  <c r="N31" i="20"/>
  <c r="N305" i="20"/>
  <c r="N79" i="20"/>
  <c r="N54" i="20"/>
  <c r="N280" i="20"/>
  <c r="N55" i="20"/>
  <c r="N281" i="20"/>
  <c r="O26" i="3"/>
  <c r="N29" i="3"/>
  <c r="N35" i="3" s="1"/>
  <c r="N38" i="3" s="1"/>
  <c r="N41" i="3" s="1"/>
  <c r="N58" i="3"/>
  <c r="O55" i="3"/>
  <c r="N234" i="12"/>
  <c r="N235" i="12" s="1"/>
  <c r="P299" i="3"/>
  <c r="P291" i="3"/>
  <c r="P283" i="3"/>
  <c r="P270" i="3"/>
  <c r="P262" i="3"/>
  <c r="P254" i="3"/>
  <c r="P246" i="3"/>
  <c r="P238" i="3"/>
  <c r="P230" i="3"/>
  <c r="Q321" i="3"/>
  <c r="R12" i="3"/>
  <c r="P214" i="3"/>
  <c r="P222" i="3"/>
  <c r="L402" i="20"/>
  <c r="L178" i="20"/>
  <c r="M70" i="20"/>
  <c r="M71" i="20" s="1"/>
  <c r="L186" i="20"/>
  <c r="L177" i="20"/>
  <c r="L175" i="20"/>
  <c r="L184" i="20"/>
  <c r="M368" i="20"/>
  <c r="M46" i="20"/>
  <c r="M47" i="20" s="1"/>
  <c r="L400" i="20"/>
  <c r="L273" i="20"/>
  <c r="L409" i="20" s="1"/>
  <c r="L447" i="20"/>
  <c r="L448" i="20" s="1"/>
  <c r="L449" i="20" s="1"/>
  <c r="L442" i="20" s="1"/>
  <c r="M163" i="12"/>
  <c r="M172" i="12"/>
  <c r="M344" i="20"/>
  <c r="L405" i="20"/>
  <c r="L393" i="20"/>
  <c r="L414" i="20" s="1"/>
  <c r="N269" i="20"/>
  <c r="N43" i="20"/>
  <c r="N338" i="20"/>
  <c r="N112" i="20"/>
  <c r="N360" i="20"/>
  <c r="N134" i="20"/>
  <c r="N44" i="20"/>
  <c r="N270" i="20"/>
  <c r="N179" i="12"/>
  <c r="N33" i="12"/>
  <c r="N34" i="12" s="1"/>
  <c r="N27" i="20"/>
  <c r="N253" i="20"/>
  <c r="N291" i="20"/>
  <c r="N65" i="20"/>
  <c r="N337" i="20"/>
  <c r="N111" i="20"/>
  <c r="N57" i="20"/>
  <c r="N283" i="20"/>
  <c r="N266" i="20"/>
  <c r="N40" i="20"/>
  <c r="N181" i="12"/>
  <c r="N81" i="12"/>
  <c r="N82" i="12" s="1"/>
  <c r="N75" i="20"/>
  <c r="N301" i="20"/>
  <c r="N287" i="20"/>
  <c r="N61" i="20"/>
  <c r="N336" i="20"/>
  <c r="N110" i="20"/>
  <c r="N358" i="20"/>
  <c r="N132" i="20"/>
  <c r="N260" i="20"/>
  <c r="N34" i="20"/>
  <c r="N36" i="20"/>
  <c r="N262" i="20"/>
  <c r="N33" i="20"/>
  <c r="N259" i="20"/>
  <c r="N335" i="20"/>
  <c r="N109" i="20"/>
  <c r="O14" i="12"/>
  <c r="P9" i="21" s="1"/>
  <c r="O38" i="12"/>
  <c r="P34" i="21" s="1"/>
  <c r="O62" i="12"/>
  <c r="P59" i="21" s="1"/>
  <c r="O110" i="12"/>
  <c r="P109" i="21" s="1"/>
  <c r="P10" i="12"/>
  <c r="P14" i="20" s="1"/>
  <c r="O86" i="12"/>
  <c r="P84" i="21" s="1"/>
  <c r="O134" i="12"/>
  <c r="P134" i="21" s="1"/>
  <c r="N356" i="20"/>
  <c r="N130" i="20"/>
  <c r="M166" i="20"/>
  <c r="M167" i="20" s="1"/>
  <c r="M142" i="20"/>
  <c r="M143" i="20" s="1"/>
  <c r="L188" i="20"/>
  <c r="L179" i="20"/>
  <c r="M94" i="20"/>
  <c r="M95" i="20" s="1"/>
  <c r="M164" i="12"/>
  <c r="M173" i="12"/>
  <c r="L345" i="20"/>
  <c r="L412" i="20" s="1"/>
  <c r="L403" i="20"/>
  <c r="L297" i="20"/>
  <c r="L410" i="20" s="1"/>
  <c r="L401" i="20"/>
  <c r="N41" i="20"/>
  <c r="N267" i="20"/>
  <c r="N28" i="20"/>
  <c r="N254" i="20"/>
  <c r="N388" i="20"/>
  <c r="N162" i="20"/>
  <c r="N334" i="20"/>
  <c r="N108" i="20"/>
  <c r="N350" i="20"/>
  <c r="N124" i="20"/>
  <c r="N39" i="20"/>
  <c r="N265" i="20"/>
  <c r="N319" i="20"/>
  <c r="N93" i="20"/>
  <c r="N68" i="20"/>
  <c r="N294" i="20"/>
  <c r="N164" i="20"/>
  <c r="N390" i="20"/>
  <c r="N263" i="20"/>
  <c r="N37" i="20"/>
  <c r="N89" i="20"/>
  <c r="N315" i="20"/>
  <c r="N317" i="20"/>
  <c r="N91" i="20"/>
  <c r="N340" i="20"/>
  <c r="N114" i="20"/>
  <c r="N380" i="20"/>
  <c r="N154" i="20"/>
  <c r="N271" i="20"/>
  <c r="N45" i="20"/>
  <c r="N292" i="20"/>
  <c r="N66" i="20"/>
  <c r="N313" i="20"/>
  <c r="N87" i="20"/>
  <c r="N310" i="20"/>
  <c r="N84" i="20"/>
  <c r="N365" i="20"/>
  <c r="N139" i="20"/>
  <c r="N391" i="20"/>
  <c r="N165" i="20"/>
  <c r="M296" i="20"/>
  <c r="M392" i="20"/>
  <c r="L369" i="20"/>
  <c r="L413" i="20" s="1"/>
  <c r="L404" i="20"/>
  <c r="N359" i="20"/>
  <c r="N133" i="20"/>
  <c r="M174" i="12"/>
  <c r="M165" i="12"/>
  <c r="M272" i="20"/>
  <c r="M320" i="20"/>
  <c r="M118" i="20"/>
  <c r="M119" i="20" s="1"/>
  <c r="L176" i="20"/>
  <c r="L185" i="20"/>
  <c r="N184" i="12"/>
  <c r="N373" i="20"/>
  <c r="N153" i="12"/>
  <c r="N154" i="12" s="1"/>
  <c r="N147" i="20"/>
  <c r="N76" i="20"/>
  <c r="N302" i="20"/>
  <c r="N115" i="20"/>
  <c r="N341" i="20"/>
  <c r="N314" i="20"/>
  <c r="N88" i="20"/>
  <c r="N180" i="12"/>
  <c r="N51" i="20"/>
  <c r="N57" i="12"/>
  <c r="N58" i="12" s="1"/>
  <c r="N277" i="20"/>
  <c r="N342" i="20"/>
  <c r="N116" i="20"/>
  <c r="N367" i="20"/>
  <c r="N141" i="20"/>
  <c r="N386" i="20"/>
  <c r="N160" i="20"/>
  <c r="N58" i="20"/>
  <c r="N284" i="20"/>
  <c r="N153" i="20"/>
  <c r="N379" i="20"/>
  <c r="N86" i="20"/>
  <c r="N312" i="20"/>
  <c r="N268" i="20"/>
  <c r="N42" i="20"/>
  <c r="N364" i="20"/>
  <c r="N138" i="20"/>
  <c r="N389" i="20"/>
  <c r="N163" i="20"/>
  <c r="N385" i="20"/>
  <c r="N159" i="20"/>
  <c r="N387" i="20"/>
  <c r="N161" i="20"/>
  <c r="N105" i="20"/>
  <c r="N331" i="20"/>
  <c r="N295" i="20"/>
  <c r="N69" i="20"/>
  <c r="N278" i="20"/>
  <c r="N52" i="20"/>
  <c r="N326" i="20"/>
  <c r="N100" i="20"/>
  <c r="N148" i="20"/>
  <c r="N374" i="20"/>
  <c r="N308" i="20"/>
  <c r="N82" i="20"/>
  <c r="M161" i="12"/>
  <c r="M188" i="12" s="1"/>
  <c r="N81" i="20"/>
  <c r="N307" i="20"/>
  <c r="N182" i="12"/>
  <c r="N325" i="20"/>
  <c r="N99" i="20"/>
  <c r="N105" i="12"/>
  <c r="N106" i="12" s="1"/>
  <c r="N288" i="20"/>
  <c r="N62" i="20"/>
  <c r="N318" i="20"/>
  <c r="N92" i="20"/>
  <c r="N140" i="20"/>
  <c r="N366" i="20"/>
  <c r="N332" i="20"/>
  <c r="N106" i="20"/>
  <c r="N264" i="20"/>
  <c r="N38" i="20"/>
  <c r="N67" i="20"/>
  <c r="N293" i="20"/>
  <c r="N90" i="20"/>
  <c r="N316" i="20"/>
  <c r="N311" i="20"/>
  <c r="N85" i="20"/>
  <c r="N363" i="20"/>
  <c r="N137" i="20"/>
  <c r="N384" i="20"/>
  <c r="N158" i="20"/>
  <c r="N290" i="20"/>
  <c r="N64" i="20"/>
  <c r="N117" i="20"/>
  <c r="N343" i="20"/>
  <c r="N362" i="20"/>
  <c r="N136" i="20"/>
  <c r="N383" i="20"/>
  <c r="N157" i="20"/>
  <c r="N129" i="20"/>
  <c r="N355" i="20"/>
  <c r="N289" i="20"/>
  <c r="N63" i="20"/>
  <c r="N60" i="20"/>
  <c r="N286" i="20"/>
  <c r="N183" i="12"/>
  <c r="N129" i="12"/>
  <c r="N130" i="12" s="1"/>
  <c r="N349" i="20"/>
  <c r="N123" i="20"/>
  <c r="N113" i="20"/>
  <c r="N339" i="20"/>
  <c r="N361" i="20"/>
  <c r="N135" i="20"/>
  <c r="N156" i="20"/>
  <c r="N382" i="20"/>
  <c r="M171" i="12"/>
  <c r="M162" i="12"/>
  <c r="M166" i="12"/>
  <c r="M175" i="12"/>
  <c r="L221" i="20"/>
  <c r="L222" i="20" s="1"/>
  <c r="L223" i="20" s="1"/>
  <c r="L216" i="20" s="1"/>
  <c r="L183" i="20"/>
  <c r="L174" i="20"/>
  <c r="I260" i="17"/>
  <c r="I77" i="17" s="1"/>
  <c r="I85" i="17" s="1"/>
  <c r="I87" i="17" s="1"/>
  <c r="I88" i="17" s="1"/>
  <c r="I408" i="17"/>
  <c r="I197" i="17" s="1"/>
  <c r="I205" i="17" s="1"/>
  <c r="I207" i="17" s="1"/>
  <c r="I208" i="17" s="1"/>
  <c r="I297" i="17"/>
  <c r="I107" i="17" s="1"/>
  <c r="I115" i="17" s="1"/>
  <c r="I117" i="17" s="1"/>
  <c r="I118" i="17" s="1"/>
  <c r="O24" i="17"/>
  <c r="Q5" i="12"/>
  <c r="Q9" i="12" s="1"/>
  <c r="L355" i="17"/>
  <c r="L140" i="17" s="1"/>
  <c r="M392" i="17"/>
  <c r="M170" i="17" s="1"/>
  <c r="L318" i="17"/>
  <c r="L110" i="17" s="1"/>
  <c r="M436" i="17"/>
  <c r="M201" i="17" s="1"/>
  <c r="M362" i="17"/>
  <c r="M141" i="17" s="1"/>
  <c r="L310" i="17"/>
  <c r="L312" i="17" s="1"/>
  <c r="M74" i="17"/>
  <c r="M428" i="17"/>
  <c r="M430" i="17" s="1"/>
  <c r="N286" i="17"/>
  <c r="J340" i="17"/>
  <c r="J342" i="17" s="1"/>
  <c r="M164" i="17"/>
  <c r="J266" i="17"/>
  <c r="J268" i="17" s="1"/>
  <c r="J377" i="17"/>
  <c r="J379" i="17" s="1"/>
  <c r="M235" i="17"/>
  <c r="J370" i="17"/>
  <c r="J372" i="17" s="1"/>
  <c r="N434" i="17"/>
  <c r="L273" i="17"/>
  <c r="L275" i="17" s="1"/>
  <c r="M134" i="17"/>
  <c r="K303" i="17"/>
  <c r="K305" i="17" s="1"/>
  <c r="M325" i="17"/>
  <c r="M111" i="17" s="1"/>
  <c r="M288" i="17"/>
  <c r="M81" i="17" s="1"/>
  <c r="M316" i="17"/>
  <c r="I333" i="17"/>
  <c r="I335" i="17" s="1"/>
  <c r="J230" i="17"/>
  <c r="J48" i="17" s="1"/>
  <c r="M251" i="17"/>
  <c r="M51" i="17" s="1"/>
  <c r="J406" i="17"/>
  <c r="I222" i="17"/>
  <c r="I224" i="17" s="1"/>
  <c r="L348" i="17"/>
  <c r="L139" i="17" s="1"/>
  <c r="J295" i="17"/>
  <c r="N360" i="17"/>
  <c r="M44" i="17"/>
  <c r="M279" i="17"/>
  <c r="M104" i="17"/>
  <c r="L281" i="17"/>
  <c r="L80" i="17" s="1"/>
  <c r="N397" i="17"/>
  <c r="L420" i="17"/>
  <c r="N249" i="17"/>
  <c r="P236" i="20"/>
  <c r="Q236" i="20" s="1"/>
  <c r="R236" i="20" s="1"/>
  <c r="S236" i="20" s="1"/>
  <c r="T236" i="20" s="1"/>
  <c r="U236" i="20" s="1"/>
  <c r="V236" i="20" s="1"/>
  <c r="W236" i="20" s="1"/>
  <c r="X236" i="20" s="1"/>
  <c r="Y236" i="20" s="1"/>
  <c r="O441" i="20"/>
  <c r="M346" i="17"/>
  <c r="N390" i="17"/>
  <c r="K414" i="17"/>
  <c r="K416" i="17" s="1"/>
  <c r="O28" i="17"/>
  <c r="N184" i="17"/>
  <c r="N154" i="17"/>
  <c r="N125" i="17"/>
  <c r="N97" i="17"/>
  <c r="N63" i="17"/>
  <c r="N69" i="17"/>
  <c r="N34" i="17"/>
  <c r="N83" i="17"/>
  <c r="N202" i="17"/>
  <c r="N112" i="17"/>
  <c r="N185" i="17"/>
  <c r="N155" i="17"/>
  <c r="N127" i="17"/>
  <c r="N93" i="17"/>
  <c r="N99" i="17"/>
  <c r="N64" i="17"/>
  <c r="N35" i="17"/>
  <c r="N52" i="17"/>
  <c r="N203" i="17"/>
  <c r="N113" i="17"/>
  <c r="N157" i="17"/>
  <c r="N37" i="17"/>
  <c r="N53" i="17"/>
  <c r="N183" i="17"/>
  <c r="N159" i="17"/>
  <c r="N123" i="17"/>
  <c r="N94" i="17"/>
  <c r="N65" i="17"/>
  <c r="N39" i="17"/>
  <c r="N142" i="17"/>
  <c r="N172" i="17"/>
  <c r="N153" i="17"/>
  <c r="N129" i="17"/>
  <c r="N189" i="17"/>
  <c r="N67" i="17"/>
  <c r="N124" i="17"/>
  <c r="N95" i="17"/>
  <c r="N187" i="17"/>
  <c r="N33" i="17"/>
  <c r="N143" i="17"/>
  <c r="N43" i="17"/>
  <c r="N82" i="17"/>
  <c r="N173" i="17"/>
  <c r="N133" i="17"/>
  <c r="N161" i="17"/>
  <c r="N193" i="17"/>
  <c r="N102" i="17"/>
  <c r="N191" i="17"/>
  <c r="N41" i="17"/>
  <c r="N132" i="17"/>
  <c r="N162" i="17"/>
  <c r="N71" i="17"/>
  <c r="N101" i="17"/>
  <c r="N192" i="17"/>
  <c r="N42" i="17"/>
  <c r="N73" i="17"/>
  <c r="N163" i="17"/>
  <c r="N103" i="17"/>
  <c r="N72" i="17"/>
  <c r="N131" i="17"/>
  <c r="M194" i="17"/>
  <c r="M399" i="17"/>
  <c r="M171" i="17" s="1"/>
  <c r="K384" i="17"/>
  <c r="K386" i="17" s="1"/>
  <c r="M353" i="17"/>
  <c r="L243" i="17"/>
  <c r="L245" i="17" s="1"/>
  <c r="N323" i="17"/>
  <c r="K422" i="17"/>
  <c r="K199" i="17" s="1"/>
  <c r="J258" i="17"/>
  <c r="K228" i="17"/>
  <c r="L237" i="17"/>
  <c r="L49" i="17" s="1"/>
  <c r="R17" i="21" l="1"/>
  <c r="R117" i="21"/>
  <c r="R92" i="21"/>
  <c r="R142" i="21"/>
  <c r="R67" i="21"/>
  <c r="R42" i="21"/>
  <c r="S9" i="20"/>
  <c r="R13" i="20"/>
  <c r="N236" i="12"/>
  <c r="N237" i="12" s="1"/>
  <c r="N229" i="12" s="1"/>
  <c r="P143" i="12"/>
  <c r="Q143" i="21" s="1"/>
  <c r="P147" i="12"/>
  <c r="Q147" i="21" s="1"/>
  <c r="P151" i="12"/>
  <c r="Q151" i="21" s="1"/>
  <c r="P137" i="12"/>
  <c r="Q137" i="21" s="1"/>
  <c r="P141" i="12"/>
  <c r="Q141" i="21" s="1"/>
  <c r="P145" i="12"/>
  <c r="Q145" i="21" s="1"/>
  <c r="P149" i="12"/>
  <c r="Q149" i="21" s="1"/>
  <c r="P139" i="12"/>
  <c r="Q139" i="21" s="1"/>
  <c r="P135" i="12"/>
  <c r="Q135" i="21" s="1"/>
  <c r="P117" i="12"/>
  <c r="Q116" i="21" s="1"/>
  <c r="P144" i="12"/>
  <c r="Q144" i="21" s="1"/>
  <c r="P148" i="12"/>
  <c r="Q148" i="21" s="1"/>
  <c r="P152" i="12"/>
  <c r="Q152" i="21" s="1"/>
  <c r="P140" i="12"/>
  <c r="Q140" i="21" s="1"/>
  <c r="P150" i="12"/>
  <c r="Q150" i="21" s="1"/>
  <c r="P123" i="12"/>
  <c r="Q122" i="21" s="1"/>
  <c r="P127" i="12"/>
  <c r="Q126" i="21" s="1"/>
  <c r="P113" i="12"/>
  <c r="Q112" i="21" s="1"/>
  <c r="P138" i="12"/>
  <c r="Q138" i="21" s="1"/>
  <c r="P121" i="12"/>
  <c r="Q120" i="21" s="1"/>
  <c r="P125" i="12"/>
  <c r="Q124" i="21" s="1"/>
  <c r="P115" i="12"/>
  <c r="Q114" i="21" s="1"/>
  <c r="P111" i="12"/>
  <c r="Q110" i="21" s="1"/>
  <c r="P93" i="12"/>
  <c r="Q91" i="21" s="1"/>
  <c r="P97" i="12"/>
  <c r="Q95" i="21" s="1"/>
  <c r="P101" i="12"/>
  <c r="Q99" i="21" s="1"/>
  <c r="P119" i="12"/>
  <c r="Q118" i="21" s="1"/>
  <c r="P120" i="12"/>
  <c r="Q119" i="21" s="1"/>
  <c r="P124" i="12"/>
  <c r="Q123" i="21" s="1"/>
  <c r="P128" i="12"/>
  <c r="Q127" i="21" s="1"/>
  <c r="P116" i="12"/>
  <c r="Q115" i="21" s="1"/>
  <c r="P114" i="12"/>
  <c r="Q113" i="21" s="1"/>
  <c r="P95" i="12"/>
  <c r="Q93" i="21" s="1"/>
  <c r="P102" i="12"/>
  <c r="Q100" i="21" s="1"/>
  <c r="P104" i="12"/>
  <c r="Q102" i="21" s="1"/>
  <c r="P90" i="12"/>
  <c r="Q88" i="21" s="1"/>
  <c r="P146" i="12"/>
  <c r="Q146" i="21" s="1"/>
  <c r="P126" i="12"/>
  <c r="Q125" i="21" s="1"/>
  <c r="P96" i="12"/>
  <c r="Q94" i="21" s="1"/>
  <c r="P103" i="12"/>
  <c r="Q101" i="21" s="1"/>
  <c r="P92" i="12"/>
  <c r="Q90" i="21" s="1"/>
  <c r="P72" i="12"/>
  <c r="Q69" i="21" s="1"/>
  <c r="P76" i="12"/>
  <c r="Q73" i="21" s="1"/>
  <c r="P80" i="12"/>
  <c r="Q77" i="21" s="1"/>
  <c r="P122" i="12"/>
  <c r="Q121" i="21" s="1"/>
  <c r="P98" i="12"/>
  <c r="Q96" i="21" s="1"/>
  <c r="P100" i="12"/>
  <c r="Q98" i="21" s="1"/>
  <c r="P87" i="12"/>
  <c r="Q85" i="21" s="1"/>
  <c r="P77" i="12"/>
  <c r="Q74" i="21" s="1"/>
  <c r="P79" i="12"/>
  <c r="Q76" i="21" s="1"/>
  <c r="P66" i="12"/>
  <c r="Q63" i="21" s="1"/>
  <c r="P68" i="12"/>
  <c r="Q65" i="21" s="1"/>
  <c r="P48" i="12"/>
  <c r="Q44" i="21" s="1"/>
  <c r="P99" i="12"/>
  <c r="Q97" i="21" s="1"/>
  <c r="P69" i="12"/>
  <c r="Q66" i="21" s="1"/>
  <c r="P71" i="12"/>
  <c r="Q68" i="21" s="1"/>
  <c r="P78" i="12"/>
  <c r="Q75" i="21" s="1"/>
  <c r="P50" i="12"/>
  <c r="Q46" i="21" s="1"/>
  <c r="P54" i="12"/>
  <c r="Q50" i="21" s="1"/>
  <c r="P42" i="12"/>
  <c r="Q38" i="21" s="1"/>
  <c r="P89" i="12"/>
  <c r="Q87" i="21" s="1"/>
  <c r="P91" i="12"/>
  <c r="Q89" i="21" s="1"/>
  <c r="P73" i="12"/>
  <c r="Q70" i="21" s="1"/>
  <c r="P75" i="12"/>
  <c r="Q72" i="21" s="1"/>
  <c r="P65" i="12"/>
  <c r="Q62" i="21" s="1"/>
  <c r="P63" i="12"/>
  <c r="Q60" i="21" s="1"/>
  <c r="P45" i="12"/>
  <c r="Q41" i="21" s="1"/>
  <c r="P49" i="12"/>
  <c r="Q45" i="21" s="1"/>
  <c r="P47" i="12"/>
  <c r="Q43" i="21" s="1"/>
  <c r="P52" i="12"/>
  <c r="Q48" i="21" s="1"/>
  <c r="P44" i="12"/>
  <c r="Q40" i="21" s="1"/>
  <c r="P21" i="12"/>
  <c r="Q16" i="21" s="1"/>
  <c r="P24" i="12"/>
  <c r="Q19" i="21" s="1"/>
  <c r="P25" i="12"/>
  <c r="Q20" i="21" s="1"/>
  <c r="P29" i="12"/>
  <c r="Q24" i="21" s="1"/>
  <c r="P20" i="12"/>
  <c r="Q15" i="21" s="1"/>
  <c r="P67" i="12"/>
  <c r="Q64" i="21" s="1"/>
  <c r="P51" i="12"/>
  <c r="Q47" i="21" s="1"/>
  <c r="P53" i="12"/>
  <c r="Q49" i="21" s="1"/>
  <c r="P41" i="12"/>
  <c r="Q37" i="21" s="1"/>
  <c r="P39" i="12"/>
  <c r="Q35" i="21" s="1"/>
  <c r="P23" i="12"/>
  <c r="Q18" i="21" s="1"/>
  <c r="P27" i="12"/>
  <c r="Q22" i="21" s="1"/>
  <c r="P31" i="12"/>
  <c r="Q26" i="21" s="1"/>
  <c r="P17" i="12"/>
  <c r="Q12" i="21" s="1"/>
  <c r="P26" i="12"/>
  <c r="Q21" i="21" s="1"/>
  <c r="P30" i="12"/>
  <c r="Q25" i="21" s="1"/>
  <c r="P18" i="12"/>
  <c r="Q13" i="21" s="1"/>
  <c r="P15" i="12"/>
  <c r="Q10" i="21" s="1"/>
  <c r="P56" i="12"/>
  <c r="Q52" i="21" s="1"/>
  <c r="P28" i="12"/>
  <c r="Q23" i="21" s="1"/>
  <c r="P32" i="12"/>
  <c r="Q27" i="21" s="1"/>
  <c r="P74" i="12"/>
  <c r="Q71" i="21" s="1"/>
  <c r="P55" i="12"/>
  <c r="Q51" i="21" s="1"/>
  <c r="P43" i="12"/>
  <c r="Q39" i="21" s="1"/>
  <c r="P19" i="12"/>
  <c r="Q14" i="21" s="1"/>
  <c r="O86" i="21"/>
  <c r="O103" i="21" s="1"/>
  <c r="O36" i="21"/>
  <c r="O53" i="21" s="1"/>
  <c r="O61" i="21"/>
  <c r="O78" i="21" s="1"/>
  <c r="O136" i="21"/>
  <c r="O153" i="21" s="1"/>
  <c r="O330" i="20"/>
  <c r="O104" i="20"/>
  <c r="O102" i="20"/>
  <c r="O328" i="20"/>
  <c r="O151" i="20"/>
  <c r="O377" i="20"/>
  <c r="O32" i="20"/>
  <c r="O258" i="20"/>
  <c r="O282" i="20"/>
  <c r="O56" i="20"/>
  <c r="O103" i="20"/>
  <c r="O329" i="20"/>
  <c r="O378" i="20"/>
  <c r="O152" i="20"/>
  <c r="O111" i="21"/>
  <c r="O128" i="21" s="1"/>
  <c r="O150" i="20"/>
  <c r="O376" i="20"/>
  <c r="O306" i="20"/>
  <c r="O80" i="20"/>
  <c r="O354" i="20"/>
  <c r="O128" i="20"/>
  <c r="O11" i="21"/>
  <c r="O28" i="21" s="1"/>
  <c r="O353" i="20"/>
  <c r="O127" i="20"/>
  <c r="O126" i="20"/>
  <c r="O352" i="20"/>
  <c r="O281" i="20"/>
  <c r="O55" i="20"/>
  <c r="O30" i="20"/>
  <c r="O256" i="20"/>
  <c r="O257" i="20"/>
  <c r="O31" i="20"/>
  <c r="O280" i="20"/>
  <c r="O54" i="20"/>
  <c r="O79" i="20"/>
  <c r="O305" i="20"/>
  <c r="O78" i="20"/>
  <c r="O304" i="20"/>
  <c r="P55" i="3"/>
  <c r="O58" i="3"/>
  <c r="O29" i="3"/>
  <c r="O35" i="3" s="1"/>
  <c r="O38" i="3" s="1"/>
  <c r="O41" i="3" s="1"/>
  <c r="P26" i="3"/>
  <c r="O234" i="12"/>
  <c r="O235" i="12" s="1"/>
  <c r="R321" i="3"/>
  <c r="S12" i="3"/>
  <c r="S321" i="3" s="1"/>
  <c r="Q299" i="3"/>
  <c r="Q291" i="3"/>
  <c r="Q283" i="3"/>
  <c r="Q270" i="3"/>
  <c r="Q262" i="3"/>
  <c r="R299" i="3"/>
  <c r="R291" i="3"/>
  <c r="R283" i="3"/>
  <c r="R270" i="3"/>
  <c r="R262" i="3"/>
  <c r="R254" i="3"/>
  <c r="R246" i="3"/>
  <c r="R238" i="3"/>
  <c r="R230" i="3"/>
  <c r="Q254" i="3"/>
  <c r="Q246" i="3"/>
  <c r="Q238" i="3"/>
  <c r="Q230" i="3"/>
  <c r="R214" i="3"/>
  <c r="R222" i="3"/>
  <c r="Q214" i="3"/>
  <c r="Q222" i="3"/>
  <c r="M184" i="20"/>
  <c r="M175" i="20"/>
  <c r="N174" i="12"/>
  <c r="N165" i="12"/>
  <c r="N162" i="12"/>
  <c r="N171" i="12"/>
  <c r="M321" i="20"/>
  <c r="M411" i="20" s="1"/>
  <c r="M402" i="20"/>
  <c r="M393" i="20"/>
  <c r="M414" i="20" s="1"/>
  <c r="M405" i="20"/>
  <c r="O182" i="12"/>
  <c r="O105" i="12"/>
  <c r="O106" i="12" s="1"/>
  <c r="O99" i="20"/>
  <c r="O325" i="20"/>
  <c r="O84" i="20"/>
  <c r="O310" i="20"/>
  <c r="O34" i="20"/>
  <c r="O260" i="20"/>
  <c r="O331" i="20"/>
  <c r="O105" i="20"/>
  <c r="O44" i="20"/>
  <c r="O270" i="20"/>
  <c r="O293" i="20"/>
  <c r="O67" i="20"/>
  <c r="O390" i="20"/>
  <c r="O164" i="20"/>
  <c r="O334" i="20"/>
  <c r="O108" i="20"/>
  <c r="O382" i="20"/>
  <c r="O156" i="20"/>
  <c r="O87" i="20"/>
  <c r="O313" i="20"/>
  <c r="O165" i="20"/>
  <c r="O391" i="20"/>
  <c r="O43" i="20"/>
  <c r="O269" i="20"/>
  <c r="O263" i="20"/>
  <c r="O37" i="20"/>
  <c r="O363" i="20"/>
  <c r="O137" i="20"/>
  <c r="O337" i="20"/>
  <c r="O111" i="20"/>
  <c r="O384" i="20"/>
  <c r="O158" i="20"/>
  <c r="O287" i="20"/>
  <c r="O61" i="20"/>
  <c r="O283" i="20"/>
  <c r="O57" i="20"/>
  <c r="O262" i="20"/>
  <c r="O36" i="20"/>
  <c r="O360" i="20"/>
  <c r="O134" i="20"/>
  <c r="O336" i="20"/>
  <c r="O110" i="20"/>
  <c r="N163" i="12"/>
  <c r="N172" i="12"/>
  <c r="N170" i="12"/>
  <c r="N192" i="12" s="1"/>
  <c r="N161" i="12"/>
  <c r="N188" i="12" s="1"/>
  <c r="M183" i="20"/>
  <c r="M174" i="20"/>
  <c r="M221" i="20"/>
  <c r="M222" i="20" s="1"/>
  <c r="M223" i="20" s="1"/>
  <c r="M216" i="20" s="1"/>
  <c r="N70" i="20"/>
  <c r="N71" i="20" s="1"/>
  <c r="N166" i="20"/>
  <c r="N167" i="20" s="1"/>
  <c r="M273" i="20"/>
  <c r="M409" i="20" s="1"/>
  <c r="M400" i="20"/>
  <c r="M447" i="20"/>
  <c r="M448" i="20" s="1"/>
  <c r="M449" i="20" s="1"/>
  <c r="M442" i="20" s="1"/>
  <c r="M401" i="20"/>
  <c r="M297" i="20"/>
  <c r="M410" i="20" s="1"/>
  <c r="M187" i="20"/>
  <c r="M178" i="20"/>
  <c r="O33" i="20"/>
  <c r="O259" i="20"/>
  <c r="O265" i="20"/>
  <c r="O39" i="20"/>
  <c r="O140" i="20"/>
  <c r="O366" i="20"/>
  <c r="P38" i="12"/>
  <c r="Q34" i="21" s="1"/>
  <c r="P62" i="12"/>
  <c r="Q59" i="21" s="1"/>
  <c r="P134" i="12"/>
  <c r="Q134" i="21" s="1"/>
  <c r="P86" i="12"/>
  <c r="Q84" i="21" s="1"/>
  <c r="Q10" i="12"/>
  <c r="Q14" i="20" s="1"/>
  <c r="P110" i="12"/>
  <c r="Q109" i="21" s="1"/>
  <c r="P14" i="12"/>
  <c r="Q9" i="21" s="1"/>
  <c r="O63" i="20"/>
  <c r="O289" i="20"/>
  <c r="O317" i="20"/>
  <c r="O91" i="20"/>
  <c r="O93" i="20"/>
  <c r="O319" i="20"/>
  <c r="O302" i="20"/>
  <c r="O76" i="20"/>
  <c r="O284" i="20"/>
  <c r="O58" i="20"/>
  <c r="O62" i="20"/>
  <c r="O288" i="20"/>
  <c r="O359" i="20"/>
  <c r="O133" i="20"/>
  <c r="O379" i="20"/>
  <c r="O153" i="20"/>
  <c r="O68" i="20"/>
  <c r="O294" i="20"/>
  <c r="O290" i="20"/>
  <c r="O64" i="20"/>
  <c r="O326" i="20"/>
  <c r="O100" i="20"/>
  <c r="O389" i="20"/>
  <c r="O163" i="20"/>
  <c r="O388" i="20"/>
  <c r="O162" i="20"/>
  <c r="O268" i="20"/>
  <c r="O42" i="20"/>
  <c r="O291" i="20"/>
  <c r="O65" i="20"/>
  <c r="O286" i="20"/>
  <c r="O60" i="20"/>
  <c r="O311" i="20"/>
  <c r="O85" i="20"/>
  <c r="O362" i="20"/>
  <c r="O136" i="20"/>
  <c r="O157" i="20"/>
  <c r="O383" i="20"/>
  <c r="M369" i="20"/>
  <c r="M413" i="20" s="1"/>
  <c r="M404" i="20"/>
  <c r="N142" i="20"/>
  <c r="N143" i="20" s="1"/>
  <c r="N173" i="12"/>
  <c r="N164" i="12"/>
  <c r="N166" i="12"/>
  <c r="N175" i="12"/>
  <c r="M185" i="20"/>
  <c r="M176" i="20"/>
  <c r="M188" i="20"/>
  <c r="M179" i="20"/>
  <c r="O292" i="20"/>
  <c r="O66" i="20"/>
  <c r="O109" i="20"/>
  <c r="O335" i="20"/>
  <c r="O183" i="12"/>
  <c r="O349" i="20"/>
  <c r="O129" i="12"/>
  <c r="O130" i="12" s="1"/>
  <c r="O123" i="20"/>
  <c r="O271" i="20"/>
  <c r="O45" i="20"/>
  <c r="O312" i="20"/>
  <c r="O86" i="20"/>
  <c r="O135" i="20"/>
  <c r="O361" i="20"/>
  <c r="O308" i="20"/>
  <c r="O82" i="20"/>
  <c r="O374" i="20"/>
  <c r="O148" i="20"/>
  <c r="O181" i="12"/>
  <c r="O81" i="12"/>
  <c r="O82" i="12" s="1"/>
  <c r="O301" i="20"/>
  <c r="O75" i="20"/>
  <c r="O339" i="20"/>
  <c r="O113" i="20"/>
  <c r="O92" i="20"/>
  <c r="O318" i="20"/>
  <c r="O307" i="20"/>
  <c r="O81" i="20"/>
  <c r="O89" i="20"/>
  <c r="O315" i="20"/>
  <c r="O342" i="20"/>
  <c r="O116" i="20"/>
  <c r="O364" i="20"/>
  <c r="O138" i="20"/>
  <c r="O356" i="20"/>
  <c r="O130" i="20"/>
  <c r="O341" i="20"/>
  <c r="O115" i="20"/>
  <c r="O179" i="12"/>
  <c r="O27" i="20"/>
  <c r="O253" i="20"/>
  <c r="O33" i="12"/>
  <c r="O34" i="12" s="1"/>
  <c r="O314" i="20"/>
  <c r="O88" i="20"/>
  <c r="O141" i="20"/>
  <c r="O367" i="20"/>
  <c r="O380" i="20"/>
  <c r="O154" i="20"/>
  <c r="N320" i="20"/>
  <c r="N272" i="20"/>
  <c r="M345" i="20"/>
  <c r="M412" i="20" s="1"/>
  <c r="M403" i="20"/>
  <c r="N344" i="20"/>
  <c r="N368" i="20"/>
  <c r="N118" i="20"/>
  <c r="N119" i="20" s="1"/>
  <c r="N296" i="20"/>
  <c r="N392" i="20"/>
  <c r="M186" i="20"/>
  <c r="M177" i="20"/>
  <c r="O184" i="12"/>
  <c r="O373" i="20"/>
  <c r="O147" i="20"/>
  <c r="O153" i="12"/>
  <c r="O154" i="12" s="1"/>
  <c r="O340" i="20"/>
  <c r="O114" i="20"/>
  <c r="O386" i="20"/>
  <c r="O160" i="20"/>
  <c r="O52" i="20"/>
  <c r="O278" i="20"/>
  <c r="O264" i="20"/>
  <c r="O38" i="20"/>
  <c r="O338" i="20"/>
  <c r="O112" i="20"/>
  <c r="O387" i="20"/>
  <c r="O161" i="20"/>
  <c r="O355" i="20"/>
  <c r="O129" i="20"/>
  <c r="O254" i="20"/>
  <c r="O28" i="20"/>
  <c r="O358" i="20"/>
  <c r="O132" i="20"/>
  <c r="O180" i="12"/>
  <c r="O277" i="20"/>
  <c r="O51" i="20"/>
  <c r="O57" i="12"/>
  <c r="O58" i="12" s="1"/>
  <c r="O267" i="20"/>
  <c r="O41" i="20"/>
  <c r="O159" i="20"/>
  <c r="O385" i="20"/>
  <c r="O365" i="20"/>
  <c r="O139" i="20"/>
  <c r="O106" i="20"/>
  <c r="O332" i="20"/>
  <c r="O295" i="20"/>
  <c r="O69" i="20"/>
  <c r="O266" i="20"/>
  <c r="O40" i="20"/>
  <c r="O316" i="20"/>
  <c r="O90" i="20"/>
  <c r="O343" i="20"/>
  <c r="O117" i="20"/>
  <c r="O350" i="20"/>
  <c r="O124" i="20"/>
  <c r="N94" i="20"/>
  <c r="N95" i="20" s="1"/>
  <c r="N46" i="20"/>
  <c r="N47" i="20" s="1"/>
  <c r="K304" i="17"/>
  <c r="K108" i="17" s="1"/>
  <c r="K385" i="17"/>
  <c r="K169" i="17" s="1"/>
  <c r="P24" i="17"/>
  <c r="R5" i="12"/>
  <c r="R9" i="12" s="1"/>
  <c r="N74" i="17"/>
  <c r="L311" i="17"/>
  <c r="L109" i="17" s="1"/>
  <c r="L274" i="17"/>
  <c r="L79" i="17" s="1"/>
  <c r="K415" i="17"/>
  <c r="K198" i="17" s="1"/>
  <c r="J378" i="17"/>
  <c r="J168" i="17" s="1"/>
  <c r="J341" i="17"/>
  <c r="J138" i="17" s="1"/>
  <c r="J371" i="17"/>
  <c r="J167" i="17" s="1"/>
  <c r="M242" i="17"/>
  <c r="M347" i="17"/>
  <c r="M349" i="17" s="1"/>
  <c r="M280" i="17"/>
  <c r="M282" i="17" s="1"/>
  <c r="N361" i="17"/>
  <c r="N363" i="17" s="1"/>
  <c r="J221" i="17"/>
  <c r="M317" i="17"/>
  <c r="M319" i="17" s="1"/>
  <c r="N287" i="17"/>
  <c r="N289" i="17" s="1"/>
  <c r="N427" i="17"/>
  <c r="L244" i="17"/>
  <c r="L50" i="17" s="1"/>
  <c r="L383" i="17"/>
  <c r="N194" i="17"/>
  <c r="O185" i="17"/>
  <c r="O155" i="17"/>
  <c r="O127" i="17"/>
  <c r="O93" i="17"/>
  <c r="O99" i="17"/>
  <c r="O64" i="17"/>
  <c r="O35" i="17"/>
  <c r="O82" i="17"/>
  <c r="O187" i="17"/>
  <c r="O157" i="17"/>
  <c r="O129" i="17"/>
  <c r="O94" i="17"/>
  <c r="O65" i="17"/>
  <c r="O37" i="17"/>
  <c r="O83" i="17"/>
  <c r="O52" i="17"/>
  <c r="O202" i="17"/>
  <c r="O112" i="17"/>
  <c r="O183" i="17"/>
  <c r="O159" i="17"/>
  <c r="O63" i="17"/>
  <c r="O39" i="17"/>
  <c r="O184" i="17"/>
  <c r="O124" i="17"/>
  <c r="O95" i="17"/>
  <c r="O67" i="17"/>
  <c r="O203" i="17"/>
  <c r="P28" i="17"/>
  <c r="O69" i="17"/>
  <c r="O53" i="17"/>
  <c r="O172" i="17"/>
  <c r="O33" i="17"/>
  <c r="O143" i="17"/>
  <c r="O34" i="17"/>
  <c r="O153" i="17"/>
  <c r="O125" i="17"/>
  <c r="O97" i="17"/>
  <c r="O191" i="17"/>
  <c r="O154" i="17"/>
  <c r="O102" i="17"/>
  <c r="O113" i="17"/>
  <c r="O189" i="17"/>
  <c r="O142" i="17"/>
  <c r="O173" i="17"/>
  <c r="O43" i="17"/>
  <c r="O193" i="17"/>
  <c r="O41" i="17"/>
  <c r="O123" i="17"/>
  <c r="O133" i="17"/>
  <c r="O161" i="17"/>
  <c r="O101" i="17"/>
  <c r="O42" i="17"/>
  <c r="O73" i="17"/>
  <c r="O132" i="17"/>
  <c r="O72" i="17"/>
  <c r="O71" i="17"/>
  <c r="O162" i="17"/>
  <c r="O192" i="17"/>
  <c r="O163" i="17"/>
  <c r="O103" i="17"/>
  <c r="O131" i="17"/>
  <c r="N391" i="17"/>
  <c r="N393" i="17" s="1"/>
  <c r="J332" i="17"/>
  <c r="M272" i="17"/>
  <c r="M236" i="17"/>
  <c r="M238" i="17" s="1"/>
  <c r="N324" i="17"/>
  <c r="N326" i="17" s="1"/>
  <c r="M354" i="17"/>
  <c r="M356" i="17" s="1"/>
  <c r="N44" i="17"/>
  <c r="L413" i="17"/>
  <c r="N250" i="17"/>
  <c r="N252" i="17" s="1"/>
  <c r="L421" i="17"/>
  <c r="L423" i="17" s="1"/>
  <c r="J296" i="17"/>
  <c r="J298" i="17" s="1"/>
  <c r="I223" i="17"/>
  <c r="I47" i="17" s="1"/>
  <c r="I55" i="17" s="1"/>
  <c r="I57" i="17" s="1"/>
  <c r="I58" i="17" s="1"/>
  <c r="L302" i="17"/>
  <c r="K369" i="17"/>
  <c r="J267" i="17"/>
  <c r="J78" i="17" s="1"/>
  <c r="K339" i="17"/>
  <c r="J259" i="17"/>
  <c r="J261" i="17" s="1"/>
  <c r="N164" i="17"/>
  <c r="J407" i="17"/>
  <c r="J409" i="17" s="1"/>
  <c r="K229" i="17"/>
  <c r="K231" i="17" s="1"/>
  <c r="N134" i="17"/>
  <c r="N104" i="17"/>
  <c r="N398" i="17"/>
  <c r="N400" i="17" s="1"/>
  <c r="I334" i="17"/>
  <c r="I137" i="17" s="1"/>
  <c r="I145" i="17" s="1"/>
  <c r="I147" i="17" s="1"/>
  <c r="I148" i="17" s="1"/>
  <c r="N435" i="17"/>
  <c r="N437" i="17" s="1"/>
  <c r="K376" i="17"/>
  <c r="K265" i="17"/>
  <c r="M429" i="17"/>
  <c r="M200" i="17" s="1"/>
  <c r="M309" i="17"/>
  <c r="S17" i="21" l="1"/>
  <c r="S92" i="21"/>
  <c r="S67" i="21"/>
  <c r="S117" i="21"/>
  <c r="S42" i="21"/>
  <c r="S142" i="21"/>
  <c r="P136" i="21"/>
  <c r="P153" i="21" s="1"/>
  <c r="T9" i="20"/>
  <c r="S13" i="20"/>
  <c r="O236" i="12"/>
  <c r="O237" i="12" s="1"/>
  <c r="O229" i="12" s="1"/>
  <c r="Q144" i="12"/>
  <c r="R144" i="21" s="1"/>
  <c r="Q148" i="12"/>
  <c r="R148" i="21" s="1"/>
  <c r="Q152" i="12"/>
  <c r="R152" i="21" s="1"/>
  <c r="Q140" i="12"/>
  <c r="R140" i="21" s="1"/>
  <c r="Q146" i="12"/>
  <c r="R146" i="21" s="1"/>
  <c r="Q150" i="12"/>
  <c r="R150" i="21" s="1"/>
  <c r="Q138" i="12"/>
  <c r="R138" i="21" s="1"/>
  <c r="Q141" i="12"/>
  <c r="R141" i="21" s="1"/>
  <c r="Q145" i="12"/>
  <c r="R145" i="21" s="1"/>
  <c r="Q149" i="12"/>
  <c r="R149" i="21" s="1"/>
  <c r="Q139" i="12"/>
  <c r="R139" i="21" s="1"/>
  <c r="Q135" i="12"/>
  <c r="R135" i="21" s="1"/>
  <c r="Q119" i="12"/>
  <c r="R118" i="21" s="1"/>
  <c r="Q120" i="12"/>
  <c r="R119" i="21" s="1"/>
  <c r="Q124" i="12"/>
  <c r="R123" i="21" s="1"/>
  <c r="Q128" i="12"/>
  <c r="R127" i="21" s="1"/>
  <c r="Q116" i="12"/>
  <c r="R115" i="21" s="1"/>
  <c r="Q147" i="12"/>
  <c r="R147" i="21" s="1"/>
  <c r="Q137" i="12"/>
  <c r="R137" i="21" s="1"/>
  <c r="Q117" i="12"/>
  <c r="R116" i="21" s="1"/>
  <c r="Q122" i="12"/>
  <c r="R121" i="21" s="1"/>
  <c r="Q126" i="12"/>
  <c r="R125" i="21" s="1"/>
  <c r="Q114" i="12"/>
  <c r="R113" i="21" s="1"/>
  <c r="Q98" i="12"/>
  <c r="R96" i="21" s="1"/>
  <c r="Q102" i="12"/>
  <c r="R100" i="21" s="1"/>
  <c r="Q143" i="12"/>
  <c r="R143" i="21" s="1"/>
  <c r="Q121" i="12"/>
  <c r="R120" i="21" s="1"/>
  <c r="Q125" i="12"/>
  <c r="R124" i="21" s="1"/>
  <c r="Q115" i="12"/>
  <c r="R114" i="21" s="1"/>
  <c r="Q151" i="12"/>
  <c r="R151" i="21" s="1"/>
  <c r="Q123" i="12"/>
  <c r="R122" i="21" s="1"/>
  <c r="Q113" i="12"/>
  <c r="R112" i="21" s="1"/>
  <c r="Q100" i="12"/>
  <c r="R98" i="21" s="1"/>
  <c r="Q99" i="12"/>
  <c r="R97" i="21" s="1"/>
  <c r="Q101" i="12"/>
  <c r="R99" i="21" s="1"/>
  <c r="Q89" i="12"/>
  <c r="R87" i="21" s="1"/>
  <c r="Q91" i="12"/>
  <c r="R89" i="21" s="1"/>
  <c r="Q87" i="12"/>
  <c r="R85" i="21" s="1"/>
  <c r="Q69" i="12"/>
  <c r="R66" i="21" s="1"/>
  <c r="Q73" i="12"/>
  <c r="R70" i="21" s="1"/>
  <c r="Q77" i="12"/>
  <c r="R74" i="21" s="1"/>
  <c r="Q67" i="12"/>
  <c r="R64" i="21" s="1"/>
  <c r="Q127" i="12"/>
  <c r="R126" i="21" s="1"/>
  <c r="Q93" i="12"/>
  <c r="R91" i="21" s="1"/>
  <c r="Q96" i="12"/>
  <c r="R94" i="21" s="1"/>
  <c r="Q103" i="12"/>
  <c r="R101" i="21" s="1"/>
  <c r="Q92" i="12"/>
  <c r="R90" i="21" s="1"/>
  <c r="Q95" i="12"/>
  <c r="R93" i="21" s="1"/>
  <c r="Q104" i="12"/>
  <c r="R102" i="21" s="1"/>
  <c r="Q75" i="12"/>
  <c r="R72" i="21" s="1"/>
  <c r="Q65" i="12"/>
  <c r="R62" i="21" s="1"/>
  <c r="Q63" i="12"/>
  <c r="R60" i="21" s="1"/>
  <c r="Q45" i="12"/>
  <c r="R41" i="21" s="1"/>
  <c r="Q49" i="12"/>
  <c r="R45" i="21" s="1"/>
  <c r="Q74" i="12"/>
  <c r="R71" i="21" s="1"/>
  <c r="Q76" i="12"/>
  <c r="R73" i="21" s="1"/>
  <c r="Q47" i="12"/>
  <c r="R43" i="21" s="1"/>
  <c r="Q51" i="12"/>
  <c r="R47" i="21" s="1"/>
  <c r="Q55" i="12"/>
  <c r="R51" i="21" s="1"/>
  <c r="Q41" i="12"/>
  <c r="R37" i="21" s="1"/>
  <c r="Q23" i="12"/>
  <c r="R18" i="21" s="1"/>
  <c r="Q111" i="12"/>
  <c r="R110" i="21" s="1"/>
  <c r="Q97" i="12"/>
  <c r="R95" i="21" s="1"/>
  <c r="Q90" i="12"/>
  <c r="R88" i="21" s="1"/>
  <c r="Q71" i="12"/>
  <c r="R68" i="21" s="1"/>
  <c r="Q78" i="12"/>
  <c r="R75" i="21" s="1"/>
  <c r="Q80" i="12"/>
  <c r="R77" i="21" s="1"/>
  <c r="Q72" i="12"/>
  <c r="R69" i="21" s="1"/>
  <c r="Q50" i="12"/>
  <c r="R46" i="21" s="1"/>
  <c r="Q43" i="12"/>
  <c r="R39" i="21" s="1"/>
  <c r="Q26" i="12"/>
  <c r="R21" i="21" s="1"/>
  <c r="Q30" i="12"/>
  <c r="R25" i="21" s="1"/>
  <c r="Q18" i="12"/>
  <c r="R13" i="21" s="1"/>
  <c r="Q21" i="12"/>
  <c r="R16" i="21" s="1"/>
  <c r="Q24" i="12"/>
  <c r="R19" i="21" s="1"/>
  <c r="Q25" i="12"/>
  <c r="R20" i="21" s="1"/>
  <c r="Q19" i="12"/>
  <c r="R14" i="21" s="1"/>
  <c r="Q68" i="12"/>
  <c r="R65" i="21" s="1"/>
  <c r="Q56" i="12"/>
  <c r="R52" i="21" s="1"/>
  <c r="Q28" i="12"/>
  <c r="R23" i="21" s="1"/>
  <c r="Q32" i="12"/>
  <c r="R27" i="21" s="1"/>
  <c r="Q20" i="12"/>
  <c r="R15" i="21" s="1"/>
  <c r="Q31" i="12"/>
  <c r="R26" i="21" s="1"/>
  <c r="Q17" i="12"/>
  <c r="R12" i="21" s="1"/>
  <c r="Q79" i="12"/>
  <c r="R76" i="21" s="1"/>
  <c r="Q48" i="12"/>
  <c r="R44" i="21" s="1"/>
  <c r="Q44" i="12"/>
  <c r="R40" i="21" s="1"/>
  <c r="Q15" i="12"/>
  <c r="R10" i="21" s="1"/>
  <c r="Q66" i="12"/>
  <c r="R63" i="21" s="1"/>
  <c r="Q53" i="12"/>
  <c r="R49" i="21" s="1"/>
  <c r="Q42" i="12"/>
  <c r="R38" i="21" s="1"/>
  <c r="Q39" i="12"/>
  <c r="R35" i="21" s="1"/>
  <c r="Q27" i="12"/>
  <c r="R22" i="21" s="1"/>
  <c r="Q52" i="12"/>
  <c r="R48" i="21" s="1"/>
  <c r="Q54" i="12"/>
  <c r="R50" i="21" s="1"/>
  <c r="Q29" i="12"/>
  <c r="R24" i="21" s="1"/>
  <c r="P86" i="21"/>
  <c r="P103" i="21" s="1"/>
  <c r="P61" i="21"/>
  <c r="P78" i="21" s="1"/>
  <c r="P36" i="21"/>
  <c r="P53" i="21" s="1"/>
  <c r="J175" i="17"/>
  <c r="J177" i="17" s="1"/>
  <c r="J178" i="17" s="1"/>
  <c r="P151" i="20"/>
  <c r="P377" i="20"/>
  <c r="P280" i="20"/>
  <c r="P54" i="20"/>
  <c r="P354" i="20"/>
  <c r="P128" i="20"/>
  <c r="P150" i="20"/>
  <c r="P376" i="20"/>
  <c r="P103" i="20"/>
  <c r="P329" i="20"/>
  <c r="P330" i="20"/>
  <c r="P104" i="20"/>
  <c r="P32" i="20"/>
  <c r="P258" i="20"/>
  <c r="P78" i="20"/>
  <c r="P304" i="20"/>
  <c r="P378" i="20"/>
  <c r="P152" i="20"/>
  <c r="P102" i="20"/>
  <c r="P328" i="20"/>
  <c r="P80" i="20"/>
  <c r="P306" i="20"/>
  <c r="P79" i="20"/>
  <c r="P305" i="20"/>
  <c r="P55" i="20"/>
  <c r="P281" i="20"/>
  <c r="P282" i="20"/>
  <c r="P56" i="20"/>
  <c r="P111" i="21"/>
  <c r="P128" i="21" s="1"/>
  <c r="P127" i="20"/>
  <c r="P353" i="20"/>
  <c r="P352" i="20"/>
  <c r="P126" i="20"/>
  <c r="P257" i="20"/>
  <c r="P31" i="20"/>
  <c r="P11" i="21"/>
  <c r="P28" i="21" s="1"/>
  <c r="P30" i="20"/>
  <c r="P256" i="20"/>
  <c r="Q26" i="3"/>
  <c r="P29" i="3"/>
  <c r="P35" i="3" s="1"/>
  <c r="P38" i="3" s="1"/>
  <c r="P41" i="3" s="1"/>
  <c r="P58" i="3"/>
  <c r="Q55" i="3"/>
  <c r="T12" i="3"/>
  <c r="S270" i="3"/>
  <c r="P234" i="12"/>
  <c r="P235" i="12" s="1"/>
  <c r="S299" i="3"/>
  <c r="S283" i="3"/>
  <c r="S262" i="3"/>
  <c r="S254" i="3"/>
  <c r="S230" i="3"/>
  <c r="S222" i="3"/>
  <c r="O296" i="20"/>
  <c r="N393" i="20"/>
  <c r="N414" i="20" s="1"/>
  <c r="N405" i="20"/>
  <c r="N403" i="20"/>
  <c r="N345" i="20"/>
  <c r="N412" i="20" s="1"/>
  <c r="O174" i="12"/>
  <c r="O165" i="12"/>
  <c r="P364" i="20"/>
  <c r="P138" i="20"/>
  <c r="P385" i="20"/>
  <c r="P159" i="20"/>
  <c r="P286" i="20"/>
  <c r="P60" i="20"/>
  <c r="P302" i="20"/>
  <c r="P76" i="20"/>
  <c r="P356" i="20"/>
  <c r="P130" i="20"/>
  <c r="P33" i="20"/>
  <c r="P259" i="20"/>
  <c r="P88" i="20"/>
  <c r="P314" i="20"/>
  <c r="P266" i="20"/>
  <c r="P40" i="20"/>
  <c r="P108" i="20"/>
  <c r="P334" i="20"/>
  <c r="P350" i="20"/>
  <c r="P124" i="20"/>
  <c r="O344" i="20"/>
  <c r="N176" i="20"/>
  <c r="N185" i="20"/>
  <c r="N297" i="20"/>
  <c r="N410" i="20" s="1"/>
  <c r="N401" i="20"/>
  <c r="O170" i="12"/>
  <c r="O192" i="12" s="1"/>
  <c r="O161" i="12"/>
  <c r="O188" i="12" s="1"/>
  <c r="O94" i="20"/>
  <c r="O95" i="20" s="1"/>
  <c r="O368" i="20"/>
  <c r="P339" i="20"/>
  <c r="P113" i="20"/>
  <c r="P270" i="20"/>
  <c r="P44" i="20"/>
  <c r="P268" i="20"/>
  <c r="P42" i="20"/>
  <c r="P312" i="20"/>
  <c r="P86" i="20"/>
  <c r="P363" i="20"/>
  <c r="P137" i="20"/>
  <c r="P182" i="12"/>
  <c r="P325" i="20"/>
  <c r="P105" i="12"/>
  <c r="P106" i="12" s="1"/>
  <c r="P99" i="20"/>
  <c r="P264" i="20"/>
  <c r="P38" i="20"/>
  <c r="P43" i="20"/>
  <c r="P269" i="20"/>
  <c r="P340" i="20"/>
  <c r="P114" i="20"/>
  <c r="P165" i="20"/>
  <c r="P391" i="20"/>
  <c r="P307" i="20"/>
  <c r="P81" i="20"/>
  <c r="P254" i="20"/>
  <c r="P28" i="20"/>
  <c r="P287" i="20"/>
  <c r="P61" i="20"/>
  <c r="P293" i="20"/>
  <c r="P67" i="20"/>
  <c r="P68" i="20"/>
  <c r="P294" i="20"/>
  <c r="P361" i="20"/>
  <c r="P135" i="20"/>
  <c r="P332" i="20"/>
  <c r="P106" i="20"/>
  <c r="P262" i="20"/>
  <c r="P36" i="20"/>
  <c r="P57" i="20"/>
  <c r="P283" i="20"/>
  <c r="P115" i="20"/>
  <c r="P341" i="20"/>
  <c r="P160" i="20"/>
  <c r="P386" i="20"/>
  <c r="O118" i="20"/>
  <c r="O119" i="20" s="1"/>
  <c r="N174" i="20"/>
  <c r="N221" i="20"/>
  <c r="N222" i="20" s="1"/>
  <c r="N223" i="20" s="1"/>
  <c r="N216" i="20" s="1"/>
  <c r="N183" i="20"/>
  <c r="N321" i="20"/>
  <c r="N411" i="20" s="1"/>
  <c r="N402" i="20"/>
  <c r="P93" i="20"/>
  <c r="P319" i="20"/>
  <c r="P271" i="20"/>
  <c r="P45" i="20"/>
  <c r="P278" i="20"/>
  <c r="P52" i="20"/>
  <c r="P358" i="20"/>
  <c r="P132" i="20"/>
  <c r="P184" i="12"/>
  <c r="P147" i="20"/>
  <c r="P153" i="12"/>
  <c r="P154" i="12" s="1"/>
  <c r="P373" i="20"/>
  <c r="P140" i="20"/>
  <c r="P366" i="20"/>
  <c r="P157" i="20"/>
  <c r="P383" i="20"/>
  <c r="P316" i="20"/>
  <c r="P90" i="20"/>
  <c r="P310" i="20"/>
  <c r="P84" i="20"/>
  <c r="P380" i="20"/>
  <c r="P154" i="20"/>
  <c r="O162" i="12"/>
  <c r="O171" i="12"/>
  <c r="O166" i="12"/>
  <c r="O175" i="12"/>
  <c r="N177" i="20"/>
  <c r="N186" i="20"/>
  <c r="O272" i="20"/>
  <c r="O320" i="20"/>
  <c r="P379" i="20"/>
  <c r="P153" i="20"/>
  <c r="P365" i="20"/>
  <c r="P139" i="20"/>
  <c r="P342" i="20"/>
  <c r="P116" i="20"/>
  <c r="P289" i="20"/>
  <c r="P63" i="20"/>
  <c r="P133" i="20"/>
  <c r="P359" i="20"/>
  <c r="P34" i="20"/>
  <c r="P260" i="20"/>
  <c r="P105" i="20"/>
  <c r="P331" i="20"/>
  <c r="P85" i="20"/>
  <c r="P311" i="20"/>
  <c r="P336" i="20"/>
  <c r="P110" i="20"/>
  <c r="P89" i="20"/>
  <c r="P315" i="20"/>
  <c r="P100" i="20"/>
  <c r="P326" i="20"/>
  <c r="P384" i="20"/>
  <c r="P158" i="20"/>
  <c r="P41" i="20"/>
  <c r="P267" i="20"/>
  <c r="P338" i="20"/>
  <c r="P112" i="20"/>
  <c r="P92" i="20"/>
  <c r="P318" i="20"/>
  <c r="P163" i="20"/>
  <c r="P389" i="20"/>
  <c r="P58" i="20"/>
  <c r="P284" i="20"/>
  <c r="P335" i="20"/>
  <c r="P109" i="20"/>
  <c r="P180" i="12"/>
  <c r="P277" i="20"/>
  <c r="P51" i="20"/>
  <c r="P57" i="12"/>
  <c r="P58" i="12" s="1"/>
  <c r="P313" i="20"/>
  <c r="P87" i="20"/>
  <c r="P388" i="20"/>
  <c r="P162" i="20"/>
  <c r="P382" i="20"/>
  <c r="P156" i="20"/>
  <c r="N188" i="20"/>
  <c r="N179" i="20"/>
  <c r="O173" i="12"/>
  <c r="O164" i="12"/>
  <c r="O392" i="20"/>
  <c r="O70" i="20"/>
  <c r="O71" i="20" s="1"/>
  <c r="O166" i="20"/>
  <c r="O167" i="20" s="1"/>
  <c r="N369" i="20"/>
  <c r="N413" i="20" s="1"/>
  <c r="N404" i="20"/>
  <c r="N273" i="20"/>
  <c r="N409" i="20" s="1"/>
  <c r="N400" i="20"/>
  <c r="N447" i="20"/>
  <c r="N448" i="20" s="1"/>
  <c r="N449" i="20" s="1"/>
  <c r="N442" i="20" s="1"/>
  <c r="O46" i="20"/>
  <c r="O47" i="20" s="1"/>
  <c r="O163" i="12"/>
  <c r="O172" i="12"/>
  <c r="O142" i="20"/>
  <c r="O143" i="20" s="1"/>
  <c r="N178" i="20"/>
  <c r="N187" i="20"/>
  <c r="P179" i="12"/>
  <c r="P33" i="12"/>
  <c r="P34" i="12" s="1"/>
  <c r="P253" i="20"/>
  <c r="P27" i="20"/>
  <c r="P39" i="20"/>
  <c r="P265" i="20"/>
  <c r="P183" i="12"/>
  <c r="P123" i="20"/>
  <c r="P129" i="12"/>
  <c r="P130" i="12" s="1"/>
  <c r="P349" i="20"/>
  <c r="P141" i="20"/>
  <c r="P367" i="20"/>
  <c r="P390" i="20"/>
  <c r="P164" i="20"/>
  <c r="P82" i="20"/>
  <c r="P308" i="20"/>
  <c r="Q62" i="12"/>
  <c r="R59" i="21" s="1"/>
  <c r="Q14" i="12"/>
  <c r="R9" i="21" s="1"/>
  <c r="Q86" i="12"/>
  <c r="R84" i="21" s="1"/>
  <c r="Q134" i="12"/>
  <c r="R134" i="21" s="1"/>
  <c r="Q38" i="12"/>
  <c r="R34" i="21" s="1"/>
  <c r="R10" i="12"/>
  <c r="R14" i="20" s="1"/>
  <c r="Q110" i="12"/>
  <c r="R109" i="21" s="1"/>
  <c r="P291" i="20"/>
  <c r="P65" i="20"/>
  <c r="P69" i="20"/>
  <c r="P295" i="20"/>
  <c r="P337" i="20"/>
  <c r="P111" i="20"/>
  <c r="P362" i="20"/>
  <c r="P136" i="20"/>
  <c r="P374" i="20"/>
  <c r="P148" i="20"/>
  <c r="P290" i="20"/>
  <c r="P64" i="20"/>
  <c r="P263" i="20"/>
  <c r="P37" i="20"/>
  <c r="P288" i="20"/>
  <c r="P62" i="20"/>
  <c r="P355" i="20"/>
  <c r="P129" i="20"/>
  <c r="P387" i="20"/>
  <c r="P161" i="20"/>
  <c r="P181" i="12"/>
  <c r="P75" i="20"/>
  <c r="P81" i="12"/>
  <c r="P82" i="12" s="1"/>
  <c r="P301" i="20"/>
  <c r="P117" i="20"/>
  <c r="P343" i="20"/>
  <c r="P66" i="20"/>
  <c r="P292" i="20"/>
  <c r="P317" i="20"/>
  <c r="P91" i="20"/>
  <c r="P134" i="20"/>
  <c r="P360" i="20"/>
  <c r="N184" i="20"/>
  <c r="N175" i="20"/>
  <c r="N325" i="17"/>
  <c r="N111" i="17" s="1"/>
  <c r="Q24" i="17"/>
  <c r="S5" i="12"/>
  <c r="S9" i="12" s="1"/>
  <c r="N399" i="17"/>
  <c r="N171" i="17" s="1"/>
  <c r="J260" i="17"/>
  <c r="J77" i="17" s="1"/>
  <c r="J85" i="17" s="1"/>
  <c r="J87" i="17" s="1"/>
  <c r="J88" i="17" s="1"/>
  <c r="M237" i="17"/>
  <c r="M49" i="17" s="1"/>
  <c r="N288" i="17"/>
  <c r="N81" i="17" s="1"/>
  <c r="K230" i="17"/>
  <c r="K48" i="17" s="1"/>
  <c r="L422" i="17"/>
  <c r="L199" i="17" s="1"/>
  <c r="M281" i="17"/>
  <c r="M80" i="17" s="1"/>
  <c r="N392" i="17"/>
  <c r="N170" i="17" s="1"/>
  <c r="M348" i="17"/>
  <c r="M139" i="17" s="1"/>
  <c r="O434" i="17"/>
  <c r="K370" i="17"/>
  <c r="K372" i="17" s="1"/>
  <c r="K295" i="17"/>
  <c r="J333" i="17"/>
  <c r="J335" i="17" s="1"/>
  <c r="L384" i="17"/>
  <c r="L386" i="17" s="1"/>
  <c r="N316" i="17"/>
  <c r="O360" i="17"/>
  <c r="L228" i="17"/>
  <c r="L414" i="17"/>
  <c r="L416" i="17" s="1"/>
  <c r="M355" i="17"/>
  <c r="M140" i="17" s="1"/>
  <c r="N279" i="17"/>
  <c r="K377" i="17"/>
  <c r="K379" i="17" s="1"/>
  <c r="N436" i="17"/>
  <c r="N201" i="17" s="1"/>
  <c r="J408" i="17"/>
  <c r="J197" i="17" s="1"/>
  <c r="J205" i="17" s="1"/>
  <c r="J207" i="17" s="1"/>
  <c r="J208" i="17" s="1"/>
  <c r="K258" i="17"/>
  <c r="K340" i="17"/>
  <c r="K342" i="17" s="1"/>
  <c r="L303" i="17"/>
  <c r="L305" i="17" s="1"/>
  <c r="J297" i="17"/>
  <c r="J107" i="17" s="1"/>
  <c r="J115" i="17" s="1"/>
  <c r="J117" i="17" s="1"/>
  <c r="J118" i="17" s="1"/>
  <c r="N251" i="17"/>
  <c r="N51" i="17" s="1"/>
  <c r="M273" i="17"/>
  <c r="M275" i="17" s="1"/>
  <c r="O74" i="17"/>
  <c r="O286" i="17"/>
  <c r="M318" i="17"/>
  <c r="M110" i="17" s="1"/>
  <c r="J222" i="17"/>
  <c r="J224" i="17" s="1"/>
  <c r="N362" i="17"/>
  <c r="N141" i="17" s="1"/>
  <c r="N346" i="17"/>
  <c r="K266" i="17"/>
  <c r="K268" i="17" s="1"/>
  <c r="K406" i="17"/>
  <c r="N353" i="17"/>
  <c r="O164" i="17"/>
  <c r="O194" i="17"/>
  <c r="N428" i="17"/>
  <c r="N430" i="17" s="1"/>
  <c r="M310" i="17"/>
  <c r="M312" i="17" s="1"/>
  <c r="O397" i="17"/>
  <c r="M420" i="17"/>
  <c r="O249" i="17"/>
  <c r="O323" i="17"/>
  <c r="N235" i="17"/>
  <c r="O390" i="17"/>
  <c r="O134" i="17"/>
  <c r="O44" i="17"/>
  <c r="Q28" i="17"/>
  <c r="P187" i="17"/>
  <c r="P157" i="17"/>
  <c r="P123" i="17"/>
  <c r="P129" i="17"/>
  <c r="P94" i="17"/>
  <c r="P65" i="17"/>
  <c r="P37" i="17"/>
  <c r="P189" i="17"/>
  <c r="P159" i="17"/>
  <c r="P124" i="17"/>
  <c r="P95" i="17"/>
  <c r="P67" i="17"/>
  <c r="P33" i="17"/>
  <c r="P39" i="17"/>
  <c r="P82" i="17"/>
  <c r="P52" i="17"/>
  <c r="P184" i="17"/>
  <c r="P93" i="17"/>
  <c r="P64" i="17"/>
  <c r="P83" i="17"/>
  <c r="P53" i="17"/>
  <c r="P112" i="17"/>
  <c r="P143" i="17"/>
  <c r="P173" i="17"/>
  <c r="P185" i="17"/>
  <c r="P125" i="17"/>
  <c r="P97" i="17"/>
  <c r="P69" i="17"/>
  <c r="P155" i="17"/>
  <c r="P34" i="17"/>
  <c r="P142" i="17"/>
  <c r="P202" i="17"/>
  <c r="P154" i="17"/>
  <c r="P99" i="17"/>
  <c r="P203" i="17"/>
  <c r="P63" i="17"/>
  <c r="P35" i="17"/>
  <c r="P172" i="17"/>
  <c r="P191" i="17"/>
  <c r="P127" i="17"/>
  <c r="P113" i="17"/>
  <c r="P193" i="17"/>
  <c r="P133" i="17"/>
  <c r="P161" i="17"/>
  <c r="P153" i="17"/>
  <c r="P183" i="17"/>
  <c r="P102" i="17"/>
  <c r="P41" i="17"/>
  <c r="P43" i="17"/>
  <c r="P72" i="17"/>
  <c r="P192" i="17"/>
  <c r="P73" i="17"/>
  <c r="P132" i="17"/>
  <c r="P162" i="17"/>
  <c r="P163" i="17"/>
  <c r="P101" i="17"/>
  <c r="P42" i="17"/>
  <c r="P103" i="17"/>
  <c r="P71" i="17"/>
  <c r="P131" i="17"/>
  <c r="O104" i="17"/>
  <c r="M243" i="17"/>
  <c r="M245" i="17" s="1"/>
  <c r="T17" i="21" l="1"/>
  <c r="T67" i="21"/>
  <c r="T142" i="21"/>
  <c r="T92" i="21"/>
  <c r="T117" i="21"/>
  <c r="T42" i="21"/>
  <c r="U9" i="20"/>
  <c r="T13" i="20"/>
  <c r="R141" i="12"/>
  <c r="S141" i="21" s="1"/>
  <c r="R145" i="12"/>
  <c r="S145" i="21" s="1"/>
  <c r="R149" i="12"/>
  <c r="S149" i="21" s="1"/>
  <c r="R139" i="12"/>
  <c r="S139" i="21" s="1"/>
  <c r="R135" i="12"/>
  <c r="S135" i="21" s="1"/>
  <c r="R143" i="12"/>
  <c r="S143" i="21" s="1"/>
  <c r="R147" i="12"/>
  <c r="S147" i="21" s="1"/>
  <c r="R151" i="12"/>
  <c r="S151" i="21" s="1"/>
  <c r="R137" i="12"/>
  <c r="S137" i="21" s="1"/>
  <c r="R119" i="12"/>
  <c r="S118" i="21" s="1"/>
  <c r="R146" i="12"/>
  <c r="S146" i="21" s="1"/>
  <c r="R150" i="12"/>
  <c r="S150" i="21" s="1"/>
  <c r="R138" i="12"/>
  <c r="S138" i="21" s="1"/>
  <c r="R144" i="12"/>
  <c r="S144" i="21" s="1"/>
  <c r="R121" i="12"/>
  <c r="S120" i="21" s="1"/>
  <c r="R125" i="12"/>
  <c r="S124" i="21" s="1"/>
  <c r="R115" i="12"/>
  <c r="S114" i="21" s="1"/>
  <c r="R152" i="12"/>
  <c r="S152" i="21" s="1"/>
  <c r="R123" i="12"/>
  <c r="S122" i="21" s="1"/>
  <c r="R127" i="12"/>
  <c r="S126" i="21" s="1"/>
  <c r="R113" i="12"/>
  <c r="S112" i="21" s="1"/>
  <c r="R95" i="12"/>
  <c r="S93" i="21" s="1"/>
  <c r="R99" i="12"/>
  <c r="S97" i="21" s="1"/>
  <c r="R103" i="12"/>
  <c r="S101" i="21" s="1"/>
  <c r="R89" i="12"/>
  <c r="S87" i="21" s="1"/>
  <c r="R148" i="12"/>
  <c r="S148" i="21" s="1"/>
  <c r="R140" i="12"/>
  <c r="S140" i="21" s="1"/>
  <c r="R117" i="12"/>
  <c r="S116" i="21" s="1"/>
  <c r="R122" i="12"/>
  <c r="S121" i="21" s="1"/>
  <c r="R126" i="12"/>
  <c r="S125" i="21" s="1"/>
  <c r="R114" i="12"/>
  <c r="S113" i="21" s="1"/>
  <c r="R128" i="12"/>
  <c r="S127" i="21" s="1"/>
  <c r="R93" i="12"/>
  <c r="S91" i="21" s="1"/>
  <c r="R96" i="12"/>
  <c r="S94" i="21" s="1"/>
  <c r="R98" i="12"/>
  <c r="S96" i="21" s="1"/>
  <c r="R92" i="12"/>
  <c r="S90" i="21" s="1"/>
  <c r="R120" i="12"/>
  <c r="S119" i="21" s="1"/>
  <c r="R111" i="12"/>
  <c r="S110" i="21" s="1"/>
  <c r="R97" i="12"/>
  <c r="S95" i="21" s="1"/>
  <c r="R104" i="12"/>
  <c r="S102" i="21" s="1"/>
  <c r="R90" i="12"/>
  <c r="S88" i="21" s="1"/>
  <c r="R74" i="12"/>
  <c r="S71" i="21" s="1"/>
  <c r="R78" i="12"/>
  <c r="S75" i="21" s="1"/>
  <c r="R66" i="12"/>
  <c r="S63" i="21" s="1"/>
  <c r="R101" i="12"/>
  <c r="S99" i="21" s="1"/>
  <c r="R91" i="12"/>
  <c r="S89" i="21" s="1"/>
  <c r="R87" i="12"/>
  <c r="S85" i="21" s="1"/>
  <c r="R116" i="12"/>
  <c r="S115" i="21" s="1"/>
  <c r="R71" i="12"/>
  <c r="S68" i="21" s="1"/>
  <c r="R73" i="12"/>
  <c r="S70" i="21" s="1"/>
  <c r="R80" i="12"/>
  <c r="S77" i="21" s="1"/>
  <c r="R100" i="12"/>
  <c r="S98" i="21" s="1"/>
  <c r="R72" i="12"/>
  <c r="S69" i="21" s="1"/>
  <c r="R79" i="12"/>
  <c r="S76" i="21" s="1"/>
  <c r="R67" i="12"/>
  <c r="S64" i="21" s="1"/>
  <c r="R68" i="12"/>
  <c r="S65" i="21" s="1"/>
  <c r="R48" i="12"/>
  <c r="S44" i="21" s="1"/>
  <c r="R52" i="12"/>
  <c r="S48" i="21" s="1"/>
  <c r="R56" i="12"/>
  <c r="S52" i="21" s="1"/>
  <c r="R44" i="12"/>
  <c r="S40" i="21" s="1"/>
  <c r="R24" i="12"/>
  <c r="S19" i="21" s="1"/>
  <c r="R124" i="12"/>
  <c r="S123" i="21" s="1"/>
  <c r="R69" i="12"/>
  <c r="S66" i="21" s="1"/>
  <c r="R76" i="12"/>
  <c r="S73" i="21" s="1"/>
  <c r="R47" i="12"/>
  <c r="S43" i="21" s="1"/>
  <c r="R65" i="12"/>
  <c r="S62" i="21" s="1"/>
  <c r="R53" i="12"/>
  <c r="S49" i="21" s="1"/>
  <c r="R55" i="12"/>
  <c r="S51" i="21" s="1"/>
  <c r="R42" i="12"/>
  <c r="S38" i="21" s="1"/>
  <c r="R39" i="12"/>
  <c r="S35" i="21" s="1"/>
  <c r="R27" i="12"/>
  <c r="S22" i="21" s="1"/>
  <c r="R31" i="12"/>
  <c r="S26" i="21" s="1"/>
  <c r="R17" i="12"/>
  <c r="S12" i="21" s="1"/>
  <c r="R43" i="12"/>
  <c r="S39" i="21" s="1"/>
  <c r="R18" i="12"/>
  <c r="S13" i="21" s="1"/>
  <c r="R77" i="12"/>
  <c r="S74" i="21" s="1"/>
  <c r="R49" i="12"/>
  <c r="S45" i="21" s="1"/>
  <c r="R54" i="12"/>
  <c r="S50" i="21" s="1"/>
  <c r="R21" i="12"/>
  <c r="S16" i="21" s="1"/>
  <c r="R25" i="12"/>
  <c r="S20" i="21" s="1"/>
  <c r="R29" i="12"/>
  <c r="S24" i="21" s="1"/>
  <c r="R19" i="12"/>
  <c r="S14" i="21" s="1"/>
  <c r="R15" i="12"/>
  <c r="S10" i="21" s="1"/>
  <c r="R28" i="12"/>
  <c r="S23" i="21" s="1"/>
  <c r="R20" i="12"/>
  <c r="S15" i="21" s="1"/>
  <c r="R50" i="12"/>
  <c r="S46" i="21" s="1"/>
  <c r="R26" i="12"/>
  <c r="S21" i="21" s="1"/>
  <c r="R102" i="12"/>
  <c r="S100" i="21" s="1"/>
  <c r="R75" i="12"/>
  <c r="S72" i="21" s="1"/>
  <c r="R63" i="12"/>
  <c r="S60" i="21" s="1"/>
  <c r="R51" i="12"/>
  <c r="S47" i="21" s="1"/>
  <c r="R41" i="12"/>
  <c r="S37" i="21" s="1"/>
  <c r="R23" i="12"/>
  <c r="S18" i="21" s="1"/>
  <c r="R32" i="12"/>
  <c r="S27" i="21" s="1"/>
  <c r="R45" i="12"/>
  <c r="S41" i="21" s="1"/>
  <c r="R30" i="12"/>
  <c r="S25" i="21" s="1"/>
  <c r="Q61" i="21"/>
  <c r="Q78" i="21" s="1"/>
  <c r="Q36" i="21"/>
  <c r="Q53" i="21" s="1"/>
  <c r="Q86" i="21"/>
  <c r="Q103" i="21" s="1"/>
  <c r="Q136" i="21"/>
  <c r="Q153" i="21" s="1"/>
  <c r="Q54" i="20"/>
  <c r="Q280" i="20"/>
  <c r="Q354" i="20"/>
  <c r="Q128" i="20"/>
  <c r="Q55" i="20"/>
  <c r="Q281" i="20"/>
  <c r="Q151" i="20"/>
  <c r="Q377" i="20"/>
  <c r="Q378" i="20"/>
  <c r="Q152" i="20"/>
  <c r="Q103" i="20"/>
  <c r="Q329" i="20"/>
  <c r="Q330" i="20"/>
  <c r="Q104" i="20"/>
  <c r="Q127" i="20"/>
  <c r="Q353" i="20"/>
  <c r="Q376" i="20"/>
  <c r="Q150" i="20"/>
  <c r="Q126" i="20"/>
  <c r="Q352" i="20"/>
  <c r="Q306" i="20"/>
  <c r="Q80" i="20"/>
  <c r="Q328" i="20"/>
  <c r="Q102" i="20"/>
  <c r="Q56" i="20"/>
  <c r="Q282" i="20"/>
  <c r="Q258" i="20"/>
  <c r="Q32" i="20"/>
  <c r="Q11" i="21"/>
  <c r="Q28" i="21" s="1"/>
  <c r="Q111" i="21"/>
  <c r="Q128" i="21" s="1"/>
  <c r="Q31" i="20"/>
  <c r="Q257" i="20"/>
  <c r="Q256" i="20"/>
  <c r="Q30" i="20"/>
  <c r="Q304" i="20"/>
  <c r="Q78" i="20"/>
  <c r="Q305" i="20"/>
  <c r="Q79" i="20"/>
  <c r="P236" i="12"/>
  <c r="P237" i="12" s="1"/>
  <c r="P229" i="12" s="1"/>
  <c r="Q58" i="3"/>
  <c r="R55" i="3"/>
  <c r="R26" i="3"/>
  <c r="Q29" i="3"/>
  <c r="Q35" i="3" s="1"/>
  <c r="Q38" i="3" s="1"/>
  <c r="Q41" i="3" s="1"/>
  <c r="U12" i="3"/>
  <c r="U321" i="3" s="1"/>
  <c r="S214" i="3"/>
  <c r="S246" i="3"/>
  <c r="S291" i="3"/>
  <c r="T321" i="3"/>
  <c r="T270" i="3"/>
  <c r="S238" i="3"/>
  <c r="Q234" i="12"/>
  <c r="Q235" i="12" s="1"/>
  <c r="T283" i="3"/>
  <c r="T246" i="3"/>
  <c r="T222" i="3"/>
  <c r="O401" i="20"/>
  <c r="O297" i="20"/>
  <c r="O410" i="20" s="1"/>
  <c r="P172" i="12"/>
  <c r="P163" i="12"/>
  <c r="Q259" i="20"/>
  <c r="Q33" i="20"/>
  <c r="Q68" i="20"/>
  <c r="Q294" i="20"/>
  <c r="Q42" i="20"/>
  <c r="Q268" i="20"/>
  <c r="Q88" i="20"/>
  <c r="Q314" i="20"/>
  <c r="Q184" i="12"/>
  <c r="Q147" i="20"/>
  <c r="Q153" i="12"/>
  <c r="Q154" i="12" s="1"/>
  <c r="Q373" i="20"/>
  <c r="Q363" i="20"/>
  <c r="Q137" i="20"/>
  <c r="Q156" i="20"/>
  <c r="Q382" i="20"/>
  <c r="Q269" i="20"/>
  <c r="Q43" i="20"/>
  <c r="Q361" i="20"/>
  <c r="Q135" i="20"/>
  <c r="Q278" i="20"/>
  <c r="Q52" i="20"/>
  <c r="Q380" i="20"/>
  <c r="Q154" i="20"/>
  <c r="P368" i="20"/>
  <c r="P161" i="12"/>
  <c r="P188" i="12" s="1"/>
  <c r="P170" i="12"/>
  <c r="P192" i="12" s="1"/>
  <c r="P171" i="12"/>
  <c r="P162" i="12"/>
  <c r="O321" i="20"/>
  <c r="O411" i="20" s="1"/>
  <c r="O402" i="20"/>
  <c r="P166" i="20"/>
  <c r="P167" i="20" s="1"/>
  <c r="P118" i="20"/>
  <c r="P119" i="20" s="1"/>
  <c r="P94" i="20"/>
  <c r="P95" i="20" s="1"/>
  <c r="Q317" i="20"/>
  <c r="Q91" i="20"/>
  <c r="Q315" i="20"/>
  <c r="Q89" i="20"/>
  <c r="Q390" i="20"/>
  <c r="Q164" i="20"/>
  <c r="Q331" i="20"/>
  <c r="Q105" i="20"/>
  <c r="Q263" i="20"/>
  <c r="Q37" i="20"/>
  <c r="Q316" i="20"/>
  <c r="Q90" i="20"/>
  <c r="Q337" i="20"/>
  <c r="Q111" i="20"/>
  <c r="Q385" i="20"/>
  <c r="Q159" i="20"/>
  <c r="Q161" i="20"/>
  <c r="Q387" i="20"/>
  <c r="Q67" i="20"/>
  <c r="Q293" i="20"/>
  <c r="Q266" i="20"/>
  <c r="Q40" i="20"/>
  <c r="Q313" i="20"/>
  <c r="Q87" i="20"/>
  <c r="Q343" i="20"/>
  <c r="Q117" i="20"/>
  <c r="Q384" i="20"/>
  <c r="Q158" i="20"/>
  <c r="Q136" i="20"/>
  <c r="Q362" i="20"/>
  <c r="Q60" i="20"/>
  <c r="Q286" i="20"/>
  <c r="Q181" i="12"/>
  <c r="Q81" i="12"/>
  <c r="Q82" i="12" s="1"/>
  <c r="Q75" i="20"/>
  <c r="Q301" i="20"/>
  <c r="Q319" i="20"/>
  <c r="Q93" i="20"/>
  <c r="Q359" i="20"/>
  <c r="Q133" i="20"/>
  <c r="Q364" i="20"/>
  <c r="Q138" i="20"/>
  <c r="Q260" i="20"/>
  <c r="Q34" i="20"/>
  <c r="P174" i="12"/>
  <c r="P165" i="12"/>
  <c r="O183" i="20"/>
  <c r="O221" i="20"/>
  <c r="O222" i="20" s="1"/>
  <c r="O223" i="20" s="1"/>
  <c r="O216" i="20" s="1"/>
  <c r="O174" i="20"/>
  <c r="O405" i="20"/>
  <c r="O393" i="20"/>
  <c r="O414" i="20" s="1"/>
  <c r="P70" i="20"/>
  <c r="P71" i="20" s="1"/>
  <c r="O447" i="20"/>
  <c r="O448" i="20" s="1"/>
  <c r="O449" i="20" s="1"/>
  <c r="O442" i="20" s="1"/>
  <c r="O400" i="20"/>
  <c r="O273" i="20"/>
  <c r="O409" i="20" s="1"/>
  <c r="O177" i="20"/>
  <c r="O186" i="20"/>
  <c r="P164" i="12"/>
  <c r="P173" i="12"/>
  <c r="Q157" i="20"/>
  <c r="Q383" i="20"/>
  <c r="R134" i="12"/>
  <c r="S134" i="21" s="1"/>
  <c r="R14" i="12"/>
  <c r="S9" i="21" s="1"/>
  <c r="S10" i="12"/>
  <c r="S14" i="20" s="1"/>
  <c r="R110" i="12"/>
  <c r="S109" i="21" s="1"/>
  <c r="R38" i="12"/>
  <c r="S34" i="21" s="1"/>
  <c r="R62" i="12"/>
  <c r="S59" i="21" s="1"/>
  <c r="R86" i="12"/>
  <c r="S84" i="21" s="1"/>
  <c r="Q179" i="12"/>
  <c r="Q253" i="20"/>
  <c r="Q33" i="12"/>
  <c r="Q34" i="12" s="1"/>
  <c r="Q27" i="20"/>
  <c r="Q84" i="20"/>
  <c r="Q310" i="20"/>
  <c r="Q350" i="20"/>
  <c r="Q124" i="20"/>
  <c r="Q302" i="20"/>
  <c r="Q76" i="20"/>
  <c r="Q308" i="20"/>
  <c r="Q82" i="20"/>
  <c r="Q183" i="12"/>
  <c r="Q129" i="12"/>
  <c r="Q130" i="12" s="1"/>
  <c r="Q123" i="20"/>
  <c r="Q349" i="20"/>
  <c r="Q92" i="20"/>
  <c r="Q318" i="20"/>
  <c r="Q65" i="20"/>
  <c r="Q291" i="20"/>
  <c r="Q132" i="20"/>
  <c r="Q358" i="20"/>
  <c r="Q141" i="20"/>
  <c r="Q367" i="20"/>
  <c r="Q148" i="20"/>
  <c r="Q374" i="20"/>
  <c r="Q391" i="20"/>
  <c r="Q165" i="20"/>
  <c r="Q153" i="20"/>
  <c r="Q379" i="20"/>
  <c r="Q182" i="12"/>
  <c r="Q325" i="20"/>
  <c r="Q99" i="20"/>
  <c r="Q105" i="12"/>
  <c r="Q106" i="12" s="1"/>
  <c r="Q36" i="20"/>
  <c r="Q262" i="20"/>
  <c r="Q115" i="20"/>
  <c r="Q341" i="20"/>
  <c r="Q336" i="20"/>
  <c r="Q110" i="20"/>
  <c r="Q388" i="20"/>
  <c r="Q162" i="20"/>
  <c r="Q64" i="20"/>
  <c r="Q290" i="20"/>
  <c r="Q129" i="20"/>
  <c r="Q355" i="20"/>
  <c r="Q81" i="20"/>
  <c r="Q307" i="20"/>
  <c r="Q63" i="20"/>
  <c r="Q289" i="20"/>
  <c r="Q39" i="20"/>
  <c r="Q265" i="20"/>
  <c r="Q86" i="20"/>
  <c r="Q312" i="20"/>
  <c r="Q339" i="20"/>
  <c r="Q113" i="20"/>
  <c r="Q139" i="20"/>
  <c r="Q365" i="20"/>
  <c r="P142" i="20"/>
  <c r="P143" i="20" s="1"/>
  <c r="P46" i="20"/>
  <c r="P47" i="20" s="1"/>
  <c r="O187" i="20"/>
  <c r="O178" i="20"/>
  <c r="P296" i="20"/>
  <c r="P392" i="20"/>
  <c r="P344" i="20"/>
  <c r="O404" i="20"/>
  <c r="O369" i="20"/>
  <c r="O413" i="20" s="1"/>
  <c r="Q334" i="20"/>
  <c r="Q108" i="20"/>
  <c r="Q41" i="20"/>
  <c r="Q267" i="20"/>
  <c r="Q292" i="20"/>
  <c r="Q66" i="20"/>
  <c r="Q360" i="20"/>
  <c r="Q134" i="20"/>
  <c r="O184" i="20"/>
  <c r="O175" i="20"/>
  <c r="P320" i="20"/>
  <c r="Q264" i="20"/>
  <c r="Q38" i="20"/>
  <c r="Q338" i="20"/>
  <c r="Q112" i="20"/>
  <c r="Q295" i="20"/>
  <c r="Q69" i="20"/>
  <c r="Q340" i="20"/>
  <c r="Q114" i="20"/>
  <c r="Q342" i="20"/>
  <c r="Q116" i="20"/>
  <c r="Q386" i="20"/>
  <c r="Q160" i="20"/>
  <c r="Q271" i="20"/>
  <c r="Q45" i="20"/>
  <c r="Q130" i="20"/>
  <c r="Q356" i="20"/>
  <c r="Q180" i="12"/>
  <c r="Q277" i="20"/>
  <c r="Q57" i="12"/>
  <c r="Q58" i="12" s="1"/>
  <c r="Q51" i="20"/>
  <c r="Q287" i="20"/>
  <c r="Q61" i="20"/>
  <c r="Q311" i="20"/>
  <c r="Q85" i="20"/>
  <c r="Q366" i="20"/>
  <c r="Q140" i="20"/>
  <c r="Q284" i="20"/>
  <c r="Q58" i="20"/>
  <c r="Q62" i="20"/>
  <c r="Q288" i="20"/>
  <c r="Q332" i="20"/>
  <c r="Q106" i="20"/>
  <c r="Q57" i="20"/>
  <c r="Q283" i="20"/>
  <c r="Q44" i="20"/>
  <c r="Q270" i="20"/>
  <c r="Q28" i="20"/>
  <c r="Q254" i="20"/>
  <c r="Q100" i="20"/>
  <c r="Q326" i="20"/>
  <c r="Q109" i="20"/>
  <c r="Q335" i="20"/>
  <c r="Q389" i="20"/>
  <c r="Q163" i="20"/>
  <c r="P272" i="20"/>
  <c r="O179" i="20"/>
  <c r="O188" i="20"/>
  <c r="P175" i="12"/>
  <c r="P166" i="12"/>
  <c r="O176" i="20"/>
  <c r="O185" i="20"/>
  <c r="O403" i="20"/>
  <c r="O345" i="20"/>
  <c r="O412" i="20" s="1"/>
  <c r="N429" i="17"/>
  <c r="N200" i="17" s="1"/>
  <c r="R24" i="17"/>
  <c r="T5" i="12"/>
  <c r="T9" i="12" s="1"/>
  <c r="M311" i="17"/>
  <c r="M109" i="17" s="1"/>
  <c r="L385" i="17"/>
  <c r="L169" i="17" s="1"/>
  <c r="M244" i="17"/>
  <c r="M50" i="17" s="1"/>
  <c r="M274" i="17"/>
  <c r="M79" i="17" s="1"/>
  <c r="P74" i="17"/>
  <c r="Q183" i="17"/>
  <c r="Q189" i="17"/>
  <c r="Q153" i="17"/>
  <c r="Q159" i="17"/>
  <c r="Q124" i="17"/>
  <c r="Q95" i="17"/>
  <c r="Q67" i="17"/>
  <c r="Q33" i="17"/>
  <c r="Q39" i="17"/>
  <c r="Q83" i="17"/>
  <c r="Q203" i="17"/>
  <c r="Q113" i="17"/>
  <c r="Q184" i="17"/>
  <c r="Q154" i="17"/>
  <c r="Q125" i="17"/>
  <c r="Q97" i="17"/>
  <c r="Q63" i="17"/>
  <c r="Q69" i="17"/>
  <c r="Q34" i="17"/>
  <c r="Q185" i="17"/>
  <c r="Q123" i="17"/>
  <c r="Q94" i="17"/>
  <c r="Q65" i="17"/>
  <c r="Q202" i="17"/>
  <c r="Q142" i="17"/>
  <c r="Q172" i="17"/>
  <c r="R28" i="17"/>
  <c r="Q187" i="17"/>
  <c r="Q127" i="17"/>
  <c r="Q99" i="17"/>
  <c r="Q43" i="17"/>
  <c r="Q82" i="17"/>
  <c r="Q112" i="17"/>
  <c r="Q143" i="17"/>
  <c r="Q173" i="17"/>
  <c r="Q93" i="17"/>
  <c r="Q52" i="17"/>
  <c r="Q64" i="17"/>
  <c r="Q37" i="17"/>
  <c r="Q53" i="17"/>
  <c r="Q155" i="17"/>
  <c r="Q129" i="17"/>
  <c r="Q157" i="17"/>
  <c r="Q35" i="17"/>
  <c r="Q102" i="17"/>
  <c r="Q133" i="17"/>
  <c r="Q161" i="17"/>
  <c r="Q193" i="17"/>
  <c r="Q191" i="17"/>
  <c r="Q41" i="17"/>
  <c r="Q162" i="17"/>
  <c r="Q163" i="17"/>
  <c r="Q132" i="17"/>
  <c r="Q42" i="17"/>
  <c r="Q71" i="17"/>
  <c r="Q103" i="17"/>
  <c r="Q131" i="17"/>
  <c r="Q101" i="17"/>
  <c r="Q72" i="17"/>
  <c r="Q192" i="17"/>
  <c r="Q73" i="17"/>
  <c r="N347" i="17"/>
  <c r="N349" i="17" s="1"/>
  <c r="L265" i="17"/>
  <c r="K221" i="17"/>
  <c r="O287" i="17"/>
  <c r="O289" i="17" s="1"/>
  <c r="M413" i="17"/>
  <c r="K332" i="17"/>
  <c r="P194" i="17"/>
  <c r="P104" i="17"/>
  <c r="O250" i="17"/>
  <c r="O252" i="17" s="1"/>
  <c r="O398" i="17"/>
  <c r="O400" i="17" s="1"/>
  <c r="J223" i="17"/>
  <c r="J47" i="17" s="1"/>
  <c r="J55" i="17" s="1"/>
  <c r="J57" i="17" s="1"/>
  <c r="J58" i="17" s="1"/>
  <c r="N272" i="17"/>
  <c r="K341" i="17"/>
  <c r="K138" i="17" s="1"/>
  <c r="L229" i="17"/>
  <c r="L231" i="17" s="1"/>
  <c r="O361" i="17"/>
  <c r="O363" i="17" s="1"/>
  <c r="M383" i="17"/>
  <c r="L369" i="17"/>
  <c r="O435" i="17"/>
  <c r="O437" i="17" s="1"/>
  <c r="M421" i="17"/>
  <c r="M423" i="17" s="1"/>
  <c r="L339" i="17"/>
  <c r="N280" i="17"/>
  <c r="N282" i="17" s="1"/>
  <c r="N317" i="17"/>
  <c r="N319" i="17" s="1"/>
  <c r="K296" i="17"/>
  <c r="K298" i="17" s="1"/>
  <c r="P134" i="17"/>
  <c r="N236" i="17"/>
  <c r="N238" i="17" s="1"/>
  <c r="M302" i="17"/>
  <c r="L376" i="17"/>
  <c r="N242" i="17"/>
  <c r="P164" i="17"/>
  <c r="P44" i="17"/>
  <c r="O391" i="17"/>
  <c r="O393" i="17" s="1"/>
  <c r="O324" i="17"/>
  <c r="O326" i="17" s="1"/>
  <c r="N309" i="17"/>
  <c r="O427" i="17"/>
  <c r="N354" i="17"/>
  <c r="N356" i="17" s="1"/>
  <c r="K407" i="17"/>
  <c r="K409" i="17" s="1"/>
  <c r="K267" i="17"/>
  <c r="K78" i="17" s="1"/>
  <c r="L304" i="17"/>
  <c r="L108" i="17" s="1"/>
  <c r="K259" i="17"/>
  <c r="K261" i="17" s="1"/>
  <c r="K378" i="17"/>
  <c r="K168" i="17" s="1"/>
  <c r="L415" i="17"/>
  <c r="L198" i="17" s="1"/>
  <c r="J334" i="17"/>
  <c r="J137" i="17" s="1"/>
  <c r="J145" i="17" s="1"/>
  <c r="J147" i="17" s="1"/>
  <c r="J148" i="17" s="1"/>
  <c r="K371" i="17"/>
  <c r="K167" i="17" s="1"/>
  <c r="U17" i="21" l="1"/>
  <c r="U142" i="21"/>
  <c r="U42" i="21"/>
  <c r="U117" i="21"/>
  <c r="U67" i="21"/>
  <c r="U92" i="21"/>
  <c r="V9" i="20"/>
  <c r="U13" i="20"/>
  <c r="Q236" i="12"/>
  <c r="Q170" i="12"/>
  <c r="Q192" i="12" s="1"/>
  <c r="S146" i="12"/>
  <c r="T146" i="21" s="1"/>
  <c r="S150" i="12"/>
  <c r="T150" i="21" s="1"/>
  <c r="S138" i="12"/>
  <c r="T138" i="21" s="1"/>
  <c r="S144" i="12"/>
  <c r="T144" i="21" s="1"/>
  <c r="S148" i="12"/>
  <c r="T148" i="21" s="1"/>
  <c r="S152" i="12"/>
  <c r="T152" i="21" s="1"/>
  <c r="S140" i="12"/>
  <c r="T140" i="21" s="1"/>
  <c r="S143" i="12"/>
  <c r="T143" i="21" s="1"/>
  <c r="S147" i="12"/>
  <c r="T147" i="21" s="1"/>
  <c r="S151" i="12"/>
  <c r="T151" i="21" s="1"/>
  <c r="S137" i="12"/>
  <c r="T137" i="21" s="1"/>
  <c r="S141" i="12"/>
  <c r="T141" i="21" s="1"/>
  <c r="S149" i="12"/>
  <c r="T149" i="21" s="1"/>
  <c r="S135" i="12"/>
  <c r="T135" i="21" s="1"/>
  <c r="S117" i="12"/>
  <c r="T116" i="21" s="1"/>
  <c r="S122" i="12"/>
  <c r="T121" i="21" s="1"/>
  <c r="S126" i="12"/>
  <c r="T125" i="21" s="1"/>
  <c r="S114" i="12"/>
  <c r="T113" i="21" s="1"/>
  <c r="S120" i="12"/>
  <c r="T119" i="21" s="1"/>
  <c r="S124" i="12"/>
  <c r="T123" i="21" s="1"/>
  <c r="S128" i="12"/>
  <c r="T127" i="21" s="1"/>
  <c r="S116" i="12"/>
  <c r="T115" i="21" s="1"/>
  <c r="S96" i="12"/>
  <c r="T94" i="21" s="1"/>
  <c r="S100" i="12"/>
  <c r="T98" i="21" s="1"/>
  <c r="S104" i="12"/>
  <c r="T102" i="21" s="1"/>
  <c r="S139" i="12"/>
  <c r="T139" i="21" s="1"/>
  <c r="S123" i="12"/>
  <c r="T122" i="21" s="1"/>
  <c r="S127" i="12"/>
  <c r="T126" i="21" s="1"/>
  <c r="S113" i="12"/>
  <c r="T112" i="21" s="1"/>
  <c r="S101" i="12"/>
  <c r="T99" i="21" s="1"/>
  <c r="S103" i="12"/>
  <c r="T101" i="21" s="1"/>
  <c r="S91" i="12"/>
  <c r="T89" i="21" s="1"/>
  <c r="S87" i="12"/>
  <c r="T85" i="21" s="1"/>
  <c r="S119" i="12"/>
  <c r="T118" i="21" s="1"/>
  <c r="S125" i="12"/>
  <c r="T124" i="21" s="1"/>
  <c r="S95" i="12"/>
  <c r="T93" i="21" s="1"/>
  <c r="S102" i="12"/>
  <c r="T100" i="21" s="1"/>
  <c r="S71" i="12"/>
  <c r="T68" i="21" s="1"/>
  <c r="S75" i="12"/>
  <c r="T72" i="21" s="1"/>
  <c r="S79" i="12"/>
  <c r="T76" i="21" s="1"/>
  <c r="S65" i="12"/>
  <c r="T62" i="21" s="1"/>
  <c r="S121" i="12"/>
  <c r="T120" i="21" s="1"/>
  <c r="S111" i="12"/>
  <c r="T110" i="21" s="1"/>
  <c r="S97" i="12"/>
  <c r="T95" i="21" s="1"/>
  <c r="S99" i="12"/>
  <c r="T97" i="21" s="1"/>
  <c r="S89" i="12"/>
  <c r="T87" i="21" s="1"/>
  <c r="S90" i="12"/>
  <c r="T88" i="21" s="1"/>
  <c r="S92" i="12"/>
  <c r="T90" i="21" s="1"/>
  <c r="S69" i="12"/>
  <c r="T66" i="21" s="1"/>
  <c r="S76" i="12"/>
  <c r="T73" i="21" s="1"/>
  <c r="S78" i="12"/>
  <c r="T75" i="21" s="1"/>
  <c r="S47" i="12"/>
  <c r="T43" i="21" s="1"/>
  <c r="S77" i="12"/>
  <c r="T74" i="21" s="1"/>
  <c r="S66" i="12"/>
  <c r="T63" i="21" s="1"/>
  <c r="S63" i="12"/>
  <c r="T60" i="21" s="1"/>
  <c r="S45" i="12"/>
  <c r="T41" i="21" s="1"/>
  <c r="S49" i="12"/>
  <c r="T45" i="21" s="1"/>
  <c r="S53" i="12"/>
  <c r="T49" i="21" s="1"/>
  <c r="S43" i="12"/>
  <c r="T39" i="21" s="1"/>
  <c r="S39" i="12"/>
  <c r="T35" i="21" s="1"/>
  <c r="S21" i="12"/>
  <c r="T16" i="21" s="1"/>
  <c r="S115" i="12"/>
  <c r="T114" i="21" s="1"/>
  <c r="S98" i="12"/>
  <c r="T96" i="21" s="1"/>
  <c r="S72" i="12"/>
  <c r="T69" i="21" s="1"/>
  <c r="S74" i="12"/>
  <c r="T71" i="21" s="1"/>
  <c r="S67" i="12"/>
  <c r="T64" i="21" s="1"/>
  <c r="S68" i="12"/>
  <c r="T65" i="21" s="1"/>
  <c r="S48" i="12"/>
  <c r="T44" i="21" s="1"/>
  <c r="S73" i="12"/>
  <c r="T70" i="21" s="1"/>
  <c r="S51" i="12"/>
  <c r="T47" i="21" s="1"/>
  <c r="S41" i="12"/>
  <c r="T37" i="21" s="1"/>
  <c r="S23" i="12"/>
  <c r="T18" i="21" s="1"/>
  <c r="S28" i="12"/>
  <c r="T23" i="21" s="1"/>
  <c r="S32" i="12"/>
  <c r="T27" i="21" s="1"/>
  <c r="S20" i="12"/>
  <c r="T15" i="21" s="1"/>
  <c r="S145" i="12"/>
  <c r="T145" i="21" s="1"/>
  <c r="S80" i="12"/>
  <c r="T77" i="21" s="1"/>
  <c r="S17" i="12"/>
  <c r="T12" i="21" s="1"/>
  <c r="S50" i="12"/>
  <c r="T46" i="21" s="1"/>
  <c r="S52" i="12"/>
  <c r="T48" i="21" s="1"/>
  <c r="S44" i="12"/>
  <c r="T40" i="21" s="1"/>
  <c r="S24" i="12"/>
  <c r="T19" i="21" s="1"/>
  <c r="S26" i="12"/>
  <c r="T21" i="21" s="1"/>
  <c r="S30" i="12"/>
  <c r="T25" i="21" s="1"/>
  <c r="S18" i="12"/>
  <c r="T13" i="21" s="1"/>
  <c r="S29" i="12"/>
  <c r="T24" i="21" s="1"/>
  <c r="S15" i="12"/>
  <c r="T10" i="21" s="1"/>
  <c r="S93" i="12"/>
  <c r="T91" i="21" s="1"/>
  <c r="S42" i="12"/>
  <c r="T38" i="21" s="1"/>
  <c r="S27" i="12"/>
  <c r="T22" i="21" s="1"/>
  <c r="S31" i="12"/>
  <c r="T26" i="21" s="1"/>
  <c r="S54" i="12"/>
  <c r="T50" i="21" s="1"/>
  <c r="S56" i="12"/>
  <c r="T52" i="21" s="1"/>
  <c r="S25" i="12"/>
  <c r="T20" i="21" s="1"/>
  <c r="S19" i="12"/>
  <c r="T14" i="21" s="1"/>
  <c r="S55" i="12"/>
  <c r="T51" i="21" s="1"/>
  <c r="R36" i="21"/>
  <c r="R53" i="21" s="1"/>
  <c r="R61" i="21"/>
  <c r="R78" i="21" s="1"/>
  <c r="R86" i="21"/>
  <c r="R103" i="21" s="1"/>
  <c r="R111" i="21"/>
  <c r="R128" i="21" s="1"/>
  <c r="R136" i="21"/>
  <c r="R153" i="21" s="1"/>
  <c r="R104" i="20"/>
  <c r="R330" i="20"/>
  <c r="R352" i="20"/>
  <c r="R126" i="20"/>
  <c r="R258" i="20"/>
  <c r="R32" i="20"/>
  <c r="R282" i="20"/>
  <c r="R56" i="20"/>
  <c r="R281" i="20"/>
  <c r="R55" i="20"/>
  <c r="R378" i="20"/>
  <c r="R152" i="20"/>
  <c r="R306" i="20"/>
  <c r="R80" i="20"/>
  <c r="R102" i="20"/>
  <c r="R328" i="20"/>
  <c r="R151" i="20"/>
  <c r="R377" i="20"/>
  <c r="R353" i="20"/>
  <c r="R127" i="20"/>
  <c r="R150" i="20"/>
  <c r="R376" i="20"/>
  <c r="R280" i="20"/>
  <c r="R54" i="20"/>
  <c r="R103" i="20"/>
  <c r="R329" i="20"/>
  <c r="R354" i="20"/>
  <c r="R128" i="20"/>
  <c r="R11" i="21"/>
  <c r="R28" i="21" s="1"/>
  <c r="R31" i="20"/>
  <c r="R257" i="20"/>
  <c r="R30" i="20"/>
  <c r="R256" i="20"/>
  <c r="R78" i="20"/>
  <c r="R304" i="20"/>
  <c r="R305" i="20"/>
  <c r="R79" i="20"/>
  <c r="K175" i="17"/>
  <c r="K177" i="17" s="1"/>
  <c r="K178" i="17" s="1"/>
  <c r="V12" i="3"/>
  <c r="V321" i="3" s="1"/>
  <c r="S26" i="3"/>
  <c r="R29" i="3"/>
  <c r="R35" i="3" s="1"/>
  <c r="R38" i="3" s="1"/>
  <c r="R41" i="3" s="1"/>
  <c r="S55" i="3"/>
  <c r="R58" i="3"/>
  <c r="T214" i="3"/>
  <c r="T254" i="3"/>
  <c r="T291" i="3"/>
  <c r="Q237" i="12"/>
  <c r="Q229" i="12" s="1"/>
  <c r="T230" i="3"/>
  <c r="T262" i="3"/>
  <c r="T299" i="3"/>
  <c r="T238" i="3"/>
  <c r="R234" i="12"/>
  <c r="R235" i="12" s="1"/>
  <c r="U299" i="3"/>
  <c r="U291" i="3"/>
  <c r="U283" i="3"/>
  <c r="U270" i="3"/>
  <c r="U262" i="3"/>
  <c r="U254" i="3"/>
  <c r="U246" i="3"/>
  <c r="U238" i="3"/>
  <c r="U230" i="3"/>
  <c r="U214" i="3"/>
  <c r="U222" i="3"/>
  <c r="Q171" i="12"/>
  <c r="Q162" i="12"/>
  <c r="R365" i="20"/>
  <c r="R139" i="20"/>
  <c r="R350" i="20"/>
  <c r="R124" i="20"/>
  <c r="R317" i="20"/>
  <c r="R91" i="20"/>
  <c r="R86" i="20"/>
  <c r="R312" i="20"/>
  <c r="R34" i="20"/>
  <c r="R260" i="20"/>
  <c r="R61" i="20"/>
  <c r="R287" i="20"/>
  <c r="R163" i="20"/>
  <c r="R389" i="20"/>
  <c r="R385" i="20"/>
  <c r="R159" i="20"/>
  <c r="R45" i="20"/>
  <c r="R271" i="20"/>
  <c r="R68" i="20"/>
  <c r="R294" i="20"/>
  <c r="R165" i="20"/>
  <c r="R391" i="20"/>
  <c r="Q296" i="20"/>
  <c r="P405" i="20"/>
  <c r="P393" i="20"/>
  <c r="P414" i="20" s="1"/>
  <c r="P183" i="20"/>
  <c r="P174" i="20"/>
  <c r="P221" i="20"/>
  <c r="P222" i="20" s="1"/>
  <c r="P223" i="20" s="1"/>
  <c r="P216" i="20" s="1"/>
  <c r="Q344" i="20"/>
  <c r="Q165" i="12"/>
  <c r="Q174" i="12"/>
  <c r="Q46" i="20"/>
  <c r="Q47" i="20" s="1"/>
  <c r="R314" i="20"/>
  <c r="R88" i="20"/>
  <c r="R308" i="20"/>
  <c r="R82" i="20"/>
  <c r="R182" i="12"/>
  <c r="R325" i="20"/>
  <c r="R99" i="20"/>
  <c r="R105" i="12"/>
  <c r="R106" i="12" s="1"/>
  <c r="R76" i="20"/>
  <c r="R302" i="20"/>
  <c r="R388" i="20"/>
  <c r="R162" i="20"/>
  <c r="R386" i="20"/>
  <c r="R160" i="20"/>
  <c r="R264" i="20"/>
  <c r="R38" i="20"/>
  <c r="R112" i="20"/>
  <c r="R338" i="20"/>
  <c r="R153" i="20"/>
  <c r="R379" i="20"/>
  <c r="R129" i="20"/>
  <c r="R355" i="20"/>
  <c r="R334" i="20"/>
  <c r="R108" i="20"/>
  <c r="R262" i="20"/>
  <c r="R36" i="20"/>
  <c r="R289" i="20"/>
  <c r="R63" i="20"/>
  <c r="R374" i="20"/>
  <c r="R148" i="20"/>
  <c r="S14" i="12"/>
  <c r="T9" i="21" s="1"/>
  <c r="S86" i="12"/>
  <c r="T84" i="21" s="1"/>
  <c r="S38" i="12"/>
  <c r="T34" i="21" s="1"/>
  <c r="S110" i="12"/>
  <c r="T109" i="21" s="1"/>
  <c r="T10" i="12"/>
  <c r="T14" i="20" s="1"/>
  <c r="S62" i="12"/>
  <c r="T59" i="21" s="1"/>
  <c r="S134" i="12"/>
  <c r="T134" i="21" s="1"/>
  <c r="R87" i="20"/>
  <c r="R313" i="20"/>
  <c r="R290" i="20"/>
  <c r="R64" i="20"/>
  <c r="R367" i="20"/>
  <c r="R141" i="20"/>
  <c r="R341" i="20"/>
  <c r="R115" i="20"/>
  <c r="R384" i="20"/>
  <c r="R158" i="20"/>
  <c r="Q163" i="12"/>
  <c r="Q172" i="12"/>
  <c r="P176" i="20"/>
  <c r="P185" i="20"/>
  <c r="R93" i="20"/>
  <c r="R319" i="20"/>
  <c r="R39" i="20"/>
  <c r="R265" i="20"/>
  <c r="R105" i="20"/>
  <c r="R331" i="20"/>
  <c r="R254" i="20"/>
  <c r="R28" i="20"/>
  <c r="R310" i="20"/>
  <c r="R84" i="20"/>
  <c r="R183" i="12"/>
  <c r="R129" i="12"/>
  <c r="R130" i="12" s="1"/>
  <c r="R123" i="20"/>
  <c r="R349" i="20"/>
  <c r="R283" i="20"/>
  <c r="R57" i="20"/>
  <c r="R184" i="12"/>
  <c r="R153" i="12"/>
  <c r="R154" i="12" s="1"/>
  <c r="R373" i="20"/>
  <c r="R147" i="20"/>
  <c r="R114" i="20"/>
  <c r="R340" i="20"/>
  <c r="Q94" i="20"/>
  <c r="Q95" i="20" s="1"/>
  <c r="Q166" i="20"/>
  <c r="Q167" i="20" s="1"/>
  <c r="P401" i="20"/>
  <c r="P297" i="20"/>
  <c r="P410" i="20" s="1"/>
  <c r="P187" i="20"/>
  <c r="P178" i="20"/>
  <c r="Q161" i="12"/>
  <c r="Q188" i="12" s="1"/>
  <c r="R67" i="20"/>
  <c r="R293" i="20"/>
  <c r="R106" i="20"/>
  <c r="R332" i="20"/>
  <c r="R42" i="20"/>
  <c r="R268" i="20"/>
  <c r="R318" i="20"/>
  <c r="R92" i="20"/>
  <c r="R366" i="20"/>
  <c r="R140" i="20"/>
  <c r="R156" i="20"/>
  <c r="R382" i="20"/>
  <c r="R181" i="12"/>
  <c r="R301" i="20"/>
  <c r="R81" i="12"/>
  <c r="R82" i="12" s="1"/>
  <c r="R75" i="20"/>
  <c r="R100" i="20"/>
  <c r="R326" i="20"/>
  <c r="R315" i="20"/>
  <c r="R89" i="20"/>
  <c r="R267" i="20"/>
  <c r="R41" i="20"/>
  <c r="R336" i="20"/>
  <c r="R110" i="20"/>
  <c r="R361" i="20"/>
  <c r="R135" i="20"/>
  <c r="R259" i="20"/>
  <c r="R33" i="20"/>
  <c r="R307" i="20"/>
  <c r="R81" i="20"/>
  <c r="R342" i="20"/>
  <c r="R116" i="20"/>
  <c r="R137" i="20"/>
  <c r="R363" i="20"/>
  <c r="R263" i="20"/>
  <c r="R37" i="20"/>
  <c r="R179" i="12"/>
  <c r="R253" i="20"/>
  <c r="R33" i="12"/>
  <c r="R34" i="12" s="1"/>
  <c r="R27" i="20"/>
  <c r="R43" i="20"/>
  <c r="R269" i="20"/>
  <c r="R113" i="20"/>
  <c r="R339" i="20"/>
  <c r="R136" i="20"/>
  <c r="R362" i="20"/>
  <c r="P186" i="20"/>
  <c r="P177" i="20"/>
  <c r="Q392" i="20"/>
  <c r="P400" i="20"/>
  <c r="P447" i="20"/>
  <c r="P448" i="20" s="1"/>
  <c r="P449" i="20" s="1"/>
  <c r="P442" i="20" s="1"/>
  <c r="P273" i="20"/>
  <c r="P409" i="20" s="1"/>
  <c r="P403" i="20"/>
  <c r="P345" i="20"/>
  <c r="P412" i="20" s="1"/>
  <c r="Q118" i="20"/>
  <c r="Q119" i="20" s="1"/>
  <c r="Q142" i="20"/>
  <c r="Q143" i="20" s="1"/>
  <c r="R284" i="20"/>
  <c r="R58" i="20"/>
  <c r="Q70" i="20"/>
  <c r="Q71" i="20" s="1"/>
  <c r="P402" i="20"/>
  <c r="P321" i="20"/>
  <c r="P411" i="20" s="1"/>
  <c r="Q164" i="12"/>
  <c r="Q173" i="12"/>
  <c r="Q368" i="20"/>
  <c r="Q272" i="20"/>
  <c r="R65" i="20"/>
  <c r="R291" i="20"/>
  <c r="R52" i="20"/>
  <c r="R278" i="20"/>
  <c r="R292" i="20"/>
  <c r="R66" i="20"/>
  <c r="R111" i="20"/>
  <c r="R337" i="20"/>
  <c r="R134" i="20"/>
  <c r="R360" i="20"/>
  <c r="R154" i="20"/>
  <c r="R380" i="20"/>
  <c r="R60" i="20"/>
  <c r="R286" i="20"/>
  <c r="R161" i="20"/>
  <c r="R387" i="20"/>
  <c r="R85" i="20"/>
  <c r="R311" i="20"/>
  <c r="R364" i="20"/>
  <c r="R138" i="20"/>
  <c r="R359" i="20"/>
  <c r="R133" i="20"/>
  <c r="R180" i="12"/>
  <c r="R51" i="20"/>
  <c r="R57" i="12"/>
  <c r="R58" i="12" s="1"/>
  <c r="R277" i="20"/>
  <c r="R383" i="20"/>
  <c r="R157" i="20"/>
  <c r="R90" i="20"/>
  <c r="R316" i="20"/>
  <c r="R270" i="20"/>
  <c r="R44" i="20"/>
  <c r="R295" i="20"/>
  <c r="R69" i="20"/>
  <c r="R117" i="20"/>
  <c r="R343" i="20"/>
  <c r="R164" i="20"/>
  <c r="R390" i="20"/>
  <c r="R266" i="20"/>
  <c r="R40" i="20"/>
  <c r="R288" i="20"/>
  <c r="R62" i="20"/>
  <c r="R335" i="20"/>
  <c r="R109" i="20"/>
  <c r="R358" i="20"/>
  <c r="R132" i="20"/>
  <c r="R356" i="20"/>
  <c r="R130" i="20"/>
  <c r="P175" i="20"/>
  <c r="P184" i="20"/>
  <c r="Q320" i="20"/>
  <c r="P179" i="20"/>
  <c r="P188" i="20"/>
  <c r="P369" i="20"/>
  <c r="P413" i="20" s="1"/>
  <c r="P404" i="20"/>
  <c r="Q175" i="12"/>
  <c r="Q166" i="12"/>
  <c r="O392" i="17"/>
  <c r="O170" i="17" s="1"/>
  <c r="O325" i="17"/>
  <c r="O111" i="17" s="1"/>
  <c r="S24" i="17"/>
  <c r="U5" i="12"/>
  <c r="U9" i="12" s="1"/>
  <c r="O399" i="17"/>
  <c r="O171" i="17" s="1"/>
  <c r="N348" i="17"/>
  <c r="N139" i="17" s="1"/>
  <c r="N237" i="17"/>
  <c r="N49" i="17" s="1"/>
  <c r="N318" i="17"/>
  <c r="N110" i="17" s="1"/>
  <c r="K260" i="17"/>
  <c r="K77" i="17" s="1"/>
  <c r="K85" i="17" s="1"/>
  <c r="K87" i="17" s="1"/>
  <c r="K88" i="17" s="1"/>
  <c r="N355" i="17"/>
  <c r="N140" i="17" s="1"/>
  <c r="L406" i="17"/>
  <c r="O279" i="17"/>
  <c r="M228" i="17"/>
  <c r="N273" i="17"/>
  <c r="N275" i="17" s="1"/>
  <c r="P249" i="17"/>
  <c r="K222" i="17"/>
  <c r="K224" i="17" s="1"/>
  <c r="Q74" i="17"/>
  <c r="L258" i="17"/>
  <c r="O353" i="17"/>
  <c r="P323" i="17"/>
  <c r="L377" i="17"/>
  <c r="L379" i="17" s="1"/>
  <c r="L340" i="17"/>
  <c r="L342" i="17" s="1"/>
  <c r="O362" i="17"/>
  <c r="O141" i="17" s="1"/>
  <c r="K333" i="17"/>
  <c r="K335" i="17" s="1"/>
  <c r="P286" i="17"/>
  <c r="Q104" i="17"/>
  <c r="Q44" i="17"/>
  <c r="O428" i="17"/>
  <c r="O430" i="17" s="1"/>
  <c r="L295" i="17"/>
  <c r="L370" i="17"/>
  <c r="L372" i="17" s="1"/>
  <c r="M414" i="17"/>
  <c r="M416" i="17" s="1"/>
  <c r="N310" i="17"/>
  <c r="N312" i="17" s="1"/>
  <c r="P390" i="17"/>
  <c r="O235" i="17"/>
  <c r="N281" i="17"/>
  <c r="N80" i="17" s="1"/>
  <c r="N420" i="17"/>
  <c r="O436" i="17"/>
  <c r="O201" i="17" s="1"/>
  <c r="M384" i="17"/>
  <c r="M386" i="17" s="1"/>
  <c r="P397" i="17"/>
  <c r="L266" i="17"/>
  <c r="L268" i="17" s="1"/>
  <c r="O346" i="17"/>
  <c r="S28" i="17"/>
  <c r="R184" i="17"/>
  <c r="R154" i="17"/>
  <c r="R125" i="17"/>
  <c r="R97" i="17"/>
  <c r="R63" i="17"/>
  <c r="R69" i="17"/>
  <c r="R34" i="17"/>
  <c r="R53" i="17"/>
  <c r="R202" i="17"/>
  <c r="R112" i="17"/>
  <c r="R185" i="17"/>
  <c r="R155" i="17"/>
  <c r="R127" i="17"/>
  <c r="R93" i="17"/>
  <c r="R99" i="17"/>
  <c r="R64" i="17"/>
  <c r="R35" i="17"/>
  <c r="R203" i="17"/>
  <c r="R113" i="17"/>
  <c r="R187" i="17"/>
  <c r="R124" i="17"/>
  <c r="R95" i="17"/>
  <c r="R67" i="17"/>
  <c r="R43" i="17"/>
  <c r="R189" i="17"/>
  <c r="R153" i="17"/>
  <c r="R129" i="17"/>
  <c r="R33" i="17"/>
  <c r="R52" i="17"/>
  <c r="R142" i="17"/>
  <c r="R172" i="17"/>
  <c r="R183" i="17"/>
  <c r="R159" i="17"/>
  <c r="R37" i="17"/>
  <c r="R83" i="17"/>
  <c r="R173" i="17"/>
  <c r="R123" i="17"/>
  <c r="R193" i="17"/>
  <c r="R157" i="17"/>
  <c r="R143" i="17"/>
  <c r="R65" i="17"/>
  <c r="R39" i="17"/>
  <c r="R94" i="17"/>
  <c r="R102" i="17"/>
  <c r="R82" i="17"/>
  <c r="R191" i="17"/>
  <c r="R41" i="17"/>
  <c r="R133" i="17"/>
  <c r="R161" i="17"/>
  <c r="R72" i="17"/>
  <c r="R192" i="17"/>
  <c r="R42" i="17"/>
  <c r="R131" i="17"/>
  <c r="R73" i="17"/>
  <c r="R103" i="17"/>
  <c r="R163" i="17"/>
  <c r="R101" i="17"/>
  <c r="R132" i="17"/>
  <c r="R162" i="17"/>
  <c r="R71" i="17"/>
  <c r="Q164" i="17"/>
  <c r="P360" i="17"/>
  <c r="Q134" i="17"/>
  <c r="Q194" i="17"/>
  <c r="K408" i="17"/>
  <c r="K197" i="17" s="1"/>
  <c r="K205" i="17" s="1"/>
  <c r="K207" i="17" s="1"/>
  <c r="K208" i="17" s="1"/>
  <c r="N243" i="17"/>
  <c r="N245" i="17" s="1"/>
  <c r="M303" i="17"/>
  <c r="M305" i="17" s="1"/>
  <c r="K297" i="17"/>
  <c r="K107" i="17" s="1"/>
  <c r="K115" i="17" s="1"/>
  <c r="K117" i="17" s="1"/>
  <c r="K118" i="17" s="1"/>
  <c r="O316" i="17"/>
  <c r="M422" i="17"/>
  <c r="M199" i="17" s="1"/>
  <c r="P434" i="17"/>
  <c r="L230" i="17"/>
  <c r="L48" i="17" s="1"/>
  <c r="O251" i="17"/>
  <c r="O51" i="17" s="1"/>
  <c r="O288" i="17"/>
  <c r="O81" i="17" s="1"/>
  <c r="V17" i="21" l="1"/>
  <c r="V117" i="21"/>
  <c r="V92" i="21"/>
  <c r="V42" i="21"/>
  <c r="V142" i="21"/>
  <c r="V67" i="21"/>
  <c r="W9" i="20"/>
  <c r="V13" i="20"/>
  <c r="R236" i="12"/>
  <c r="R237" i="12" s="1"/>
  <c r="R229" i="12" s="1"/>
  <c r="R170" i="12"/>
  <c r="R192" i="12" s="1"/>
  <c r="W12" i="3"/>
  <c r="X12" i="3" s="1"/>
  <c r="T143" i="12"/>
  <c r="U143" i="21" s="1"/>
  <c r="T147" i="12"/>
  <c r="U147" i="21" s="1"/>
  <c r="T151" i="12"/>
  <c r="U151" i="21" s="1"/>
  <c r="T137" i="12"/>
  <c r="U137" i="21" s="1"/>
  <c r="T141" i="12"/>
  <c r="U141" i="21" s="1"/>
  <c r="T145" i="12"/>
  <c r="U145" i="21" s="1"/>
  <c r="T149" i="12"/>
  <c r="U149" i="21" s="1"/>
  <c r="T139" i="12"/>
  <c r="U139" i="21" s="1"/>
  <c r="T135" i="12"/>
  <c r="U135" i="21" s="1"/>
  <c r="T117" i="12"/>
  <c r="U116" i="21" s="1"/>
  <c r="T144" i="12"/>
  <c r="U144" i="21" s="1"/>
  <c r="T148" i="12"/>
  <c r="U148" i="21" s="1"/>
  <c r="T152" i="12"/>
  <c r="U152" i="21" s="1"/>
  <c r="T140" i="12"/>
  <c r="U140" i="21" s="1"/>
  <c r="T123" i="12"/>
  <c r="U122" i="21" s="1"/>
  <c r="T127" i="12"/>
  <c r="U126" i="21" s="1"/>
  <c r="T113" i="12"/>
  <c r="U112" i="21" s="1"/>
  <c r="T146" i="12"/>
  <c r="U146" i="21" s="1"/>
  <c r="T119" i="12"/>
  <c r="U118" i="21" s="1"/>
  <c r="T121" i="12"/>
  <c r="U120" i="21" s="1"/>
  <c r="T125" i="12"/>
  <c r="U124" i="21" s="1"/>
  <c r="T115" i="12"/>
  <c r="U114" i="21" s="1"/>
  <c r="T111" i="12"/>
  <c r="U110" i="21" s="1"/>
  <c r="T93" i="12"/>
  <c r="U91" i="21" s="1"/>
  <c r="T97" i="12"/>
  <c r="U95" i="21" s="1"/>
  <c r="T101" i="12"/>
  <c r="U99" i="21" s="1"/>
  <c r="T138" i="12"/>
  <c r="U138" i="21" s="1"/>
  <c r="T120" i="12"/>
  <c r="U119" i="21" s="1"/>
  <c r="T124" i="12"/>
  <c r="U123" i="21" s="1"/>
  <c r="T128" i="12"/>
  <c r="U127" i="21" s="1"/>
  <c r="T116" i="12"/>
  <c r="U115" i="21" s="1"/>
  <c r="T122" i="12"/>
  <c r="U121" i="21" s="1"/>
  <c r="T99" i="12"/>
  <c r="U97" i="21" s="1"/>
  <c r="T89" i="12"/>
  <c r="U87" i="21" s="1"/>
  <c r="T90" i="12"/>
  <c r="U88" i="21" s="1"/>
  <c r="T98" i="12"/>
  <c r="U96" i="21" s="1"/>
  <c r="T100" i="12"/>
  <c r="U98" i="21" s="1"/>
  <c r="T92" i="12"/>
  <c r="U90" i="21" s="1"/>
  <c r="T72" i="12"/>
  <c r="U69" i="21" s="1"/>
  <c r="T76" i="12"/>
  <c r="U73" i="21" s="1"/>
  <c r="T80" i="12"/>
  <c r="U77" i="21" s="1"/>
  <c r="T150" i="12"/>
  <c r="U150" i="21" s="1"/>
  <c r="T126" i="12"/>
  <c r="U125" i="21" s="1"/>
  <c r="T95" i="12"/>
  <c r="U93" i="21" s="1"/>
  <c r="T102" i="12"/>
  <c r="U100" i="21" s="1"/>
  <c r="T104" i="12"/>
  <c r="U102" i="21" s="1"/>
  <c r="T96" i="12"/>
  <c r="U94" i="21" s="1"/>
  <c r="T91" i="12"/>
  <c r="U89" i="21" s="1"/>
  <c r="T74" i="12"/>
  <c r="U71" i="21" s="1"/>
  <c r="T67" i="12"/>
  <c r="U64" i="21" s="1"/>
  <c r="T68" i="12"/>
  <c r="U65" i="21" s="1"/>
  <c r="T48" i="12"/>
  <c r="U44" i="21" s="1"/>
  <c r="T114" i="12"/>
  <c r="U113" i="21" s="1"/>
  <c r="T73" i="12"/>
  <c r="U70" i="21" s="1"/>
  <c r="T75" i="12"/>
  <c r="U72" i="21" s="1"/>
  <c r="T65" i="12"/>
  <c r="U62" i="21" s="1"/>
  <c r="T50" i="12"/>
  <c r="U46" i="21" s="1"/>
  <c r="T54" i="12"/>
  <c r="U50" i="21" s="1"/>
  <c r="T42" i="12"/>
  <c r="U38" i="21" s="1"/>
  <c r="T77" i="12"/>
  <c r="U74" i="21" s="1"/>
  <c r="T79" i="12"/>
  <c r="U76" i="21" s="1"/>
  <c r="T66" i="12"/>
  <c r="U63" i="21" s="1"/>
  <c r="T63" i="12"/>
  <c r="U60" i="21" s="1"/>
  <c r="T45" i="12"/>
  <c r="U41" i="21" s="1"/>
  <c r="T49" i="12"/>
  <c r="U45" i="21" s="1"/>
  <c r="T103" i="12"/>
  <c r="U101" i="21" s="1"/>
  <c r="T56" i="12"/>
  <c r="U52" i="21" s="1"/>
  <c r="T25" i="12"/>
  <c r="U20" i="21" s="1"/>
  <c r="T29" i="12"/>
  <c r="U24" i="21" s="1"/>
  <c r="T19" i="12"/>
  <c r="U14" i="21" s="1"/>
  <c r="T71" i="12"/>
  <c r="U68" i="21" s="1"/>
  <c r="T47" i="12"/>
  <c r="U43" i="21" s="1"/>
  <c r="T32" i="12"/>
  <c r="U27" i="21" s="1"/>
  <c r="T87" i="12"/>
  <c r="U85" i="21" s="1"/>
  <c r="T78" i="12"/>
  <c r="U75" i="21" s="1"/>
  <c r="T55" i="12"/>
  <c r="U51" i="21" s="1"/>
  <c r="T43" i="12"/>
  <c r="U39" i="21" s="1"/>
  <c r="T27" i="12"/>
  <c r="U22" i="21" s="1"/>
  <c r="T31" i="12"/>
  <c r="U26" i="21" s="1"/>
  <c r="T17" i="12"/>
  <c r="U12" i="21" s="1"/>
  <c r="T18" i="12"/>
  <c r="U13" i="21" s="1"/>
  <c r="T15" i="12"/>
  <c r="U10" i="21" s="1"/>
  <c r="T51" i="12"/>
  <c r="U47" i="21" s="1"/>
  <c r="T39" i="12"/>
  <c r="U35" i="21" s="1"/>
  <c r="T23" i="12"/>
  <c r="U18" i="21" s="1"/>
  <c r="T20" i="12"/>
  <c r="U15" i="21" s="1"/>
  <c r="T69" i="12"/>
  <c r="U66" i="21" s="1"/>
  <c r="T52" i="12"/>
  <c r="U48" i="21" s="1"/>
  <c r="T44" i="12"/>
  <c r="U40" i="21" s="1"/>
  <c r="T21" i="12"/>
  <c r="U16" i="21" s="1"/>
  <c r="T24" i="12"/>
  <c r="U19" i="21" s="1"/>
  <c r="T26" i="12"/>
  <c r="U21" i="21" s="1"/>
  <c r="T30" i="12"/>
  <c r="U25" i="21" s="1"/>
  <c r="T53" i="12"/>
  <c r="U49" i="21" s="1"/>
  <c r="T41" i="12"/>
  <c r="U37" i="21" s="1"/>
  <c r="T28" i="12"/>
  <c r="U23" i="21" s="1"/>
  <c r="S36" i="21"/>
  <c r="S53" i="21" s="1"/>
  <c r="S136" i="21"/>
  <c r="S153" i="21" s="1"/>
  <c r="S61" i="21"/>
  <c r="S78" i="21" s="1"/>
  <c r="S86" i="21"/>
  <c r="S103" i="21" s="1"/>
  <c r="S111" i="21"/>
  <c r="S128" i="21" s="1"/>
  <c r="S32" i="20"/>
  <c r="S258" i="20"/>
  <c r="S305" i="20"/>
  <c r="S79" i="20"/>
  <c r="S378" i="20"/>
  <c r="S152" i="20"/>
  <c r="S80" i="20"/>
  <c r="S306" i="20"/>
  <c r="S126" i="20"/>
  <c r="S352" i="20"/>
  <c r="S55" i="20"/>
  <c r="S281" i="20"/>
  <c r="S353" i="20"/>
  <c r="S127" i="20"/>
  <c r="S150" i="20"/>
  <c r="S376" i="20"/>
  <c r="S102" i="20"/>
  <c r="S328" i="20"/>
  <c r="S282" i="20"/>
  <c r="S56" i="20"/>
  <c r="S330" i="20"/>
  <c r="S104" i="20"/>
  <c r="S151" i="20"/>
  <c r="S377" i="20"/>
  <c r="S304" i="20"/>
  <c r="S78" i="20"/>
  <c r="S103" i="20"/>
  <c r="S329" i="20"/>
  <c r="S128" i="20"/>
  <c r="S354" i="20"/>
  <c r="S54" i="20"/>
  <c r="S280" i="20"/>
  <c r="S11" i="21"/>
  <c r="S28" i="21" s="1"/>
  <c r="S257" i="20"/>
  <c r="S31" i="20"/>
  <c r="S256" i="20"/>
  <c r="S30" i="20"/>
  <c r="T55" i="3"/>
  <c r="S58" i="3"/>
  <c r="S29" i="3"/>
  <c r="S35" i="3" s="1"/>
  <c r="S38" i="3" s="1"/>
  <c r="S41" i="3" s="1"/>
  <c r="T26" i="3"/>
  <c r="S234" i="12"/>
  <c r="S235" i="12" s="1"/>
  <c r="V299" i="3"/>
  <c r="V291" i="3"/>
  <c r="V283" i="3"/>
  <c r="V270" i="3"/>
  <c r="V262" i="3"/>
  <c r="V254" i="3"/>
  <c r="V246" i="3"/>
  <c r="V238" i="3"/>
  <c r="V230" i="3"/>
  <c r="V214" i="3"/>
  <c r="V222" i="3"/>
  <c r="R164" i="17"/>
  <c r="R46" i="20"/>
  <c r="Q321" i="20"/>
  <c r="Q411" i="20" s="1"/>
  <c r="Q402" i="20"/>
  <c r="R320" i="20"/>
  <c r="Q176" i="20"/>
  <c r="Q185" i="20"/>
  <c r="R392" i="20"/>
  <c r="S283" i="20"/>
  <c r="S57" i="20"/>
  <c r="S89" i="20"/>
  <c r="S315" i="20"/>
  <c r="S153" i="20"/>
  <c r="S379" i="20"/>
  <c r="S318" i="20"/>
  <c r="S92" i="20"/>
  <c r="S45" i="20"/>
  <c r="S271" i="20"/>
  <c r="S88" i="20"/>
  <c r="S314" i="20"/>
  <c r="S135" i="20"/>
  <c r="S361" i="20"/>
  <c r="S355" i="20"/>
  <c r="S129" i="20"/>
  <c r="S380" i="20"/>
  <c r="S154" i="20"/>
  <c r="S181" i="12"/>
  <c r="S81" i="12"/>
  <c r="S82" i="12" s="1"/>
  <c r="S75" i="20"/>
  <c r="S301" i="20"/>
  <c r="S364" i="20"/>
  <c r="S138" i="20"/>
  <c r="S52" i="20"/>
  <c r="S278" i="20"/>
  <c r="S384" i="20"/>
  <c r="S158" i="20"/>
  <c r="S263" i="20"/>
  <c r="S37" i="20"/>
  <c r="S336" i="20"/>
  <c r="S110" i="20"/>
  <c r="S391" i="20"/>
  <c r="S165" i="20"/>
  <c r="S374" i="20"/>
  <c r="S148" i="20"/>
  <c r="S90" i="20"/>
  <c r="S316" i="20"/>
  <c r="S43" i="20"/>
  <c r="S269" i="20"/>
  <c r="S40" i="20"/>
  <c r="S266" i="20"/>
  <c r="S86" i="20"/>
  <c r="S312" i="20"/>
  <c r="S113" i="20"/>
  <c r="S339" i="20"/>
  <c r="S160" i="20"/>
  <c r="S386" i="20"/>
  <c r="S82" i="20"/>
  <c r="S308" i="20"/>
  <c r="R173" i="12"/>
  <c r="R164" i="12"/>
  <c r="R296" i="20"/>
  <c r="Q273" i="20"/>
  <c r="Q409" i="20" s="1"/>
  <c r="Q400" i="20"/>
  <c r="Q447" i="20"/>
  <c r="Q448" i="20" s="1"/>
  <c r="Q449" i="20" s="1"/>
  <c r="Q442" i="20" s="1"/>
  <c r="Q405" i="20"/>
  <c r="Q393" i="20"/>
  <c r="Q414" i="20" s="1"/>
  <c r="R161" i="12"/>
  <c r="R188" i="12" s="1"/>
  <c r="R175" i="12"/>
  <c r="R166" i="12"/>
  <c r="R368" i="20"/>
  <c r="S341" i="20"/>
  <c r="S115" i="20"/>
  <c r="S84" i="20"/>
  <c r="S310" i="20"/>
  <c r="S65" i="20"/>
  <c r="S291" i="20"/>
  <c r="S60" i="20"/>
  <c r="S286" i="20"/>
  <c r="S264" i="20"/>
  <c r="S38" i="20"/>
  <c r="S100" i="20"/>
  <c r="S326" i="20"/>
  <c r="S337" i="20"/>
  <c r="S111" i="20"/>
  <c r="S350" i="20"/>
  <c r="S124" i="20"/>
  <c r="S388" i="20"/>
  <c r="S162" i="20"/>
  <c r="S183" i="12"/>
  <c r="S129" i="12"/>
  <c r="S130" i="12" s="1"/>
  <c r="S349" i="20"/>
  <c r="S123" i="20"/>
  <c r="S317" i="20"/>
  <c r="S91" i="20"/>
  <c r="S28" i="20"/>
  <c r="S254" i="20"/>
  <c r="S140" i="20"/>
  <c r="S366" i="20"/>
  <c r="S287" i="20"/>
  <c r="S61" i="20"/>
  <c r="S338" i="20"/>
  <c r="S112" i="20"/>
  <c r="S182" i="12"/>
  <c r="S99" i="20"/>
  <c r="S105" i="12"/>
  <c r="S106" i="12" s="1"/>
  <c r="S325" i="20"/>
  <c r="S262" i="20"/>
  <c r="S36" i="20"/>
  <c r="S335" i="20"/>
  <c r="S109" i="20"/>
  <c r="S387" i="20"/>
  <c r="S161" i="20"/>
  <c r="S332" i="20"/>
  <c r="S106" i="20"/>
  <c r="R118" i="20"/>
  <c r="R119" i="20" s="1"/>
  <c r="Q345" i="20"/>
  <c r="Q412" i="20" s="1"/>
  <c r="Q403" i="20"/>
  <c r="R171" i="12"/>
  <c r="R162" i="12"/>
  <c r="Q404" i="20"/>
  <c r="Q369" i="20"/>
  <c r="Q413" i="20" s="1"/>
  <c r="Q178" i="20"/>
  <c r="Q187" i="20"/>
  <c r="R272" i="20"/>
  <c r="R94" i="20"/>
  <c r="R95" i="20" s="1"/>
  <c r="R142" i="20"/>
  <c r="R143" i="20" s="1"/>
  <c r="S265" i="20"/>
  <c r="S39" i="20"/>
  <c r="S108" i="20"/>
  <c r="S334" i="20"/>
  <c r="S184" i="12"/>
  <c r="S147" i="20"/>
  <c r="S153" i="12"/>
  <c r="S154" i="12" s="1"/>
  <c r="S373" i="20"/>
  <c r="S63" i="20"/>
  <c r="S289" i="20"/>
  <c r="S340" i="20"/>
  <c r="S114" i="20"/>
  <c r="S331" i="20"/>
  <c r="S105" i="20"/>
  <c r="S130" i="20"/>
  <c r="S356" i="20"/>
  <c r="S116" i="20"/>
  <c r="S342" i="20"/>
  <c r="T110" i="12"/>
  <c r="U109" i="21" s="1"/>
  <c r="T38" i="12"/>
  <c r="U34" i="21" s="1"/>
  <c r="T62" i="12"/>
  <c r="U59" i="21" s="1"/>
  <c r="U10" i="12"/>
  <c r="U14" i="20" s="1"/>
  <c r="T134" i="12"/>
  <c r="U134" i="21" s="1"/>
  <c r="T86" i="12"/>
  <c r="U84" i="21" s="1"/>
  <c r="T14" i="12"/>
  <c r="U9" i="21" s="1"/>
  <c r="S294" i="20"/>
  <c r="S68" i="20"/>
  <c r="S359" i="20"/>
  <c r="S133" i="20"/>
  <c r="S66" i="20"/>
  <c r="S292" i="20"/>
  <c r="S284" i="20"/>
  <c r="S58" i="20"/>
  <c r="S260" i="20"/>
  <c r="S34" i="20"/>
  <c r="S64" i="20"/>
  <c r="S290" i="20"/>
  <c r="S180" i="12"/>
  <c r="S277" i="20"/>
  <c r="S51" i="20"/>
  <c r="S57" i="12"/>
  <c r="S58" i="12" s="1"/>
  <c r="S62" i="20"/>
  <c r="S288" i="20"/>
  <c r="S85" i="20"/>
  <c r="S311" i="20"/>
  <c r="S136" i="20"/>
  <c r="S362" i="20"/>
  <c r="R344" i="20"/>
  <c r="Q183" i="20"/>
  <c r="Q174" i="20"/>
  <c r="Q221" i="20"/>
  <c r="Q222" i="20" s="1"/>
  <c r="Q223" i="20" s="1"/>
  <c r="Q216" i="20" s="1"/>
  <c r="R70" i="20"/>
  <c r="R71" i="20" s="1"/>
  <c r="Q184" i="20"/>
  <c r="Q175" i="20"/>
  <c r="Q186" i="20"/>
  <c r="Q177" i="20"/>
  <c r="R172" i="12"/>
  <c r="R163" i="12"/>
  <c r="Q179" i="20"/>
  <c r="Q188" i="20"/>
  <c r="R166" i="20"/>
  <c r="R167" i="20" s="1"/>
  <c r="R165" i="12"/>
  <c r="R174" i="12"/>
  <c r="S42" i="20"/>
  <c r="S268" i="20"/>
  <c r="S134" i="20"/>
  <c r="S360" i="20"/>
  <c r="S365" i="20"/>
  <c r="S139" i="20"/>
  <c r="S295" i="20"/>
  <c r="S69" i="20"/>
  <c r="S363" i="20"/>
  <c r="S137" i="20"/>
  <c r="S385" i="20"/>
  <c r="S159" i="20"/>
  <c r="S307" i="20"/>
  <c r="S81" i="20"/>
  <c r="S164" i="20"/>
  <c r="S390" i="20"/>
  <c r="S382" i="20"/>
  <c r="S156" i="20"/>
  <c r="S270" i="20"/>
  <c r="S44" i="20"/>
  <c r="S132" i="20"/>
  <c r="S358" i="20"/>
  <c r="S141" i="20"/>
  <c r="S367" i="20"/>
  <c r="S41" i="20"/>
  <c r="S267" i="20"/>
  <c r="S313" i="20"/>
  <c r="S87" i="20"/>
  <c r="S117" i="20"/>
  <c r="S343" i="20"/>
  <c r="S33" i="20"/>
  <c r="S259" i="20"/>
  <c r="S157" i="20"/>
  <c r="S383" i="20"/>
  <c r="S67" i="20"/>
  <c r="S293" i="20"/>
  <c r="S179" i="12"/>
  <c r="S253" i="20"/>
  <c r="S27" i="20"/>
  <c r="S33" i="12"/>
  <c r="S34" i="12" s="1"/>
  <c r="S93" i="20"/>
  <c r="S319" i="20"/>
  <c r="S302" i="20"/>
  <c r="S76" i="20"/>
  <c r="S389" i="20"/>
  <c r="S163" i="20"/>
  <c r="Q401" i="20"/>
  <c r="Q297" i="20"/>
  <c r="Q410" i="20" s="1"/>
  <c r="T24" i="17"/>
  <c r="V5" i="12"/>
  <c r="V9" i="12" s="1"/>
  <c r="L378" i="17"/>
  <c r="L168" i="17" s="1"/>
  <c r="N311" i="17"/>
  <c r="N109" i="17" s="1"/>
  <c r="O429" i="17"/>
  <c r="O200" i="17" s="1"/>
  <c r="N244" i="17"/>
  <c r="N50" i="17" s="1"/>
  <c r="K334" i="17"/>
  <c r="K137" i="17" s="1"/>
  <c r="K145" i="17" s="1"/>
  <c r="K147" i="17" s="1"/>
  <c r="K148" i="17" s="1"/>
  <c r="M415" i="17"/>
  <c r="M198" i="17" s="1"/>
  <c r="L407" i="17"/>
  <c r="L409" i="17" s="1"/>
  <c r="P361" i="17"/>
  <c r="P363" i="17" s="1"/>
  <c r="R134" i="17"/>
  <c r="R74" i="17"/>
  <c r="L267" i="17"/>
  <c r="L78" i="17" s="1"/>
  <c r="P398" i="17"/>
  <c r="P400" i="17" s="1"/>
  <c r="O236" i="17"/>
  <c r="O238" i="17" s="1"/>
  <c r="N413" i="17"/>
  <c r="P287" i="17"/>
  <c r="P289" i="17" s="1"/>
  <c r="P250" i="17"/>
  <c r="P252" i="17" s="1"/>
  <c r="N274" i="17"/>
  <c r="N79" i="17" s="1"/>
  <c r="N302" i="17"/>
  <c r="N383" i="17"/>
  <c r="M229" i="17"/>
  <c r="M231" i="17" s="1"/>
  <c r="O242" i="17"/>
  <c r="R194" i="17"/>
  <c r="R44" i="17"/>
  <c r="S185" i="17"/>
  <c r="S155" i="17"/>
  <c r="S127" i="17"/>
  <c r="S93" i="17"/>
  <c r="S99" i="17"/>
  <c r="S64" i="17"/>
  <c r="S35" i="17"/>
  <c r="S52" i="17"/>
  <c r="S187" i="17"/>
  <c r="S157" i="17"/>
  <c r="S129" i="17"/>
  <c r="S94" i="17"/>
  <c r="S65" i="17"/>
  <c r="S37" i="17"/>
  <c r="S53" i="17"/>
  <c r="S202" i="17"/>
  <c r="S112" i="17"/>
  <c r="S189" i="17"/>
  <c r="S153" i="17"/>
  <c r="S125" i="17"/>
  <c r="S97" i="17"/>
  <c r="S69" i="17"/>
  <c r="S33" i="17"/>
  <c r="S82" i="17"/>
  <c r="S113" i="17"/>
  <c r="S154" i="17"/>
  <c r="S34" i="17"/>
  <c r="S83" i="17"/>
  <c r="S124" i="17"/>
  <c r="S95" i="17"/>
  <c r="S203" i="17"/>
  <c r="S143" i="17"/>
  <c r="T28" i="17"/>
  <c r="S184" i="17"/>
  <c r="S63" i="17"/>
  <c r="S172" i="17"/>
  <c r="S183" i="17"/>
  <c r="S159" i="17"/>
  <c r="S142" i="17"/>
  <c r="S173" i="17"/>
  <c r="S39" i="17"/>
  <c r="S67" i="17"/>
  <c r="S41" i="17"/>
  <c r="S193" i="17"/>
  <c r="S161" i="17"/>
  <c r="S191" i="17"/>
  <c r="S133" i="17"/>
  <c r="S102" i="17"/>
  <c r="S43" i="17"/>
  <c r="S123" i="17"/>
  <c r="S132" i="17"/>
  <c r="S72" i="17"/>
  <c r="S71" i="17"/>
  <c r="S131" i="17"/>
  <c r="S162" i="17"/>
  <c r="S192" i="17"/>
  <c r="S163" i="17"/>
  <c r="S101" i="17"/>
  <c r="S42" i="17"/>
  <c r="S73" i="17"/>
  <c r="S103" i="17"/>
  <c r="M265" i="17"/>
  <c r="N421" i="17"/>
  <c r="N423" i="17" s="1"/>
  <c r="P391" i="17"/>
  <c r="P393" i="17" s="1"/>
  <c r="L371" i="17"/>
  <c r="L167" i="17" s="1"/>
  <c r="P427" i="17"/>
  <c r="M376" i="17"/>
  <c r="P324" i="17"/>
  <c r="P326" i="17" s="1"/>
  <c r="O280" i="17"/>
  <c r="O282" i="17" s="1"/>
  <c r="P435" i="17"/>
  <c r="P437" i="17" s="1"/>
  <c r="R104" i="17"/>
  <c r="M369" i="17"/>
  <c r="M339" i="17"/>
  <c r="O354" i="17"/>
  <c r="O356" i="17" s="1"/>
  <c r="L259" i="17"/>
  <c r="L261" i="17" s="1"/>
  <c r="L221" i="17"/>
  <c r="O317" i="17"/>
  <c r="O319" i="17" s="1"/>
  <c r="M304" i="17"/>
  <c r="M108" i="17" s="1"/>
  <c r="O347" i="17"/>
  <c r="O349" i="17" s="1"/>
  <c r="M385" i="17"/>
  <c r="M169" i="17" s="1"/>
  <c r="O309" i="17"/>
  <c r="L296" i="17"/>
  <c r="L298" i="17" s="1"/>
  <c r="L332" i="17"/>
  <c r="L341" i="17"/>
  <c r="L138" i="17" s="1"/>
  <c r="K223" i="17"/>
  <c r="K47" i="17" s="1"/>
  <c r="K55" i="17" s="1"/>
  <c r="K57" i="17" s="1"/>
  <c r="K58" i="17" s="1"/>
  <c r="O272" i="17"/>
  <c r="W17" i="21" l="1"/>
  <c r="W92" i="21"/>
  <c r="W117" i="21"/>
  <c r="W142" i="21"/>
  <c r="W67" i="21"/>
  <c r="W42" i="21"/>
  <c r="X9" i="20"/>
  <c r="W13" i="20"/>
  <c r="R47" i="20"/>
  <c r="R183" i="20" s="1"/>
  <c r="W321" i="3"/>
  <c r="S236" i="12"/>
  <c r="S237" i="12" s="1"/>
  <c r="S229" i="12" s="1"/>
  <c r="S170" i="12"/>
  <c r="S192" i="12" s="1"/>
  <c r="U144" i="12"/>
  <c r="V144" i="21" s="1"/>
  <c r="U148" i="12"/>
  <c r="V148" i="21" s="1"/>
  <c r="U152" i="12"/>
  <c r="V152" i="21" s="1"/>
  <c r="U140" i="12"/>
  <c r="V140" i="21" s="1"/>
  <c r="U146" i="12"/>
  <c r="V146" i="21" s="1"/>
  <c r="U150" i="12"/>
  <c r="V150" i="21" s="1"/>
  <c r="U138" i="12"/>
  <c r="V138" i="21" s="1"/>
  <c r="U141" i="12"/>
  <c r="V141" i="21" s="1"/>
  <c r="U145" i="12"/>
  <c r="V145" i="21" s="1"/>
  <c r="U149" i="12"/>
  <c r="V149" i="21" s="1"/>
  <c r="U139" i="12"/>
  <c r="V139" i="21" s="1"/>
  <c r="U135" i="12"/>
  <c r="V135" i="21" s="1"/>
  <c r="U143" i="12"/>
  <c r="V143" i="21" s="1"/>
  <c r="U120" i="12"/>
  <c r="V119" i="21" s="1"/>
  <c r="U124" i="12"/>
  <c r="V123" i="21" s="1"/>
  <c r="U128" i="12"/>
  <c r="V127" i="21" s="1"/>
  <c r="U151" i="12"/>
  <c r="V151" i="21" s="1"/>
  <c r="U122" i="12"/>
  <c r="V121" i="21" s="1"/>
  <c r="U126" i="12"/>
  <c r="V125" i="21" s="1"/>
  <c r="U114" i="12"/>
  <c r="V113" i="21" s="1"/>
  <c r="U98" i="12"/>
  <c r="V96" i="21" s="1"/>
  <c r="U102" i="12"/>
  <c r="V100" i="21" s="1"/>
  <c r="U147" i="12"/>
  <c r="V147" i="21" s="1"/>
  <c r="U137" i="12"/>
  <c r="V137" i="21" s="1"/>
  <c r="U119" i="12"/>
  <c r="V118" i="21" s="1"/>
  <c r="U121" i="12"/>
  <c r="V120" i="21" s="1"/>
  <c r="U125" i="12"/>
  <c r="V124" i="21" s="1"/>
  <c r="U115" i="12"/>
  <c r="V114" i="21" s="1"/>
  <c r="U117" i="12"/>
  <c r="V116" i="21" s="1"/>
  <c r="U127" i="12"/>
  <c r="V126" i="21" s="1"/>
  <c r="U111" i="12"/>
  <c r="V110" i="21" s="1"/>
  <c r="U95" i="12"/>
  <c r="V93" i="21" s="1"/>
  <c r="U97" i="12"/>
  <c r="V95" i="21" s="1"/>
  <c r="U104" i="12"/>
  <c r="V102" i="21" s="1"/>
  <c r="U116" i="12"/>
  <c r="V115" i="21" s="1"/>
  <c r="U93" i="12"/>
  <c r="V91" i="21" s="1"/>
  <c r="U96" i="12"/>
  <c r="V94" i="21" s="1"/>
  <c r="U103" i="12"/>
  <c r="V101" i="21" s="1"/>
  <c r="U91" i="12"/>
  <c r="V89" i="21" s="1"/>
  <c r="U87" i="12"/>
  <c r="V85" i="21" s="1"/>
  <c r="U69" i="12"/>
  <c r="V66" i="21" s="1"/>
  <c r="U73" i="12"/>
  <c r="V70" i="21" s="1"/>
  <c r="U77" i="12"/>
  <c r="V74" i="21" s="1"/>
  <c r="U67" i="12"/>
  <c r="V64" i="21" s="1"/>
  <c r="U100" i="12"/>
  <c r="V98" i="21" s="1"/>
  <c r="U92" i="12"/>
  <c r="V90" i="21" s="1"/>
  <c r="U89" i="12"/>
  <c r="V87" i="21" s="1"/>
  <c r="U90" i="12"/>
  <c r="V88" i="21" s="1"/>
  <c r="U72" i="12"/>
  <c r="V69" i="21" s="1"/>
  <c r="U79" i="12"/>
  <c r="V76" i="21" s="1"/>
  <c r="U66" i="12"/>
  <c r="V63" i="21" s="1"/>
  <c r="U63" i="12"/>
  <c r="V60" i="21" s="1"/>
  <c r="U45" i="12"/>
  <c r="V41" i="21" s="1"/>
  <c r="U49" i="12"/>
  <c r="V45" i="21" s="1"/>
  <c r="U123" i="12"/>
  <c r="V122" i="21" s="1"/>
  <c r="U101" i="12"/>
  <c r="V99" i="21" s="1"/>
  <c r="U71" i="12"/>
  <c r="V68" i="21" s="1"/>
  <c r="U78" i="12"/>
  <c r="V75" i="21" s="1"/>
  <c r="U80" i="12"/>
  <c r="V77" i="21" s="1"/>
  <c r="U47" i="12"/>
  <c r="V43" i="21" s="1"/>
  <c r="U51" i="12"/>
  <c r="V47" i="21" s="1"/>
  <c r="U55" i="12"/>
  <c r="V51" i="21" s="1"/>
  <c r="U41" i="12"/>
  <c r="V37" i="21" s="1"/>
  <c r="U23" i="12"/>
  <c r="V18" i="21" s="1"/>
  <c r="U99" i="12"/>
  <c r="V97" i="21" s="1"/>
  <c r="U75" i="12"/>
  <c r="V72" i="21" s="1"/>
  <c r="U65" i="12"/>
  <c r="V62" i="21" s="1"/>
  <c r="U74" i="12"/>
  <c r="V71" i="21" s="1"/>
  <c r="U52" i="12"/>
  <c r="V48" i="21" s="1"/>
  <c r="U54" i="12"/>
  <c r="V50" i="21" s="1"/>
  <c r="U44" i="12"/>
  <c r="V40" i="21" s="1"/>
  <c r="U21" i="12"/>
  <c r="V16" i="21" s="1"/>
  <c r="U24" i="12"/>
  <c r="V19" i="21" s="1"/>
  <c r="U26" i="12"/>
  <c r="V21" i="21" s="1"/>
  <c r="U30" i="12"/>
  <c r="V25" i="21" s="1"/>
  <c r="U29" i="12"/>
  <c r="V24" i="21" s="1"/>
  <c r="U15" i="12"/>
  <c r="V10" i="21" s="1"/>
  <c r="U48" i="12"/>
  <c r="V44" i="21" s="1"/>
  <c r="U53" i="12"/>
  <c r="V49" i="21" s="1"/>
  <c r="U42" i="12"/>
  <c r="V38" i="21" s="1"/>
  <c r="U39" i="12"/>
  <c r="V35" i="21" s="1"/>
  <c r="U28" i="12"/>
  <c r="V23" i="21" s="1"/>
  <c r="U32" i="12"/>
  <c r="V27" i="21" s="1"/>
  <c r="U20" i="12"/>
  <c r="V15" i="21" s="1"/>
  <c r="U27" i="12"/>
  <c r="V22" i="21" s="1"/>
  <c r="U31" i="12"/>
  <c r="V26" i="21" s="1"/>
  <c r="U17" i="12"/>
  <c r="V12" i="21" s="1"/>
  <c r="U113" i="12"/>
  <c r="V112" i="21" s="1"/>
  <c r="U25" i="12"/>
  <c r="V20" i="21" s="1"/>
  <c r="U19" i="12"/>
  <c r="V14" i="21" s="1"/>
  <c r="U76" i="12"/>
  <c r="V73" i="21" s="1"/>
  <c r="U68" i="12"/>
  <c r="V65" i="21" s="1"/>
  <c r="U50" i="12"/>
  <c r="V46" i="21" s="1"/>
  <c r="U43" i="12"/>
  <c r="V39" i="21" s="1"/>
  <c r="U18" i="12"/>
  <c r="V13" i="21" s="1"/>
  <c r="U56" i="12"/>
  <c r="V52" i="21" s="1"/>
  <c r="T36" i="21"/>
  <c r="T53" i="21" s="1"/>
  <c r="T61" i="21"/>
  <c r="T78" i="21" s="1"/>
  <c r="T86" i="21"/>
  <c r="T103" i="21" s="1"/>
  <c r="T111" i="21"/>
  <c r="T128" i="21" s="1"/>
  <c r="T136" i="21"/>
  <c r="T153" i="21" s="1"/>
  <c r="T54" i="20"/>
  <c r="T280" i="20"/>
  <c r="T353" i="20"/>
  <c r="T127" i="20"/>
  <c r="T102" i="20"/>
  <c r="T328" i="20"/>
  <c r="T282" i="20"/>
  <c r="T56" i="20"/>
  <c r="T80" i="20"/>
  <c r="T306" i="20"/>
  <c r="T78" i="20"/>
  <c r="T304" i="20"/>
  <c r="T126" i="20"/>
  <c r="T352" i="20"/>
  <c r="T151" i="20"/>
  <c r="T377" i="20"/>
  <c r="T55" i="20"/>
  <c r="T281" i="20"/>
  <c r="T103" i="20"/>
  <c r="T329" i="20"/>
  <c r="T376" i="20"/>
  <c r="T150" i="20"/>
  <c r="T258" i="20"/>
  <c r="T32" i="20"/>
  <c r="T305" i="20"/>
  <c r="T79" i="20"/>
  <c r="T330" i="20"/>
  <c r="T104" i="20"/>
  <c r="T354" i="20"/>
  <c r="T128" i="20"/>
  <c r="T378" i="20"/>
  <c r="T152" i="20"/>
  <c r="T11" i="21"/>
  <c r="T28" i="21" s="1"/>
  <c r="T257" i="20"/>
  <c r="T31" i="20"/>
  <c r="T30" i="20"/>
  <c r="T256" i="20"/>
  <c r="L175" i="17"/>
  <c r="L177" i="17" s="1"/>
  <c r="L178" i="17" s="1"/>
  <c r="T29" i="3"/>
  <c r="T35" i="3" s="1"/>
  <c r="T38" i="3" s="1"/>
  <c r="T41" i="3" s="1"/>
  <c r="U26" i="3"/>
  <c r="U55" i="3"/>
  <c r="T58" i="3"/>
  <c r="T234" i="12"/>
  <c r="T235" i="12" s="1"/>
  <c r="W299" i="3"/>
  <c r="W291" i="3"/>
  <c r="W283" i="3"/>
  <c r="W270" i="3"/>
  <c r="W262" i="3"/>
  <c r="W254" i="3"/>
  <c r="W238" i="3"/>
  <c r="W246" i="3"/>
  <c r="W230" i="3"/>
  <c r="W222" i="3"/>
  <c r="W214" i="3"/>
  <c r="S46" i="20"/>
  <c r="R174" i="20"/>
  <c r="R221" i="20"/>
  <c r="R222" i="20" s="1"/>
  <c r="R223" i="20" s="1"/>
  <c r="R216" i="20" s="1"/>
  <c r="R184" i="20"/>
  <c r="R175" i="20"/>
  <c r="R403" i="20"/>
  <c r="R345" i="20"/>
  <c r="R412" i="20" s="1"/>
  <c r="S70" i="20"/>
  <c r="S71" i="20" s="1"/>
  <c r="T133" i="20"/>
  <c r="T359" i="20"/>
  <c r="T105" i="20"/>
  <c r="T331" i="20"/>
  <c r="T302" i="20"/>
  <c r="T76" i="20"/>
  <c r="T295" i="20"/>
  <c r="T69" i="20"/>
  <c r="T343" i="20"/>
  <c r="T117" i="20"/>
  <c r="T326" i="20"/>
  <c r="T100" i="20"/>
  <c r="T387" i="20"/>
  <c r="T161" i="20"/>
  <c r="T318" i="20"/>
  <c r="T92" i="20"/>
  <c r="T45" i="20"/>
  <c r="T271" i="20"/>
  <c r="T65" i="20"/>
  <c r="T291" i="20"/>
  <c r="T116" i="20"/>
  <c r="T342" i="20"/>
  <c r="T140" i="20"/>
  <c r="T366" i="20"/>
  <c r="T160" i="20"/>
  <c r="T386" i="20"/>
  <c r="T268" i="20"/>
  <c r="T42" i="20"/>
  <c r="T138" i="20"/>
  <c r="T364" i="20"/>
  <c r="T263" i="20"/>
  <c r="T37" i="20"/>
  <c r="T183" i="12"/>
  <c r="T129" i="12"/>
  <c r="T130" i="12" s="1"/>
  <c r="T123" i="20"/>
  <c r="T349" i="20"/>
  <c r="T85" i="20"/>
  <c r="T311" i="20"/>
  <c r="T134" i="20"/>
  <c r="T360" i="20"/>
  <c r="T157" i="20"/>
  <c r="T383" i="20"/>
  <c r="S392" i="20"/>
  <c r="R187" i="20"/>
  <c r="R178" i="20"/>
  <c r="R186" i="20"/>
  <c r="R177" i="20"/>
  <c r="S164" i="12"/>
  <c r="S173" i="12"/>
  <c r="S368" i="20"/>
  <c r="R297" i="20"/>
  <c r="R410" i="20" s="1"/>
  <c r="R401" i="20"/>
  <c r="S320" i="20"/>
  <c r="S272" i="20"/>
  <c r="S296" i="20"/>
  <c r="T262" i="20"/>
  <c r="T36" i="20"/>
  <c r="T284" i="20"/>
  <c r="T58" i="20"/>
  <c r="T39" i="20"/>
  <c r="T265" i="20"/>
  <c r="T81" i="20"/>
  <c r="T307" i="20"/>
  <c r="T68" i="20"/>
  <c r="T294" i="20"/>
  <c r="T136" i="20"/>
  <c r="T362" i="20"/>
  <c r="T34" i="20"/>
  <c r="T260" i="20"/>
  <c r="T62" i="20"/>
  <c r="T288" i="20"/>
  <c r="T350" i="20"/>
  <c r="T124" i="20"/>
  <c r="T57" i="20"/>
  <c r="T283" i="20"/>
  <c r="T38" i="20"/>
  <c r="T264" i="20"/>
  <c r="T336" i="20"/>
  <c r="T110" i="20"/>
  <c r="T317" i="20"/>
  <c r="T91" i="20"/>
  <c r="T361" i="20"/>
  <c r="T135" i="20"/>
  <c r="T332" i="20"/>
  <c r="T106" i="20"/>
  <c r="T43" i="20"/>
  <c r="T269" i="20"/>
  <c r="T363" i="20"/>
  <c r="T137" i="20"/>
  <c r="T33" i="20"/>
  <c r="T259" i="20"/>
  <c r="T28" i="20"/>
  <c r="T254" i="20"/>
  <c r="T112" i="20"/>
  <c r="T338" i="20"/>
  <c r="T319" i="20"/>
  <c r="T93" i="20"/>
  <c r="T278" i="20"/>
  <c r="T52" i="20"/>
  <c r="T389" i="20"/>
  <c r="T163" i="20"/>
  <c r="S175" i="12"/>
  <c r="S166" i="12"/>
  <c r="R185" i="20"/>
  <c r="R176" i="20"/>
  <c r="S118" i="20"/>
  <c r="S119" i="20" s="1"/>
  <c r="S174" i="12"/>
  <c r="S165" i="12"/>
  <c r="R369" i="20"/>
  <c r="R413" i="20" s="1"/>
  <c r="R404" i="20"/>
  <c r="S94" i="20"/>
  <c r="S95" i="20" s="1"/>
  <c r="R402" i="20"/>
  <c r="R321" i="20"/>
  <c r="R411" i="20" s="1"/>
  <c r="T84" i="20"/>
  <c r="T310" i="20"/>
  <c r="T179" i="12"/>
  <c r="T253" i="20"/>
  <c r="T27" i="20"/>
  <c r="T33" i="12"/>
  <c r="T34" i="12" s="1"/>
  <c r="T292" i="20"/>
  <c r="T66" i="20"/>
  <c r="T290" i="20"/>
  <c r="T64" i="20"/>
  <c r="T365" i="20"/>
  <c r="T139" i="20"/>
  <c r="T358" i="20"/>
  <c r="T132" i="20"/>
  <c r="T374" i="20"/>
  <c r="T148" i="20"/>
  <c r="T337" i="20"/>
  <c r="T111" i="20"/>
  <c r="T382" i="20"/>
  <c r="T156" i="20"/>
  <c r="T182" i="12"/>
  <c r="T325" i="20"/>
  <c r="T99" i="20"/>
  <c r="T105" i="12"/>
  <c r="T106" i="12" s="1"/>
  <c r="T90" i="20"/>
  <c r="T316" i="20"/>
  <c r="T60" i="20"/>
  <c r="T286" i="20"/>
  <c r="T129" i="20"/>
  <c r="T355" i="20"/>
  <c r="U14" i="12"/>
  <c r="V9" i="21" s="1"/>
  <c r="V10" i="12"/>
  <c r="V14" i="20" s="1"/>
  <c r="U62" i="12"/>
  <c r="V59" i="21" s="1"/>
  <c r="U86" i="12"/>
  <c r="V84" i="21" s="1"/>
  <c r="U110" i="12"/>
  <c r="V109" i="21" s="1"/>
  <c r="U134" i="12"/>
  <c r="V134" i="21" s="1"/>
  <c r="U38" i="12"/>
  <c r="V34" i="21" s="1"/>
  <c r="T181" i="12"/>
  <c r="T81" i="12"/>
  <c r="T82" i="12" s="1"/>
  <c r="T75" i="20"/>
  <c r="T301" i="20"/>
  <c r="T315" i="20"/>
  <c r="T89" i="20"/>
  <c r="T165" i="20"/>
  <c r="T391" i="20"/>
  <c r="T270" i="20"/>
  <c r="T44" i="20"/>
  <c r="T180" i="12"/>
  <c r="T277" i="20"/>
  <c r="T51" i="20"/>
  <c r="T57" i="12"/>
  <c r="T58" i="12" s="1"/>
  <c r="T86" i="20"/>
  <c r="T312" i="20"/>
  <c r="T115" i="20"/>
  <c r="T341" i="20"/>
  <c r="T130" i="20"/>
  <c r="T356" i="20"/>
  <c r="S166" i="20"/>
  <c r="S167" i="20" s="1"/>
  <c r="R400" i="20"/>
  <c r="R273" i="20"/>
  <c r="R409" i="20" s="1"/>
  <c r="R447" i="20"/>
  <c r="R448" i="20" s="1"/>
  <c r="R449" i="20" s="1"/>
  <c r="R442" i="20" s="1"/>
  <c r="S163" i="12"/>
  <c r="S172" i="12"/>
  <c r="R405" i="20"/>
  <c r="R393" i="20"/>
  <c r="R414" i="20" s="1"/>
  <c r="S161" i="12"/>
  <c r="S188" i="12" s="1"/>
  <c r="R179" i="20"/>
  <c r="R188" i="20"/>
  <c r="S162" i="12"/>
  <c r="S171" i="12"/>
  <c r="T379" i="20"/>
  <c r="T153" i="20"/>
  <c r="T67" i="20"/>
  <c r="T293" i="20"/>
  <c r="T108" i="20"/>
  <c r="T334" i="20"/>
  <c r="T88" i="20"/>
  <c r="T314" i="20"/>
  <c r="T114" i="20"/>
  <c r="T340" i="20"/>
  <c r="T164" i="20"/>
  <c r="T390" i="20"/>
  <c r="T154" i="20"/>
  <c r="T380" i="20"/>
  <c r="T289" i="20"/>
  <c r="T63" i="20"/>
  <c r="T184" i="12"/>
  <c r="T153" i="12"/>
  <c r="T154" i="12" s="1"/>
  <c r="T373" i="20"/>
  <c r="T147" i="20"/>
  <c r="T313" i="20"/>
  <c r="T87" i="20"/>
  <c r="T367" i="20"/>
  <c r="T141" i="20"/>
  <c r="T82" i="20"/>
  <c r="T308" i="20"/>
  <c r="T40" i="20"/>
  <c r="T266" i="20"/>
  <c r="T335" i="20"/>
  <c r="T109" i="20"/>
  <c r="T384" i="20"/>
  <c r="T158" i="20"/>
  <c r="T41" i="20"/>
  <c r="T267" i="20"/>
  <c r="T287" i="20"/>
  <c r="T61" i="20"/>
  <c r="T339" i="20"/>
  <c r="T113" i="20"/>
  <c r="T388" i="20"/>
  <c r="T162" i="20"/>
  <c r="T385" i="20"/>
  <c r="T159" i="20"/>
  <c r="S344" i="20"/>
  <c r="S142" i="20"/>
  <c r="S143" i="20" s="1"/>
  <c r="N422" i="17"/>
  <c r="N199" i="17" s="1"/>
  <c r="S194" i="17"/>
  <c r="U24" i="17"/>
  <c r="W5" i="12"/>
  <c r="W9" i="12" s="1"/>
  <c r="L297" i="17"/>
  <c r="L107" i="17" s="1"/>
  <c r="L115" i="17" s="1"/>
  <c r="L117" i="17" s="1"/>
  <c r="L118" i="17" s="1"/>
  <c r="P325" i="17"/>
  <c r="P111" i="17" s="1"/>
  <c r="O237" i="17"/>
  <c r="O49" i="17" s="1"/>
  <c r="P399" i="17"/>
  <c r="P171" i="17" s="1"/>
  <c r="P392" i="17"/>
  <c r="P170" i="17" s="1"/>
  <c r="L333" i="17"/>
  <c r="L335" i="17" s="1"/>
  <c r="O310" i="17"/>
  <c r="O312" i="17" s="1"/>
  <c r="N414" i="17"/>
  <c r="N416" i="17" s="1"/>
  <c r="M406" i="17"/>
  <c r="M295" i="17"/>
  <c r="O348" i="17"/>
  <c r="O139" i="17" s="1"/>
  <c r="O355" i="17"/>
  <c r="O140" i="17" s="1"/>
  <c r="P436" i="17"/>
  <c r="P201" i="17" s="1"/>
  <c r="Q323" i="17"/>
  <c r="Q390" i="17"/>
  <c r="S134" i="17"/>
  <c r="M230" i="17"/>
  <c r="M48" i="17" s="1"/>
  <c r="N303" i="17"/>
  <c r="N305" i="17" s="1"/>
  <c r="P288" i="17"/>
  <c r="P81" i="17" s="1"/>
  <c r="Q397" i="17"/>
  <c r="P362" i="17"/>
  <c r="P141" i="17" s="1"/>
  <c r="M258" i="17"/>
  <c r="P279" i="17"/>
  <c r="M377" i="17"/>
  <c r="M379" i="17" s="1"/>
  <c r="Q249" i="17"/>
  <c r="P316" i="17"/>
  <c r="L222" i="17"/>
  <c r="L224" i="17" s="1"/>
  <c r="P353" i="17"/>
  <c r="M370" i="17"/>
  <c r="M372" i="17" s="1"/>
  <c r="Q434" i="17"/>
  <c r="X321" i="3"/>
  <c r="Y12" i="3"/>
  <c r="M266" i="17"/>
  <c r="M268" i="17" s="1"/>
  <c r="S104" i="17"/>
  <c r="N228" i="17"/>
  <c r="M340" i="17"/>
  <c r="M342" i="17" s="1"/>
  <c r="U28" i="17"/>
  <c r="T187" i="17"/>
  <c r="T157" i="17"/>
  <c r="T123" i="17"/>
  <c r="T129" i="17"/>
  <c r="T94" i="17"/>
  <c r="T65" i="17"/>
  <c r="T37" i="17"/>
  <c r="T83" i="17"/>
  <c r="T189" i="17"/>
  <c r="T159" i="17"/>
  <c r="T124" i="17"/>
  <c r="T95" i="17"/>
  <c r="T67" i="17"/>
  <c r="T33" i="17"/>
  <c r="T39" i="17"/>
  <c r="T52" i="17"/>
  <c r="T154" i="17"/>
  <c r="T127" i="17"/>
  <c r="T99" i="17"/>
  <c r="T34" i="17"/>
  <c r="T203" i="17"/>
  <c r="T143" i="17"/>
  <c r="T173" i="17"/>
  <c r="T155" i="17"/>
  <c r="T63" i="17"/>
  <c r="T35" i="17"/>
  <c r="T202" i="17"/>
  <c r="T113" i="17"/>
  <c r="T185" i="17"/>
  <c r="T64" i="17"/>
  <c r="T125" i="17"/>
  <c r="T97" i="17"/>
  <c r="T82" i="17"/>
  <c r="T53" i="17"/>
  <c r="T142" i="17"/>
  <c r="T133" i="17"/>
  <c r="T93" i="17"/>
  <c r="T69" i="17"/>
  <c r="T112" i="17"/>
  <c r="T184" i="17"/>
  <c r="T161" i="17"/>
  <c r="T172" i="17"/>
  <c r="T102" i="17"/>
  <c r="T41" i="17"/>
  <c r="T153" i="17"/>
  <c r="T183" i="17"/>
  <c r="T43" i="17"/>
  <c r="T193" i="17"/>
  <c r="T191" i="17"/>
  <c r="T132" i="17"/>
  <c r="T72" i="17"/>
  <c r="T162" i="17"/>
  <c r="T73" i="17"/>
  <c r="T163" i="17"/>
  <c r="T103" i="17"/>
  <c r="T101" i="17"/>
  <c r="T131" i="17"/>
  <c r="T192" i="17"/>
  <c r="T42" i="17"/>
  <c r="T71" i="17"/>
  <c r="O273" i="17"/>
  <c r="O275" i="17" s="1"/>
  <c r="P346" i="17"/>
  <c r="O318" i="17"/>
  <c r="O110" i="17" s="1"/>
  <c r="L260" i="17"/>
  <c r="L77" i="17" s="1"/>
  <c r="L85" i="17" s="1"/>
  <c r="L87" i="17" s="1"/>
  <c r="L88" i="17" s="1"/>
  <c r="O281" i="17"/>
  <c r="O80" i="17" s="1"/>
  <c r="P428" i="17"/>
  <c r="P430" i="17" s="1"/>
  <c r="O420" i="17"/>
  <c r="S74" i="17"/>
  <c r="S44" i="17"/>
  <c r="S164" i="17"/>
  <c r="O243" i="17"/>
  <c r="O245" i="17" s="1"/>
  <c r="N384" i="17"/>
  <c r="N386" i="17" s="1"/>
  <c r="P251" i="17"/>
  <c r="P51" i="17" s="1"/>
  <c r="Q286" i="17"/>
  <c r="P235" i="17"/>
  <c r="Q360" i="17"/>
  <c r="L408" i="17"/>
  <c r="L197" i="17" s="1"/>
  <c r="L205" i="17" s="1"/>
  <c r="L207" i="17" s="1"/>
  <c r="L208" i="17" s="1"/>
  <c r="X17" i="21" l="1"/>
  <c r="X67" i="21"/>
  <c r="X142" i="21"/>
  <c r="X92" i="21"/>
  <c r="X117" i="21"/>
  <c r="X42" i="21"/>
  <c r="Y9" i="20"/>
  <c r="Y13" i="20" s="1"/>
  <c r="X13" i="20"/>
  <c r="S174" i="20"/>
  <c r="S47" i="20"/>
  <c r="S183" i="20" s="1"/>
  <c r="T236" i="12"/>
  <c r="T170" i="12"/>
  <c r="T192" i="12" s="1"/>
  <c r="V141" i="12"/>
  <c r="W141" i="21" s="1"/>
  <c r="V145" i="12"/>
  <c r="W145" i="21" s="1"/>
  <c r="V149" i="12"/>
  <c r="W149" i="21" s="1"/>
  <c r="V139" i="12"/>
  <c r="W139" i="21" s="1"/>
  <c r="V135" i="12"/>
  <c r="W135" i="21" s="1"/>
  <c r="V143" i="12"/>
  <c r="W143" i="21" s="1"/>
  <c r="V147" i="12"/>
  <c r="W147" i="21" s="1"/>
  <c r="V151" i="12"/>
  <c r="W151" i="21" s="1"/>
  <c r="V137" i="12"/>
  <c r="W137" i="21" s="1"/>
  <c r="V119" i="12"/>
  <c r="W118" i="21" s="1"/>
  <c r="V146" i="12"/>
  <c r="W146" i="21" s="1"/>
  <c r="V150" i="12"/>
  <c r="W150" i="21" s="1"/>
  <c r="V138" i="12"/>
  <c r="W138" i="21" s="1"/>
  <c r="V148" i="12"/>
  <c r="W148" i="21" s="1"/>
  <c r="V140" i="12"/>
  <c r="W140" i="21" s="1"/>
  <c r="V121" i="12"/>
  <c r="W120" i="21" s="1"/>
  <c r="V125" i="12"/>
  <c r="W124" i="21" s="1"/>
  <c r="V115" i="12"/>
  <c r="W114" i="21" s="1"/>
  <c r="V117" i="12"/>
  <c r="W116" i="21" s="1"/>
  <c r="V123" i="12"/>
  <c r="W122" i="21" s="1"/>
  <c r="V127" i="12"/>
  <c r="W126" i="21" s="1"/>
  <c r="V113" i="12"/>
  <c r="W112" i="21" s="1"/>
  <c r="V95" i="12"/>
  <c r="W93" i="21" s="1"/>
  <c r="V99" i="12"/>
  <c r="W97" i="21" s="1"/>
  <c r="V103" i="12"/>
  <c r="W101" i="21" s="1"/>
  <c r="V89" i="12"/>
  <c r="W87" i="21" s="1"/>
  <c r="V152" i="12"/>
  <c r="W152" i="21" s="1"/>
  <c r="V122" i="12"/>
  <c r="W121" i="21" s="1"/>
  <c r="V126" i="12"/>
  <c r="W125" i="21" s="1"/>
  <c r="V114" i="12"/>
  <c r="W113" i="21" s="1"/>
  <c r="V144" i="12"/>
  <c r="W144" i="21" s="1"/>
  <c r="V100" i="12"/>
  <c r="W98" i="21" s="1"/>
  <c r="V102" i="12"/>
  <c r="W100" i="21" s="1"/>
  <c r="V92" i="12"/>
  <c r="W90" i="21" s="1"/>
  <c r="V124" i="12"/>
  <c r="W123" i="21" s="1"/>
  <c r="V101" i="12"/>
  <c r="W99" i="21" s="1"/>
  <c r="V90" i="12"/>
  <c r="W88" i="21" s="1"/>
  <c r="V74" i="12"/>
  <c r="W71" i="21" s="1"/>
  <c r="V78" i="12"/>
  <c r="W75" i="21" s="1"/>
  <c r="V66" i="12"/>
  <c r="W63" i="21" s="1"/>
  <c r="V120" i="12"/>
  <c r="W119" i="21" s="1"/>
  <c r="V116" i="12"/>
  <c r="W115" i="21" s="1"/>
  <c r="V93" i="12"/>
  <c r="W91" i="21" s="1"/>
  <c r="V96" i="12"/>
  <c r="W94" i="21" s="1"/>
  <c r="V98" i="12"/>
  <c r="W96" i="21" s="1"/>
  <c r="V91" i="12"/>
  <c r="W89" i="21" s="1"/>
  <c r="V87" i="12"/>
  <c r="W85" i="21" s="1"/>
  <c r="V128" i="12"/>
  <c r="W127" i="21" s="1"/>
  <c r="V111" i="12"/>
  <c r="W110" i="21" s="1"/>
  <c r="V97" i="12"/>
  <c r="W95" i="21" s="1"/>
  <c r="V75" i="12"/>
  <c r="W72" i="21" s="1"/>
  <c r="V77" i="12"/>
  <c r="W74" i="21" s="1"/>
  <c r="V65" i="12"/>
  <c r="W62" i="21" s="1"/>
  <c r="V69" i="12"/>
  <c r="W66" i="21" s="1"/>
  <c r="V76" i="12"/>
  <c r="W73" i="21" s="1"/>
  <c r="V68" i="12"/>
  <c r="W65" i="21" s="1"/>
  <c r="V48" i="12"/>
  <c r="W44" i="21" s="1"/>
  <c r="V52" i="12"/>
  <c r="W48" i="21" s="1"/>
  <c r="V56" i="12"/>
  <c r="W52" i="21" s="1"/>
  <c r="V44" i="12"/>
  <c r="W40" i="21" s="1"/>
  <c r="V24" i="12"/>
  <c r="W19" i="21" s="1"/>
  <c r="V71" i="12"/>
  <c r="W68" i="21" s="1"/>
  <c r="V73" i="12"/>
  <c r="W70" i="21" s="1"/>
  <c r="V80" i="12"/>
  <c r="W77" i="21" s="1"/>
  <c r="V47" i="12"/>
  <c r="W43" i="21" s="1"/>
  <c r="V63" i="12"/>
  <c r="W60" i="21" s="1"/>
  <c r="V50" i="12"/>
  <c r="W46" i="21" s="1"/>
  <c r="V43" i="12"/>
  <c r="W39" i="21" s="1"/>
  <c r="V27" i="12"/>
  <c r="W22" i="21" s="1"/>
  <c r="V31" i="12"/>
  <c r="W26" i="21" s="1"/>
  <c r="V79" i="12"/>
  <c r="W76" i="21" s="1"/>
  <c r="V45" i="12"/>
  <c r="W41" i="21" s="1"/>
  <c r="V51" i="12"/>
  <c r="W47" i="21" s="1"/>
  <c r="V41" i="12"/>
  <c r="W37" i="21" s="1"/>
  <c r="V23" i="12"/>
  <c r="W18" i="21" s="1"/>
  <c r="V25" i="12"/>
  <c r="W20" i="21" s="1"/>
  <c r="V29" i="12"/>
  <c r="W24" i="21" s="1"/>
  <c r="V19" i="12"/>
  <c r="W14" i="21" s="1"/>
  <c r="V15" i="12"/>
  <c r="W10" i="21" s="1"/>
  <c r="V28" i="12"/>
  <c r="W23" i="21" s="1"/>
  <c r="V32" i="12"/>
  <c r="W27" i="21" s="1"/>
  <c r="V20" i="12"/>
  <c r="W15" i="21" s="1"/>
  <c r="V104" i="12"/>
  <c r="W102" i="21" s="1"/>
  <c r="V72" i="12"/>
  <c r="W69" i="21" s="1"/>
  <c r="V54" i="12"/>
  <c r="W50" i="21" s="1"/>
  <c r="V21" i="12"/>
  <c r="W16" i="21" s="1"/>
  <c r="V26" i="12"/>
  <c r="W21" i="21" s="1"/>
  <c r="V30" i="12"/>
  <c r="W25" i="21" s="1"/>
  <c r="V18" i="12"/>
  <c r="W13" i="21" s="1"/>
  <c r="V67" i="12"/>
  <c r="W64" i="21" s="1"/>
  <c r="V49" i="12"/>
  <c r="W45" i="21" s="1"/>
  <c r="V53" i="12"/>
  <c r="W49" i="21" s="1"/>
  <c r="V55" i="12"/>
  <c r="W51" i="21" s="1"/>
  <c r="V42" i="12"/>
  <c r="W38" i="21" s="1"/>
  <c r="V39" i="12"/>
  <c r="W35" i="21" s="1"/>
  <c r="V17" i="12"/>
  <c r="W12" i="21" s="1"/>
  <c r="U36" i="21"/>
  <c r="U53" i="21" s="1"/>
  <c r="U136" i="21"/>
  <c r="U153" i="21" s="1"/>
  <c r="U86" i="21"/>
  <c r="U103" i="21" s="1"/>
  <c r="U61" i="21"/>
  <c r="U78" i="21" s="1"/>
  <c r="U111" i="21"/>
  <c r="U128" i="21" s="1"/>
  <c r="U306" i="20"/>
  <c r="U80" i="20"/>
  <c r="U330" i="20"/>
  <c r="U104" i="20"/>
  <c r="U127" i="20"/>
  <c r="U353" i="20"/>
  <c r="U328" i="20"/>
  <c r="U102" i="20"/>
  <c r="U32" i="20"/>
  <c r="U258" i="20"/>
  <c r="U126" i="20"/>
  <c r="U352" i="20"/>
  <c r="U378" i="20"/>
  <c r="U152" i="20"/>
  <c r="U354" i="20"/>
  <c r="U128" i="20"/>
  <c r="U150" i="20"/>
  <c r="U376" i="20"/>
  <c r="U79" i="20"/>
  <c r="U305" i="20"/>
  <c r="U329" i="20"/>
  <c r="U103" i="20"/>
  <c r="U282" i="20"/>
  <c r="U56" i="20"/>
  <c r="U55" i="20"/>
  <c r="U281" i="20"/>
  <c r="U54" i="20"/>
  <c r="U280" i="20"/>
  <c r="U151" i="20"/>
  <c r="U377" i="20"/>
  <c r="U78" i="20"/>
  <c r="U304" i="20"/>
  <c r="U11" i="21"/>
  <c r="U28" i="21" s="1"/>
  <c r="U257" i="20"/>
  <c r="U31" i="20"/>
  <c r="U30" i="20"/>
  <c r="U256" i="20"/>
  <c r="T237" i="12"/>
  <c r="T229" i="12" s="1"/>
  <c r="V55" i="3"/>
  <c r="U58" i="3"/>
  <c r="U29" i="3"/>
  <c r="U35" i="3" s="1"/>
  <c r="U38" i="3" s="1"/>
  <c r="U41" i="3" s="1"/>
  <c r="V26" i="3"/>
  <c r="U234" i="12"/>
  <c r="U235" i="12" s="1"/>
  <c r="X299" i="3"/>
  <c r="X291" i="3"/>
  <c r="X283" i="3"/>
  <c r="X270" i="3"/>
  <c r="X262" i="3"/>
  <c r="X254" i="3"/>
  <c r="X246" i="3"/>
  <c r="X238" i="3"/>
  <c r="X230" i="3"/>
  <c r="X214" i="3"/>
  <c r="X222" i="3"/>
  <c r="S221" i="20"/>
  <c r="S222" i="20" s="1"/>
  <c r="S223" i="20" s="1"/>
  <c r="S216" i="20" s="1"/>
  <c r="T320" i="20"/>
  <c r="T118" i="20"/>
  <c r="S345" i="20"/>
  <c r="S412" i="20" s="1"/>
  <c r="S403" i="20"/>
  <c r="T392" i="20"/>
  <c r="T171" i="12"/>
  <c r="T162" i="12"/>
  <c r="U113" i="20"/>
  <c r="U339" i="20"/>
  <c r="U269" i="20"/>
  <c r="U43" i="20"/>
  <c r="U340" i="20"/>
  <c r="U114" i="20"/>
  <c r="U271" i="20"/>
  <c r="U45" i="20"/>
  <c r="U312" i="20"/>
  <c r="U86" i="20"/>
  <c r="U338" i="20"/>
  <c r="U112" i="20"/>
  <c r="U180" i="12"/>
  <c r="U51" i="20"/>
  <c r="U57" i="12"/>
  <c r="U58" i="12" s="1"/>
  <c r="U277" i="20"/>
  <c r="U92" i="20"/>
  <c r="U318" i="20"/>
  <c r="U84" i="20"/>
  <c r="U310" i="20"/>
  <c r="U129" i="20"/>
  <c r="U355" i="20"/>
  <c r="U183" i="12"/>
  <c r="U129" i="12"/>
  <c r="U130" i="12" s="1"/>
  <c r="U123" i="20"/>
  <c r="U349" i="20"/>
  <c r="U182" i="12"/>
  <c r="U325" i="20"/>
  <c r="U99" i="20"/>
  <c r="U105" i="12"/>
  <c r="U106" i="12" s="1"/>
  <c r="U263" i="20"/>
  <c r="U37" i="20"/>
  <c r="U341" i="20"/>
  <c r="U115" i="20"/>
  <c r="U360" i="20"/>
  <c r="U134" i="20"/>
  <c r="U260" i="20"/>
  <c r="U34" i="20"/>
  <c r="U293" i="20"/>
  <c r="U67" i="20"/>
  <c r="U365" i="20"/>
  <c r="U139" i="20"/>
  <c r="W10" i="12"/>
  <c r="W14" i="20" s="1"/>
  <c r="V134" i="12"/>
  <c r="W134" i="21" s="1"/>
  <c r="V14" i="12"/>
  <c r="W9" i="21" s="1"/>
  <c r="V110" i="12"/>
  <c r="W109" i="21" s="1"/>
  <c r="V86" i="12"/>
  <c r="W84" i="21" s="1"/>
  <c r="V38" i="12"/>
  <c r="W34" i="21" s="1"/>
  <c r="V62" i="12"/>
  <c r="W59" i="21" s="1"/>
  <c r="U33" i="20"/>
  <c r="U259" i="20"/>
  <c r="U179" i="12"/>
  <c r="U33" i="12"/>
  <c r="U34" i="12" s="1"/>
  <c r="U27" i="20"/>
  <c r="U253" i="20"/>
  <c r="U314" i="20"/>
  <c r="U88" i="20"/>
  <c r="U343" i="20"/>
  <c r="U117" i="20"/>
  <c r="U388" i="20"/>
  <c r="U162" i="20"/>
  <c r="S176" i="20"/>
  <c r="S185" i="20"/>
  <c r="S400" i="20"/>
  <c r="S447" i="20"/>
  <c r="S448" i="20" s="1"/>
  <c r="S449" i="20" s="1"/>
  <c r="S442" i="20" s="1"/>
  <c r="S273" i="20"/>
  <c r="S409" i="20" s="1"/>
  <c r="S393" i="20"/>
  <c r="S414" i="20" s="1"/>
  <c r="S405" i="20"/>
  <c r="T142" i="20"/>
  <c r="T143" i="20" s="1"/>
  <c r="T166" i="12"/>
  <c r="T175" i="12"/>
  <c r="S179" i="20"/>
  <c r="S188" i="20"/>
  <c r="T70" i="20"/>
  <c r="T71" i="20" s="1"/>
  <c r="T94" i="20"/>
  <c r="T95" i="20" s="1"/>
  <c r="U307" i="20"/>
  <c r="U81" i="20"/>
  <c r="U136" i="20"/>
  <c r="U362" i="20"/>
  <c r="U61" i="20"/>
  <c r="U287" i="20"/>
  <c r="U264" i="20"/>
  <c r="U38" i="20"/>
  <c r="U90" i="20"/>
  <c r="U316" i="20"/>
  <c r="U334" i="20"/>
  <c r="U108" i="20"/>
  <c r="U308" i="20"/>
  <c r="U82" i="20"/>
  <c r="U295" i="20"/>
  <c r="U69" i="20"/>
  <c r="U265" i="20"/>
  <c r="U39" i="20"/>
  <c r="U138" i="20"/>
  <c r="U364" i="20"/>
  <c r="U68" i="20"/>
  <c r="U294" i="20"/>
  <c r="U286" i="20"/>
  <c r="U60" i="20"/>
  <c r="U52" i="20"/>
  <c r="U278" i="20"/>
  <c r="U116" i="20"/>
  <c r="U342" i="20"/>
  <c r="U157" i="20"/>
  <c r="U383" i="20"/>
  <c r="U181" i="12"/>
  <c r="U81" i="12"/>
  <c r="U82" i="12" s="1"/>
  <c r="U301" i="20"/>
  <c r="U75" i="20"/>
  <c r="U335" i="20"/>
  <c r="U109" i="20"/>
  <c r="U268" i="20"/>
  <c r="U42" i="20"/>
  <c r="U266" i="20"/>
  <c r="U40" i="20"/>
  <c r="U366" i="20"/>
  <c r="U140" i="20"/>
  <c r="U336" i="20"/>
  <c r="U110" i="20"/>
  <c r="U284" i="20"/>
  <c r="U58" i="20"/>
  <c r="T344" i="20"/>
  <c r="T161" i="12"/>
  <c r="T188" i="12" s="1"/>
  <c r="S186" i="20"/>
  <c r="S177" i="20"/>
  <c r="S369" i="20"/>
  <c r="S413" i="20" s="1"/>
  <c r="S404" i="20"/>
  <c r="T174" i="12"/>
  <c r="T165" i="12"/>
  <c r="T296" i="20"/>
  <c r="T172" i="12"/>
  <c r="T163" i="12"/>
  <c r="U283" i="20"/>
  <c r="U57" i="20"/>
  <c r="U288" i="20"/>
  <c r="U62" i="20"/>
  <c r="U64" i="20"/>
  <c r="U290" i="20"/>
  <c r="U289" i="20"/>
  <c r="U63" i="20"/>
  <c r="U302" i="20"/>
  <c r="U76" i="20"/>
  <c r="U384" i="20"/>
  <c r="U158" i="20"/>
  <c r="U317" i="20"/>
  <c r="U91" i="20"/>
  <c r="U292" i="20"/>
  <c r="U66" i="20"/>
  <c r="U380" i="20"/>
  <c r="U154" i="20"/>
  <c r="U386" i="20"/>
  <c r="U160" i="20"/>
  <c r="U387" i="20"/>
  <c r="U161" i="20"/>
  <c r="U315" i="20"/>
  <c r="U89" i="20"/>
  <c r="U359" i="20"/>
  <c r="U133" i="20"/>
  <c r="U332" i="20"/>
  <c r="U106" i="20"/>
  <c r="U28" i="20"/>
  <c r="U254" i="20"/>
  <c r="U385" i="20"/>
  <c r="U159" i="20"/>
  <c r="U44" i="20"/>
  <c r="U270" i="20"/>
  <c r="U262" i="20"/>
  <c r="U36" i="20"/>
  <c r="U85" i="20"/>
  <c r="U311" i="20"/>
  <c r="U124" i="20"/>
  <c r="U350" i="20"/>
  <c r="U356" i="20"/>
  <c r="U130" i="20"/>
  <c r="T46" i="20"/>
  <c r="T47" i="20" s="1"/>
  <c r="S402" i="20"/>
  <c r="S321" i="20"/>
  <c r="S411" i="20" s="1"/>
  <c r="S187" i="20"/>
  <c r="S178" i="20"/>
  <c r="T166" i="20"/>
  <c r="T167" i="20" s="1"/>
  <c r="U367" i="20"/>
  <c r="U141" i="20"/>
  <c r="U319" i="20"/>
  <c r="U93" i="20"/>
  <c r="U363" i="20"/>
  <c r="U137" i="20"/>
  <c r="U156" i="20"/>
  <c r="U382" i="20"/>
  <c r="U65" i="20"/>
  <c r="U291" i="20"/>
  <c r="U87" i="20"/>
  <c r="U313" i="20"/>
  <c r="U379" i="20"/>
  <c r="U153" i="20"/>
  <c r="U184" i="12"/>
  <c r="U373" i="20"/>
  <c r="U153" i="12"/>
  <c r="U154" i="12" s="1"/>
  <c r="U147" i="20"/>
  <c r="U391" i="20"/>
  <c r="U165" i="20"/>
  <c r="U41" i="20"/>
  <c r="U267" i="20"/>
  <c r="U111" i="20"/>
  <c r="U337" i="20"/>
  <c r="U148" i="20"/>
  <c r="U374" i="20"/>
  <c r="U361" i="20"/>
  <c r="U135" i="20"/>
  <c r="U163" i="20"/>
  <c r="U389" i="20"/>
  <c r="U132" i="20"/>
  <c r="U358" i="20"/>
  <c r="U105" i="20"/>
  <c r="U331" i="20"/>
  <c r="U326" i="20"/>
  <c r="U100" i="20"/>
  <c r="U390" i="20"/>
  <c r="U164" i="20"/>
  <c r="T173" i="12"/>
  <c r="T164" i="12"/>
  <c r="T272" i="20"/>
  <c r="S401" i="20"/>
  <c r="S297" i="20"/>
  <c r="S410" i="20" s="1"/>
  <c r="T368" i="20"/>
  <c r="S184" i="20"/>
  <c r="S175" i="20"/>
  <c r="V24" i="17"/>
  <c r="X5" i="12"/>
  <c r="X9" i="12" s="1"/>
  <c r="L334" i="17"/>
  <c r="L137" i="17" s="1"/>
  <c r="L145" i="17" s="1"/>
  <c r="L147" i="17" s="1"/>
  <c r="L148" i="17" s="1"/>
  <c r="O244" i="17"/>
  <c r="O50" i="17" s="1"/>
  <c r="O311" i="17"/>
  <c r="O109" i="17" s="1"/>
  <c r="Q427" i="17"/>
  <c r="Q361" i="17"/>
  <c r="Q363" i="17" s="1"/>
  <c r="Q287" i="17"/>
  <c r="Q289" i="17" s="1"/>
  <c r="N385" i="17"/>
  <c r="N169" i="17" s="1"/>
  <c r="P242" i="17"/>
  <c r="P347" i="17"/>
  <c r="P349" i="17" s="1"/>
  <c r="P272" i="17"/>
  <c r="T194" i="17"/>
  <c r="T44" i="17"/>
  <c r="M341" i="17"/>
  <c r="M138" i="17" s="1"/>
  <c r="N229" i="17"/>
  <c r="N231" i="17" s="1"/>
  <c r="N265" i="17"/>
  <c r="N369" i="17"/>
  <c r="P317" i="17"/>
  <c r="P319" i="17" s="1"/>
  <c r="P280" i="17"/>
  <c r="P282" i="17" s="1"/>
  <c r="Q324" i="17"/>
  <c r="Q326" i="17" s="1"/>
  <c r="M332" i="17"/>
  <c r="P354" i="17"/>
  <c r="P356" i="17" s="1"/>
  <c r="O413" i="17"/>
  <c r="O383" i="17"/>
  <c r="T164" i="17"/>
  <c r="T104" i="17"/>
  <c r="T74" i="17"/>
  <c r="N339" i="17"/>
  <c r="Q435" i="17"/>
  <c r="Q437" i="17" s="1"/>
  <c r="L223" i="17"/>
  <c r="L47" i="17" s="1"/>
  <c r="L55" i="17" s="1"/>
  <c r="L57" i="17" s="1"/>
  <c r="L58" i="17" s="1"/>
  <c r="N376" i="17"/>
  <c r="M259" i="17"/>
  <c r="M261" i="17" s="1"/>
  <c r="M407" i="17"/>
  <c r="M409" i="17" s="1"/>
  <c r="N415" i="17"/>
  <c r="N198" i="17" s="1"/>
  <c r="P309" i="17"/>
  <c r="O421" i="17"/>
  <c r="O423" i="17" s="1"/>
  <c r="T134" i="17"/>
  <c r="M221" i="17"/>
  <c r="O302" i="17"/>
  <c r="M296" i="17"/>
  <c r="M298" i="17" s="1"/>
  <c r="P236" i="17"/>
  <c r="P238" i="17" s="1"/>
  <c r="P429" i="17"/>
  <c r="P200" i="17" s="1"/>
  <c r="O274" i="17"/>
  <c r="O79" i="17" s="1"/>
  <c r="U183" i="17"/>
  <c r="U189" i="17"/>
  <c r="U153" i="17"/>
  <c r="U159" i="17"/>
  <c r="U124" i="17"/>
  <c r="U95" i="17"/>
  <c r="U67" i="17"/>
  <c r="U33" i="17"/>
  <c r="U39" i="17"/>
  <c r="U203" i="17"/>
  <c r="U113" i="17"/>
  <c r="U184" i="17"/>
  <c r="U154" i="17"/>
  <c r="U125" i="17"/>
  <c r="U97" i="17"/>
  <c r="U63" i="17"/>
  <c r="U69" i="17"/>
  <c r="U34" i="17"/>
  <c r="U82" i="17"/>
  <c r="U155" i="17"/>
  <c r="U129" i="17"/>
  <c r="U35" i="17"/>
  <c r="U52" i="17"/>
  <c r="U142" i="17"/>
  <c r="U172" i="17"/>
  <c r="V28" i="17"/>
  <c r="U157" i="17"/>
  <c r="U93" i="17"/>
  <c r="U64" i="17"/>
  <c r="U37" i="17"/>
  <c r="U53" i="17"/>
  <c r="U143" i="17"/>
  <c r="U173" i="17"/>
  <c r="U127" i="17"/>
  <c r="U99" i="17"/>
  <c r="U187" i="17"/>
  <c r="U43" i="17"/>
  <c r="U83" i="17"/>
  <c r="U112" i="17"/>
  <c r="U185" i="17"/>
  <c r="U65" i="17"/>
  <c r="U123" i="17"/>
  <c r="U94" i="17"/>
  <c r="U202" i="17"/>
  <c r="U191" i="17"/>
  <c r="U133" i="17"/>
  <c r="U41" i="17"/>
  <c r="U193" i="17"/>
  <c r="U102" i="17"/>
  <c r="U161" i="17"/>
  <c r="U132" i="17"/>
  <c r="U192" i="17"/>
  <c r="U42" i="17"/>
  <c r="U71" i="17"/>
  <c r="U72" i="17"/>
  <c r="U103" i="17"/>
  <c r="U131" i="17"/>
  <c r="U162" i="17"/>
  <c r="U73" i="17"/>
  <c r="U101" i="17"/>
  <c r="U163" i="17"/>
  <c r="M267" i="17"/>
  <c r="M78" i="17" s="1"/>
  <c r="Z12" i="3"/>
  <c r="Y321" i="3"/>
  <c r="M371" i="17"/>
  <c r="M167" i="17" s="1"/>
  <c r="Q250" i="17"/>
  <c r="Q252" i="17" s="1"/>
  <c r="M378" i="17"/>
  <c r="M168" i="17" s="1"/>
  <c r="Q398" i="17"/>
  <c r="Q400" i="17" s="1"/>
  <c r="N304" i="17"/>
  <c r="N108" i="17" s="1"/>
  <c r="Q391" i="17"/>
  <c r="Q393" i="17" s="1"/>
  <c r="Y17" i="21" l="1"/>
  <c r="Y142" i="21"/>
  <c r="Y42" i="21"/>
  <c r="Y117" i="21"/>
  <c r="Y67" i="21"/>
  <c r="Y92" i="21"/>
  <c r="T119" i="20"/>
  <c r="T186" i="20" s="1"/>
  <c r="U236" i="12"/>
  <c r="U237" i="12" s="1"/>
  <c r="U229" i="12" s="1"/>
  <c r="U170" i="12"/>
  <c r="U192" i="12" s="1"/>
  <c r="W146" i="12"/>
  <c r="X146" i="21" s="1"/>
  <c r="W150" i="12"/>
  <c r="X150" i="21" s="1"/>
  <c r="W138" i="12"/>
  <c r="X138" i="21" s="1"/>
  <c r="W144" i="12"/>
  <c r="X144" i="21" s="1"/>
  <c r="W148" i="12"/>
  <c r="X148" i="21" s="1"/>
  <c r="W152" i="12"/>
  <c r="X152" i="21" s="1"/>
  <c r="W140" i="12"/>
  <c r="X140" i="21" s="1"/>
  <c r="W143" i="12"/>
  <c r="X143" i="21" s="1"/>
  <c r="W147" i="12"/>
  <c r="X147" i="21" s="1"/>
  <c r="W151" i="12"/>
  <c r="X151" i="21" s="1"/>
  <c r="W137" i="12"/>
  <c r="X137" i="21" s="1"/>
  <c r="W139" i="12"/>
  <c r="X139" i="21" s="1"/>
  <c r="W119" i="12"/>
  <c r="X118" i="21" s="1"/>
  <c r="W122" i="12"/>
  <c r="X121" i="21" s="1"/>
  <c r="W126" i="12"/>
  <c r="X125" i="21" s="1"/>
  <c r="W114" i="12"/>
  <c r="X113" i="21" s="1"/>
  <c r="W145" i="12"/>
  <c r="X145" i="21" s="1"/>
  <c r="W120" i="12"/>
  <c r="X119" i="21" s="1"/>
  <c r="W124" i="12"/>
  <c r="X123" i="21" s="1"/>
  <c r="W128" i="12"/>
  <c r="X127" i="21" s="1"/>
  <c r="W116" i="12"/>
  <c r="X115" i="21" s="1"/>
  <c r="W96" i="12"/>
  <c r="X94" i="21" s="1"/>
  <c r="W100" i="12"/>
  <c r="X98" i="21" s="1"/>
  <c r="W104" i="12"/>
  <c r="X102" i="21" s="1"/>
  <c r="W117" i="12"/>
  <c r="X116" i="21" s="1"/>
  <c r="W123" i="12"/>
  <c r="X122" i="21" s="1"/>
  <c r="W127" i="12"/>
  <c r="X126" i="21" s="1"/>
  <c r="W113" i="12"/>
  <c r="X112" i="21" s="1"/>
  <c r="W121" i="12"/>
  <c r="X120" i="21" s="1"/>
  <c r="W93" i="12"/>
  <c r="X91" i="21" s="1"/>
  <c r="W98" i="12"/>
  <c r="X96" i="21" s="1"/>
  <c r="W91" i="12"/>
  <c r="X89" i="21" s="1"/>
  <c r="W87" i="12"/>
  <c r="X85" i="21" s="1"/>
  <c r="W141" i="12"/>
  <c r="X141" i="21" s="1"/>
  <c r="W149" i="12"/>
  <c r="X149" i="21" s="1"/>
  <c r="W115" i="12"/>
  <c r="X114" i="21" s="1"/>
  <c r="W111" i="12"/>
  <c r="X110" i="21" s="1"/>
  <c r="W97" i="12"/>
  <c r="X95" i="21" s="1"/>
  <c r="W99" i="12"/>
  <c r="X97" i="21" s="1"/>
  <c r="W89" i="12"/>
  <c r="X87" i="21" s="1"/>
  <c r="W71" i="12"/>
  <c r="X68" i="21" s="1"/>
  <c r="W75" i="12"/>
  <c r="X72" i="21" s="1"/>
  <c r="W79" i="12"/>
  <c r="X76" i="21" s="1"/>
  <c r="W65" i="12"/>
  <c r="X62" i="21" s="1"/>
  <c r="W135" i="12"/>
  <c r="X135" i="21" s="1"/>
  <c r="W125" i="12"/>
  <c r="X124" i="21" s="1"/>
  <c r="W101" i="12"/>
  <c r="X99" i="21" s="1"/>
  <c r="W103" i="12"/>
  <c r="X101" i="21" s="1"/>
  <c r="W90" i="12"/>
  <c r="X88" i="21" s="1"/>
  <c r="W73" i="12"/>
  <c r="X70" i="21" s="1"/>
  <c r="W80" i="12"/>
  <c r="X77" i="21" s="1"/>
  <c r="W47" i="12"/>
  <c r="X43" i="21" s="1"/>
  <c r="W102" i="12"/>
  <c r="X100" i="21" s="1"/>
  <c r="W72" i="12"/>
  <c r="X69" i="21" s="1"/>
  <c r="W74" i="12"/>
  <c r="X71" i="21" s="1"/>
  <c r="W67" i="12"/>
  <c r="X64" i="21" s="1"/>
  <c r="W63" i="12"/>
  <c r="X60" i="21" s="1"/>
  <c r="W45" i="12"/>
  <c r="X41" i="21" s="1"/>
  <c r="W49" i="12"/>
  <c r="X45" i="21" s="1"/>
  <c r="W53" i="12"/>
  <c r="X49" i="21" s="1"/>
  <c r="W43" i="12"/>
  <c r="X39" i="21" s="1"/>
  <c r="W39" i="12"/>
  <c r="X35" i="21" s="1"/>
  <c r="W21" i="12"/>
  <c r="X16" i="21" s="1"/>
  <c r="W69" i="12"/>
  <c r="X66" i="21" s="1"/>
  <c r="W76" i="12"/>
  <c r="X73" i="21" s="1"/>
  <c r="W78" i="12"/>
  <c r="X75" i="21" s="1"/>
  <c r="W68" i="12"/>
  <c r="X65" i="21" s="1"/>
  <c r="W48" i="12"/>
  <c r="X44" i="21" s="1"/>
  <c r="W66" i="12"/>
  <c r="X63" i="21" s="1"/>
  <c r="W55" i="12"/>
  <c r="X51" i="21" s="1"/>
  <c r="W42" i="12"/>
  <c r="X38" i="21" s="1"/>
  <c r="W28" i="12"/>
  <c r="X23" i="21" s="1"/>
  <c r="W32" i="12"/>
  <c r="X27" i="21" s="1"/>
  <c r="W95" i="12"/>
  <c r="X93" i="21" s="1"/>
  <c r="W50" i="12"/>
  <c r="X46" i="21" s="1"/>
  <c r="W44" i="12"/>
  <c r="X40" i="21" s="1"/>
  <c r="W31" i="12"/>
  <c r="X26" i="21" s="1"/>
  <c r="W54" i="12"/>
  <c r="X50" i="21" s="1"/>
  <c r="W56" i="12"/>
  <c r="X52" i="21" s="1"/>
  <c r="W26" i="12"/>
  <c r="X21" i="21" s="1"/>
  <c r="W30" i="12"/>
  <c r="X25" i="21" s="1"/>
  <c r="W18" i="12"/>
  <c r="X13" i="21" s="1"/>
  <c r="W19" i="12"/>
  <c r="X14" i="21" s="1"/>
  <c r="W20" i="12"/>
  <c r="X15" i="21" s="1"/>
  <c r="W52" i="12"/>
  <c r="X48" i="21" s="1"/>
  <c r="W24" i="12"/>
  <c r="X19" i="21" s="1"/>
  <c r="W17" i="12"/>
  <c r="X12" i="21" s="1"/>
  <c r="W77" i="12"/>
  <c r="X74" i="21" s="1"/>
  <c r="W51" i="12"/>
  <c r="X47" i="21" s="1"/>
  <c r="W41" i="12"/>
  <c r="X37" i="21" s="1"/>
  <c r="W23" i="12"/>
  <c r="X18" i="21" s="1"/>
  <c r="W25" i="12"/>
  <c r="X20" i="21" s="1"/>
  <c r="W29" i="12"/>
  <c r="X24" i="21" s="1"/>
  <c r="W15" i="12"/>
  <c r="X10" i="21" s="1"/>
  <c r="W92" i="12"/>
  <c r="X90" i="21" s="1"/>
  <c r="W27" i="12"/>
  <c r="X22" i="21" s="1"/>
  <c r="V136" i="21"/>
  <c r="V153" i="21" s="1"/>
  <c r="V111" i="21"/>
  <c r="V128" i="21" s="1"/>
  <c r="V36" i="21"/>
  <c r="V53" i="21" s="1"/>
  <c r="V61" i="21"/>
  <c r="V78" i="21" s="1"/>
  <c r="V86" i="21"/>
  <c r="V103" i="21" s="1"/>
  <c r="V330" i="20"/>
  <c r="V104" i="20"/>
  <c r="V102" i="20"/>
  <c r="V328" i="20"/>
  <c r="V103" i="20"/>
  <c r="V329" i="20"/>
  <c r="V126" i="20"/>
  <c r="V352" i="20"/>
  <c r="V150" i="20"/>
  <c r="V376" i="20"/>
  <c r="V55" i="20"/>
  <c r="V281" i="20"/>
  <c r="V78" i="20"/>
  <c r="V304" i="20"/>
  <c r="V151" i="20"/>
  <c r="V377" i="20"/>
  <c r="V354" i="20"/>
  <c r="V128" i="20"/>
  <c r="V79" i="20"/>
  <c r="V305" i="20"/>
  <c r="V152" i="20"/>
  <c r="V378" i="20"/>
  <c r="V54" i="20"/>
  <c r="V280" i="20"/>
  <c r="V306" i="20"/>
  <c r="V80" i="20"/>
  <c r="V127" i="20"/>
  <c r="V353" i="20"/>
  <c r="V258" i="20"/>
  <c r="V32" i="20"/>
  <c r="V282" i="20"/>
  <c r="V56" i="20"/>
  <c r="V11" i="21"/>
  <c r="V28" i="21" s="1"/>
  <c r="V257" i="20"/>
  <c r="V31" i="20"/>
  <c r="V30" i="20"/>
  <c r="V256" i="20"/>
  <c r="M175" i="17"/>
  <c r="M177" i="17" s="1"/>
  <c r="M178" i="17" s="1"/>
  <c r="W26" i="3"/>
  <c r="V29" i="3"/>
  <c r="V35" i="3" s="1"/>
  <c r="V38" i="3" s="1"/>
  <c r="V41" i="3" s="1"/>
  <c r="V58" i="3"/>
  <c r="W55" i="3"/>
  <c r="V234" i="12"/>
  <c r="V235" i="12" s="1"/>
  <c r="Y299" i="3"/>
  <c r="Y291" i="3"/>
  <c r="Y283" i="3"/>
  <c r="Y270" i="3"/>
  <c r="Y262" i="3"/>
  <c r="Y254" i="3"/>
  <c r="Y246" i="3"/>
  <c r="Y238" i="3"/>
  <c r="Y230" i="3"/>
  <c r="Y214" i="3"/>
  <c r="Y222" i="3"/>
  <c r="T177" i="20"/>
  <c r="T402" i="20"/>
  <c r="T321" i="20"/>
  <c r="T411" i="20" s="1"/>
  <c r="U166" i="12"/>
  <c r="U175" i="12"/>
  <c r="T221" i="20"/>
  <c r="T222" i="20" s="1"/>
  <c r="T223" i="20" s="1"/>
  <c r="T216" i="20" s="1"/>
  <c r="T183" i="20"/>
  <c r="T174" i="20"/>
  <c r="U320" i="20"/>
  <c r="T187" i="20"/>
  <c r="T178" i="20"/>
  <c r="V64" i="20"/>
  <c r="V290" i="20"/>
  <c r="U392" i="20"/>
  <c r="U172" i="12"/>
  <c r="U163" i="12"/>
  <c r="V293" i="20"/>
  <c r="V67" i="20"/>
  <c r="V90" i="20"/>
  <c r="V316" i="20"/>
  <c r="V85" i="20"/>
  <c r="V311" i="20"/>
  <c r="V158" i="20"/>
  <c r="V384" i="20"/>
  <c r="V379" i="20"/>
  <c r="V153" i="20"/>
  <c r="V271" i="20"/>
  <c r="V45" i="20"/>
  <c r="V313" i="20"/>
  <c r="V87" i="20"/>
  <c r="V114" i="20"/>
  <c r="V340" i="20"/>
  <c r="V124" i="20"/>
  <c r="V350" i="20"/>
  <c r="V36" i="20"/>
  <c r="V262" i="20"/>
  <c r="V66" i="20"/>
  <c r="V292" i="20"/>
  <c r="V269" i="20"/>
  <c r="V43" i="20"/>
  <c r="V339" i="20"/>
  <c r="V113" i="20"/>
  <c r="V137" i="20"/>
  <c r="V363" i="20"/>
  <c r="V383" i="20"/>
  <c r="V157" i="20"/>
  <c r="V283" i="20"/>
  <c r="V57" i="20"/>
  <c r="V265" i="20"/>
  <c r="V39" i="20"/>
  <c r="V184" i="12"/>
  <c r="V373" i="20"/>
  <c r="V147" i="20"/>
  <c r="V153" i="12"/>
  <c r="V154" i="12" s="1"/>
  <c r="V342" i="20"/>
  <c r="V116" i="20"/>
  <c r="V341" i="20"/>
  <c r="V115" i="20"/>
  <c r="X10" i="12"/>
  <c r="X14" i="20" s="1"/>
  <c r="W62" i="12"/>
  <c r="X59" i="21" s="1"/>
  <c r="W86" i="12"/>
  <c r="X84" i="21" s="1"/>
  <c r="W38" i="12"/>
  <c r="X34" i="21" s="1"/>
  <c r="W134" i="12"/>
  <c r="X134" i="21" s="1"/>
  <c r="W14" i="12"/>
  <c r="X9" i="21" s="1"/>
  <c r="W110" i="12"/>
  <c r="X109" i="21" s="1"/>
  <c r="U173" i="12"/>
  <c r="U164" i="12"/>
  <c r="U368" i="20"/>
  <c r="U70" i="20"/>
  <c r="U71" i="20" s="1"/>
  <c r="T403" i="20"/>
  <c r="T345" i="20"/>
  <c r="T412" i="20" s="1"/>
  <c r="T184" i="20"/>
  <c r="T175" i="20"/>
  <c r="U272" i="20"/>
  <c r="V181" i="12"/>
  <c r="V81" i="12"/>
  <c r="V82" i="12" s="1"/>
  <c r="V75" i="20"/>
  <c r="V301" i="20"/>
  <c r="V287" i="20"/>
  <c r="V61" i="20"/>
  <c r="V337" i="20"/>
  <c r="V111" i="20"/>
  <c r="V361" i="20"/>
  <c r="V135" i="20"/>
  <c r="V308" i="20"/>
  <c r="V82" i="20"/>
  <c r="V268" i="20"/>
  <c r="V42" i="20"/>
  <c r="V388" i="20"/>
  <c r="V162" i="20"/>
  <c r="V389" i="20"/>
  <c r="V163" i="20"/>
  <c r="V387" i="20"/>
  <c r="V161" i="20"/>
  <c r="V355" i="20"/>
  <c r="V129" i="20"/>
  <c r="V40" i="20"/>
  <c r="V266" i="20"/>
  <c r="V63" i="20"/>
  <c r="V289" i="20"/>
  <c r="V294" i="20"/>
  <c r="V68" i="20"/>
  <c r="V335" i="20"/>
  <c r="V109" i="20"/>
  <c r="V359" i="20"/>
  <c r="V133" i="20"/>
  <c r="V356" i="20"/>
  <c r="V130" i="20"/>
  <c r="V312" i="20"/>
  <c r="V86" i="20"/>
  <c r="V62" i="20"/>
  <c r="V288" i="20"/>
  <c r="V92" i="20"/>
  <c r="V318" i="20"/>
  <c r="V140" i="20"/>
  <c r="V366" i="20"/>
  <c r="V385" i="20"/>
  <c r="V159" i="20"/>
  <c r="U118" i="20"/>
  <c r="U119" i="20" s="1"/>
  <c r="U142" i="20"/>
  <c r="U143" i="20" s="1"/>
  <c r="U166" i="20"/>
  <c r="U167" i="20" s="1"/>
  <c r="T179" i="20"/>
  <c r="T188" i="20"/>
  <c r="T401" i="20"/>
  <c r="T297" i="20"/>
  <c r="T410" i="20" s="1"/>
  <c r="U94" i="20"/>
  <c r="U95" i="20" s="1"/>
  <c r="U46" i="20"/>
  <c r="U47" i="20" s="1"/>
  <c r="V264" i="20"/>
  <c r="V38" i="20"/>
  <c r="V315" i="20"/>
  <c r="V89" i="20"/>
  <c r="V310" i="20"/>
  <c r="V84" i="20"/>
  <c r="V154" i="20"/>
  <c r="V380" i="20"/>
  <c r="V106" i="20"/>
  <c r="V332" i="20"/>
  <c r="V182" i="12"/>
  <c r="V325" i="20"/>
  <c r="V99" i="20"/>
  <c r="V105" i="12"/>
  <c r="V106" i="12" s="1"/>
  <c r="V183" i="12"/>
  <c r="V129" i="12"/>
  <c r="V130" i="12" s="1"/>
  <c r="V349" i="20"/>
  <c r="V123" i="20"/>
  <c r="V117" i="20"/>
  <c r="V343" i="20"/>
  <c r="V58" i="20"/>
  <c r="V284" i="20"/>
  <c r="V148" i="20"/>
  <c r="V374" i="20"/>
  <c r="V267" i="20"/>
  <c r="V41" i="20"/>
  <c r="V365" i="20"/>
  <c r="V139" i="20"/>
  <c r="V76" i="20"/>
  <c r="V302" i="20"/>
  <c r="V390" i="20"/>
  <c r="V164" i="20"/>
  <c r="V331" i="20"/>
  <c r="V105" i="20"/>
  <c r="V44" i="20"/>
  <c r="V270" i="20"/>
  <c r="V179" i="12"/>
  <c r="V33" i="12"/>
  <c r="V34" i="12" s="1"/>
  <c r="V27" i="20"/>
  <c r="V253" i="20"/>
  <c r="V291" i="20"/>
  <c r="V65" i="20"/>
  <c r="V338" i="20"/>
  <c r="V112" i="20"/>
  <c r="V362" i="20"/>
  <c r="V136" i="20"/>
  <c r="V156" i="20"/>
  <c r="V382" i="20"/>
  <c r="U344" i="20"/>
  <c r="U174" i="12"/>
  <c r="U165" i="12"/>
  <c r="U296" i="20"/>
  <c r="T405" i="20"/>
  <c r="T393" i="20"/>
  <c r="T414" i="20" s="1"/>
  <c r="T447" i="20"/>
  <c r="T448" i="20" s="1"/>
  <c r="T449" i="20" s="1"/>
  <c r="T442" i="20" s="1"/>
  <c r="T400" i="20"/>
  <c r="T273" i="20"/>
  <c r="T409" i="20" s="1"/>
  <c r="U161" i="12"/>
  <c r="U188" i="12" s="1"/>
  <c r="V37" i="20"/>
  <c r="V263" i="20"/>
  <c r="V180" i="12"/>
  <c r="V277" i="20"/>
  <c r="V51" i="20"/>
  <c r="V57" i="12"/>
  <c r="V58" i="12" s="1"/>
  <c r="V364" i="20"/>
  <c r="V138" i="20"/>
  <c r="V367" i="20"/>
  <c r="V141" i="20"/>
  <c r="V391" i="20"/>
  <c r="V165" i="20"/>
  <c r="V254" i="20"/>
  <c r="V28" i="20"/>
  <c r="V307" i="20"/>
  <c r="V81" i="20"/>
  <c r="V336" i="20"/>
  <c r="V110" i="20"/>
  <c r="V360" i="20"/>
  <c r="V134" i="20"/>
  <c r="V34" i="20"/>
  <c r="V260" i="20"/>
  <c r="V60" i="20"/>
  <c r="V286" i="20"/>
  <c r="V295" i="20"/>
  <c r="V69" i="20"/>
  <c r="V278" i="20"/>
  <c r="V52" i="20"/>
  <c r="V326" i="20"/>
  <c r="V100" i="20"/>
  <c r="V386" i="20"/>
  <c r="V160" i="20"/>
  <c r="V259" i="20"/>
  <c r="V33" i="20"/>
  <c r="V314" i="20"/>
  <c r="V88" i="20"/>
  <c r="V319" i="20"/>
  <c r="V93" i="20"/>
  <c r="V91" i="20"/>
  <c r="V317" i="20"/>
  <c r="V108" i="20"/>
  <c r="V334" i="20"/>
  <c r="V132" i="20"/>
  <c r="V358" i="20"/>
  <c r="U162" i="12"/>
  <c r="U171" i="12"/>
  <c r="T369" i="20"/>
  <c r="T413" i="20" s="1"/>
  <c r="T404" i="20"/>
  <c r="T176" i="20"/>
  <c r="T185" i="20"/>
  <c r="W24" i="17"/>
  <c r="Y5" i="12"/>
  <c r="Y9" i="12" s="1"/>
  <c r="Q288" i="17"/>
  <c r="Q81" i="17" s="1"/>
  <c r="Q251" i="17"/>
  <c r="Q51" i="17" s="1"/>
  <c r="M260" i="17"/>
  <c r="M77" i="17" s="1"/>
  <c r="M85" i="17" s="1"/>
  <c r="M87" i="17" s="1"/>
  <c r="M88" i="17" s="1"/>
  <c r="Q399" i="17"/>
  <c r="Q171" i="17" s="1"/>
  <c r="O422" i="17"/>
  <c r="O199" i="17" s="1"/>
  <c r="P348" i="17"/>
  <c r="P139" i="17" s="1"/>
  <c r="Q392" i="17"/>
  <c r="Q170" i="17" s="1"/>
  <c r="M408" i="17"/>
  <c r="M197" i="17" s="1"/>
  <c r="M205" i="17" s="1"/>
  <c r="M207" i="17" s="1"/>
  <c r="M208" i="17" s="1"/>
  <c r="N230" i="17"/>
  <c r="N48" i="17" s="1"/>
  <c r="N295" i="17"/>
  <c r="M222" i="17"/>
  <c r="M224" i="17" s="1"/>
  <c r="O384" i="17"/>
  <c r="O386" i="17" s="1"/>
  <c r="R249" i="17"/>
  <c r="R390" i="17"/>
  <c r="R397" i="17"/>
  <c r="U104" i="17"/>
  <c r="U74" i="17"/>
  <c r="U44" i="17"/>
  <c r="M297" i="17"/>
  <c r="M107" i="17" s="1"/>
  <c r="M115" i="17" s="1"/>
  <c r="M117" i="17" s="1"/>
  <c r="M118" i="17" s="1"/>
  <c r="P310" i="17"/>
  <c r="P312" i="17" s="1"/>
  <c r="N406" i="17"/>
  <c r="O414" i="17"/>
  <c r="O416" i="17" s="1"/>
  <c r="P355" i="17"/>
  <c r="P140" i="17" s="1"/>
  <c r="N370" i="17"/>
  <c r="N372" i="17" s="1"/>
  <c r="O228" i="17"/>
  <c r="Q346" i="17"/>
  <c r="P243" i="17"/>
  <c r="P245" i="17" s="1"/>
  <c r="Q428" i="17"/>
  <c r="Q430" i="17" s="1"/>
  <c r="Q279" i="17"/>
  <c r="U134" i="17"/>
  <c r="W28" i="17"/>
  <c r="V184" i="17"/>
  <c r="V154" i="17"/>
  <c r="V125" i="17"/>
  <c r="V97" i="17"/>
  <c r="V63" i="17"/>
  <c r="V69" i="17"/>
  <c r="V34" i="17"/>
  <c r="V83" i="17"/>
  <c r="V53" i="17"/>
  <c r="V202" i="17"/>
  <c r="V112" i="17"/>
  <c r="V185" i="17"/>
  <c r="V155" i="17"/>
  <c r="V127" i="17"/>
  <c r="V93" i="17"/>
  <c r="V99" i="17"/>
  <c r="V64" i="17"/>
  <c r="V35" i="17"/>
  <c r="V203" i="17"/>
  <c r="V113" i="17"/>
  <c r="V157" i="17"/>
  <c r="V37" i="17"/>
  <c r="V183" i="17"/>
  <c r="V159" i="17"/>
  <c r="V123" i="17"/>
  <c r="V94" i="17"/>
  <c r="V65" i="17"/>
  <c r="V39" i="17"/>
  <c r="V82" i="17"/>
  <c r="V142" i="17"/>
  <c r="V172" i="17"/>
  <c r="V189" i="17"/>
  <c r="V67" i="17"/>
  <c r="V43" i="17"/>
  <c r="V129" i="17"/>
  <c r="V173" i="17"/>
  <c r="V187" i="17"/>
  <c r="V33" i="17"/>
  <c r="V124" i="17"/>
  <c r="V95" i="17"/>
  <c r="V52" i="17"/>
  <c r="V143" i="17"/>
  <c r="V153" i="17"/>
  <c r="V193" i="17"/>
  <c r="V102" i="17"/>
  <c r="V191" i="17"/>
  <c r="V41" i="17"/>
  <c r="V133" i="17"/>
  <c r="V161" i="17"/>
  <c r="V101" i="17"/>
  <c r="V73" i="17"/>
  <c r="V163" i="17"/>
  <c r="V103" i="17"/>
  <c r="V72" i="17"/>
  <c r="V132" i="17"/>
  <c r="V162" i="17"/>
  <c r="V71" i="17"/>
  <c r="V131" i="17"/>
  <c r="V192" i="17"/>
  <c r="V42" i="17"/>
  <c r="Q235" i="17"/>
  <c r="N377" i="17"/>
  <c r="N379" i="17" s="1"/>
  <c r="Q436" i="17"/>
  <c r="Q201" i="17" s="1"/>
  <c r="Q353" i="17"/>
  <c r="M333" i="17"/>
  <c r="M335" i="17" s="1"/>
  <c r="Q325" i="17"/>
  <c r="Q111" i="17" s="1"/>
  <c r="P281" i="17"/>
  <c r="P80" i="17" s="1"/>
  <c r="N266" i="17"/>
  <c r="N268" i="17" s="1"/>
  <c r="P273" i="17"/>
  <c r="P275" i="17" s="1"/>
  <c r="Z321" i="3"/>
  <c r="U164" i="17"/>
  <c r="Q316" i="17"/>
  <c r="R360" i="17"/>
  <c r="U194" i="17"/>
  <c r="P237" i="17"/>
  <c r="P49" i="17" s="1"/>
  <c r="O303" i="17"/>
  <c r="O305" i="17" s="1"/>
  <c r="P420" i="17"/>
  <c r="N258" i="17"/>
  <c r="R434" i="17"/>
  <c r="N340" i="17"/>
  <c r="N342" i="17" s="1"/>
  <c r="R323" i="17"/>
  <c r="P318" i="17"/>
  <c r="P110" i="17" s="1"/>
  <c r="R286" i="17"/>
  <c r="Q362" i="17"/>
  <c r="Q141" i="17" s="1"/>
  <c r="Z17" i="21" l="1"/>
  <c r="E17" i="21" s="1"/>
  <c r="G26" i="22" s="1"/>
  <c r="Z117" i="21"/>
  <c r="E117" i="21" s="1"/>
  <c r="Z92" i="21"/>
  <c r="E92" i="21" s="1"/>
  <c r="Z142" i="21"/>
  <c r="E142" i="21" s="1"/>
  <c r="Z42" i="21"/>
  <c r="E42" i="21" s="1"/>
  <c r="Z67" i="21"/>
  <c r="E67" i="21" s="1"/>
  <c r="X24" i="17"/>
  <c r="Z5" i="12"/>
  <c r="Z9" i="12" s="1"/>
  <c r="V236" i="12"/>
  <c r="V237" i="12" s="1"/>
  <c r="V229" i="12" s="1"/>
  <c r="V170" i="12"/>
  <c r="V192" i="12" s="1"/>
  <c r="X143" i="12"/>
  <c r="Y143" i="21" s="1"/>
  <c r="X147" i="12"/>
  <c r="Y147" i="21" s="1"/>
  <c r="X151" i="12"/>
  <c r="Y151" i="21" s="1"/>
  <c r="X137" i="12"/>
  <c r="Y137" i="21" s="1"/>
  <c r="X141" i="12"/>
  <c r="Y141" i="21" s="1"/>
  <c r="X145" i="12"/>
  <c r="Y145" i="21" s="1"/>
  <c r="X149" i="12"/>
  <c r="Y149" i="21" s="1"/>
  <c r="X139" i="12"/>
  <c r="Y139" i="21" s="1"/>
  <c r="X135" i="12"/>
  <c r="Y135" i="21" s="1"/>
  <c r="X117" i="12"/>
  <c r="Y116" i="21" s="1"/>
  <c r="X144" i="12"/>
  <c r="Y144" i="21" s="1"/>
  <c r="X148" i="12"/>
  <c r="Y148" i="21" s="1"/>
  <c r="X152" i="12"/>
  <c r="Y152" i="21" s="1"/>
  <c r="X140" i="12"/>
  <c r="Y140" i="21" s="1"/>
  <c r="X138" i="12"/>
  <c r="Y138" i="21" s="1"/>
  <c r="X123" i="12"/>
  <c r="Y122" i="21" s="1"/>
  <c r="X127" i="12"/>
  <c r="Y126" i="21" s="1"/>
  <c r="X113" i="12"/>
  <c r="Y112" i="21" s="1"/>
  <c r="X150" i="12"/>
  <c r="Y150" i="21" s="1"/>
  <c r="X121" i="12"/>
  <c r="Y120" i="21" s="1"/>
  <c r="X125" i="12"/>
  <c r="Y124" i="21" s="1"/>
  <c r="X115" i="12"/>
  <c r="Y114" i="21" s="1"/>
  <c r="X111" i="12"/>
  <c r="Y110" i="21" s="1"/>
  <c r="X93" i="12"/>
  <c r="Y91" i="21" s="1"/>
  <c r="X97" i="12"/>
  <c r="Y95" i="21" s="1"/>
  <c r="X101" i="12"/>
  <c r="Y99" i="21" s="1"/>
  <c r="X146" i="12"/>
  <c r="Y146" i="21" s="1"/>
  <c r="X120" i="12"/>
  <c r="Y119" i="21" s="1"/>
  <c r="X124" i="12"/>
  <c r="Y123" i="21" s="1"/>
  <c r="X128" i="12"/>
  <c r="Y127" i="21" s="1"/>
  <c r="X126" i="12"/>
  <c r="Y125" i="21" s="1"/>
  <c r="X116" i="12"/>
  <c r="Y115" i="21" s="1"/>
  <c r="X96" i="12"/>
  <c r="Y94" i="21" s="1"/>
  <c r="X103" i="12"/>
  <c r="Y101" i="21" s="1"/>
  <c r="X90" i="12"/>
  <c r="Y88" i="21" s="1"/>
  <c r="X114" i="12"/>
  <c r="Y113" i="21" s="1"/>
  <c r="X95" i="12"/>
  <c r="Y93" i="21" s="1"/>
  <c r="X102" i="12"/>
  <c r="Y100" i="21" s="1"/>
  <c r="X104" i="12"/>
  <c r="Y102" i="21" s="1"/>
  <c r="X92" i="12"/>
  <c r="Y90" i="21" s="1"/>
  <c r="X72" i="12"/>
  <c r="Y69" i="21" s="1"/>
  <c r="X76" i="12"/>
  <c r="Y73" i="21" s="1"/>
  <c r="X80" i="12"/>
  <c r="Y77" i="21" s="1"/>
  <c r="X119" i="12"/>
  <c r="Y118" i="21" s="1"/>
  <c r="X99" i="12"/>
  <c r="Y97" i="21" s="1"/>
  <c r="X89" i="12"/>
  <c r="Y87" i="21" s="1"/>
  <c r="X98" i="12"/>
  <c r="Y96" i="21" s="1"/>
  <c r="X69" i="12"/>
  <c r="Y66" i="21" s="1"/>
  <c r="X71" i="12"/>
  <c r="Y68" i="21" s="1"/>
  <c r="X78" i="12"/>
  <c r="Y75" i="21" s="1"/>
  <c r="X68" i="12"/>
  <c r="Y65" i="21" s="1"/>
  <c r="X48" i="12"/>
  <c r="Y44" i="21" s="1"/>
  <c r="X87" i="12"/>
  <c r="Y85" i="21" s="1"/>
  <c r="X77" i="12"/>
  <c r="Y74" i="21" s="1"/>
  <c r="X79" i="12"/>
  <c r="Y76" i="21" s="1"/>
  <c r="X66" i="12"/>
  <c r="Y63" i="21" s="1"/>
  <c r="X50" i="12"/>
  <c r="Y46" i="21" s="1"/>
  <c r="X54" i="12"/>
  <c r="Y50" i="21" s="1"/>
  <c r="X42" i="12"/>
  <c r="Y38" i="21" s="1"/>
  <c r="X100" i="12"/>
  <c r="Y98" i="21" s="1"/>
  <c r="X74" i="12"/>
  <c r="Y71" i="21" s="1"/>
  <c r="X67" i="12"/>
  <c r="Y64" i="21" s="1"/>
  <c r="X63" i="12"/>
  <c r="Y60" i="21" s="1"/>
  <c r="X45" i="12"/>
  <c r="Y41" i="21" s="1"/>
  <c r="X49" i="12"/>
  <c r="Y45" i="21" s="1"/>
  <c r="X91" i="12"/>
  <c r="Y89" i="21" s="1"/>
  <c r="X75" i="12"/>
  <c r="Y72" i="21" s="1"/>
  <c r="X51" i="12"/>
  <c r="Y47" i="21" s="1"/>
  <c r="X53" i="12"/>
  <c r="Y49" i="21" s="1"/>
  <c r="X41" i="12"/>
  <c r="Y37" i="21" s="1"/>
  <c r="X39" i="12"/>
  <c r="Y35" i="21" s="1"/>
  <c r="X23" i="12"/>
  <c r="Y18" i="21" s="1"/>
  <c r="X25" i="12"/>
  <c r="Y20" i="21" s="1"/>
  <c r="X29" i="12"/>
  <c r="Y24" i="21" s="1"/>
  <c r="X28" i="12"/>
  <c r="Y23" i="21" s="1"/>
  <c r="X47" i="12"/>
  <c r="Y43" i="21" s="1"/>
  <c r="X52" i="12"/>
  <c r="Y48" i="21" s="1"/>
  <c r="X44" i="12"/>
  <c r="Y40" i="21" s="1"/>
  <c r="X21" i="12"/>
  <c r="Y16" i="21" s="1"/>
  <c r="X24" i="12"/>
  <c r="Y19" i="21" s="1"/>
  <c r="X27" i="12"/>
  <c r="Y22" i="21" s="1"/>
  <c r="X31" i="12"/>
  <c r="Y26" i="21" s="1"/>
  <c r="X17" i="12"/>
  <c r="Y12" i="21" s="1"/>
  <c r="X30" i="12"/>
  <c r="Y25" i="21" s="1"/>
  <c r="X18" i="12"/>
  <c r="Y13" i="21" s="1"/>
  <c r="X19" i="12"/>
  <c r="Y14" i="21" s="1"/>
  <c r="X55" i="12"/>
  <c r="Y51" i="21" s="1"/>
  <c r="X43" i="12"/>
  <c r="Y39" i="21" s="1"/>
  <c r="X122" i="12"/>
  <c r="Y121" i="21" s="1"/>
  <c r="X56" i="12"/>
  <c r="Y52" i="21" s="1"/>
  <c r="X26" i="12"/>
  <c r="Y21" i="21" s="1"/>
  <c r="X15" i="12"/>
  <c r="Y10" i="21" s="1"/>
  <c r="X73" i="12"/>
  <c r="Y70" i="21" s="1"/>
  <c r="X65" i="12"/>
  <c r="Y62" i="21" s="1"/>
  <c r="X32" i="12"/>
  <c r="Y27" i="21" s="1"/>
  <c r="X20" i="12"/>
  <c r="Y15" i="21" s="1"/>
  <c r="W36" i="21"/>
  <c r="W53" i="21" s="1"/>
  <c r="W11" i="21"/>
  <c r="W28" i="21" s="1"/>
  <c r="W86" i="21"/>
  <c r="W103" i="21" s="1"/>
  <c r="W136" i="21"/>
  <c r="W153" i="21" s="1"/>
  <c r="W111" i="21"/>
  <c r="W128" i="21" s="1"/>
  <c r="W61" i="21"/>
  <c r="W78" i="21" s="1"/>
  <c r="W102" i="20"/>
  <c r="W328" i="20"/>
  <c r="W354" i="20"/>
  <c r="W128" i="20"/>
  <c r="W353" i="20"/>
  <c r="W127" i="20"/>
  <c r="W55" i="20"/>
  <c r="W281" i="20"/>
  <c r="W330" i="20"/>
  <c r="W104" i="20"/>
  <c r="W54" i="20"/>
  <c r="W280" i="20"/>
  <c r="W79" i="20"/>
  <c r="W305" i="20"/>
  <c r="W258" i="20"/>
  <c r="W32" i="20"/>
  <c r="W151" i="20"/>
  <c r="W377" i="20"/>
  <c r="W282" i="20"/>
  <c r="W56" i="20"/>
  <c r="W378" i="20"/>
  <c r="W152" i="20"/>
  <c r="W352" i="20"/>
  <c r="W126" i="20"/>
  <c r="W329" i="20"/>
  <c r="W103" i="20"/>
  <c r="W306" i="20"/>
  <c r="W80" i="20"/>
  <c r="W78" i="20"/>
  <c r="W304" i="20"/>
  <c r="W376" i="20"/>
  <c r="W150" i="20"/>
  <c r="W31" i="20"/>
  <c r="W257" i="20"/>
  <c r="W256" i="20"/>
  <c r="W30" i="20"/>
  <c r="W58" i="3"/>
  <c r="X55" i="3"/>
  <c r="X26" i="3"/>
  <c r="W29" i="3"/>
  <c r="W35" i="3" s="1"/>
  <c r="W38" i="3" s="1"/>
  <c r="W41" i="3" s="1"/>
  <c r="W234" i="12"/>
  <c r="W235" i="12" s="1"/>
  <c r="Z299" i="3"/>
  <c r="Z291" i="3"/>
  <c r="Z283" i="3"/>
  <c r="Z270" i="3"/>
  <c r="Z262" i="3"/>
  <c r="Z254" i="3"/>
  <c r="Z246" i="3"/>
  <c r="Z238" i="3"/>
  <c r="Z230" i="3"/>
  <c r="Z214" i="3"/>
  <c r="Z222" i="3"/>
  <c r="V44" i="17"/>
  <c r="V296" i="20"/>
  <c r="V161" i="12"/>
  <c r="V188" i="12" s="1"/>
  <c r="V142" i="20"/>
  <c r="V143" i="20" s="1"/>
  <c r="V164" i="12"/>
  <c r="V173" i="12"/>
  <c r="U174" i="20"/>
  <c r="U221" i="20"/>
  <c r="U222" i="20" s="1"/>
  <c r="U223" i="20" s="1"/>
  <c r="U216" i="20" s="1"/>
  <c r="U183" i="20"/>
  <c r="U177" i="20"/>
  <c r="U186" i="20"/>
  <c r="V94" i="20"/>
  <c r="V95" i="20" s="1"/>
  <c r="U175" i="20"/>
  <c r="U184" i="20"/>
  <c r="W294" i="20"/>
  <c r="W68" i="20"/>
  <c r="W84" i="20"/>
  <c r="W310" i="20"/>
  <c r="W162" i="20"/>
  <c r="W388" i="20"/>
  <c r="W307" i="20"/>
  <c r="W81" i="20"/>
  <c r="W183" i="12"/>
  <c r="W349" i="20"/>
  <c r="W123" i="20"/>
  <c r="W129" i="12"/>
  <c r="W130" i="12" s="1"/>
  <c r="W179" i="12"/>
  <c r="W253" i="20"/>
  <c r="W27" i="20"/>
  <c r="W33" i="12"/>
  <c r="W34" i="12" s="1"/>
  <c r="W93" i="20"/>
  <c r="W319" i="20"/>
  <c r="W361" i="20"/>
  <c r="W135" i="20"/>
  <c r="W350" i="20"/>
  <c r="W124" i="20"/>
  <c r="W332" i="20"/>
  <c r="W106" i="20"/>
  <c r="W115" i="20"/>
  <c r="W341" i="20"/>
  <c r="W137" i="20"/>
  <c r="W363" i="20"/>
  <c r="W287" i="20"/>
  <c r="W61" i="20"/>
  <c r="W283" i="20"/>
  <c r="W57" i="20"/>
  <c r="W342" i="20"/>
  <c r="W116" i="20"/>
  <c r="W358" i="20"/>
  <c r="W132" i="20"/>
  <c r="W356" i="20"/>
  <c r="W130" i="20"/>
  <c r="W331" i="20"/>
  <c r="W105" i="20"/>
  <c r="W52" i="20"/>
  <c r="W278" i="20"/>
  <c r="W264" i="20"/>
  <c r="W38" i="20"/>
  <c r="W340" i="20"/>
  <c r="W114" i="20"/>
  <c r="W337" i="20"/>
  <c r="W111" i="20"/>
  <c r="V166" i="20"/>
  <c r="V167" i="20" s="1"/>
  <c r="U345" i="20"/>
  <c r="U412" i="20" s="1"/>
  <c r="U403" i="20"/>
  <c r="V368" i="20"/>
  <c r="V118" i="20"/>
  <c r="V119" i="20" s="1"/>
  <c r="U176" i="20"/>
  <c r="U185" i="20"/>
  <c r="V172" i="12"/>
  <c r="V163" i="12"/>
  <c r="U404" i="20"/>
  <c r="U369" i="20"/>
  <c r="U413" i="20" s="1"/>
  <c r="W259" i="20"/>
  <c r="W33" i="20"/>
  <c r="W164" i="20"/>
  <c r="W390" i="20"/>
  <c r="W343" i="20"/>
  <c r="W117" i="20"/>
  <c r="W308" i="20"/>
  <c r="W82" i="20"/>
  <c r="W63" i="20"/>
  <c r="W289" i="20"/>
  <c r="W266" i="20"/>
  <c r="W40" i="20"/>
  <c r="W312" i="20"/>
  <c r="W86" i="20"/>
  <c r="W339" i="20"/>
  <c r="W113" i="20"/>
  <c r="W156" i="20"/>
  <c r="W382" i="20"/>
  <c r="W41" i="20"/>
  <c r="W267" i="20"/>
  <c r="W366" i="20"/>
  <c r="W140" i="20"/>
  <c r="W180" i="12"/>
  <c r="W277" i="20"/>
  <c r="W57" i="12"/>
  <c r="W58" i="12" s="1"/>
  <c r="W51" i="20"/>
  <c r="W181" i="12"/>
  <c r="W301" i="20"/>
  <c r="W75" i="20"/>
  <c r="W81" i="12"/>
  <c r="W82" i="12" s="1"/>
  <c r="W315" i="20"/>
  <c r="W89" i="20"/>
  <c r="W159" i="20"/>
  <c r="W385" i="20"/>
  <c r="W391" i="20"/>
  <c r="W165" i="20"/>
  <c r="X86" i="12"/>
  <c r="Y84" i="21" s="1"/>
  <c r="X62" i="12"/>
  <c r="Y59" i="21" s="1"/>
  <c r="X14" i="12"/>
  <c r="Y9" i="21" s="1"/>
  <c r="X134" i="12"/>
  <c r="Y134" i="21" s="1"/>
  <c r="Y10" i="12"/>
  <c r="X110" i="12"/>
  <c r="Y109" i="21" s="1"/>
  <c r="X38" i="12"/>
  <c r="Y34" i="21" s="1"/>
  <c r="W270" i="20"/>
  <c r="W44" i="20"/>
  <c r="W293" i="20"/>
  <c r="W67" i="20"/>
  <c r="W85" i="20"/>
  <c r="W311" i="20"/>
  <c r="W326" i="20"/>
  <c r="W100" i="20"/>
  <c r="V392" i="20"/>
  <c r="U405" i="20"/>
  <c r="U393" i="20"/>
  <c r="U414" i="20" s="1"/>
  <c r="V171" i="12"/>
  <c r="V162" i="12"/>
  <c r="U297" i="20"/>
  <c r="U410" i="20" s="1"/>
  <c r="U401" i="20"/>
  <c r="V272" i="20"/>
  <c r="V174" i="12"/>
  <c r="V165" i="12"/>
  <c r="V344" i="20"/>
  <c r="U188" i="20"/>
  <c r="U179" i="20"/>
  <c r="W288" i="20"/>
  <c r="W62" i="20"/>
  <c r="W263" i="20"/>
  <c r="W37" i="20"/>
  <c r="W110" i="20"/>
  <c r="W336" i="20"/>
  <c r="W260" i="20"/>
  <c r="W34" i="20"/>
  <c r="W43" i="20"/>
  <c r="W269" i="20"/>
  <c r="W262" i="20"/>
  <c r="W36" i="20"/>
  <c r="W360" i="20"/>
  <c r="W134" i="20"/>
  <c r="W335" i="20"/>
  <c r="W109" i="20"/>
  <c r="W389" i="20"/>
  <c r="W163" i="20"/>
  <c r="W290" i="20"/>
  <c r="W64" i="20"/>
  <c r="W365" i="20"/>
  <c r="W139" i="20"/>
  <c r="W265" i="20"/>
  <c r="W39" i="20"/>
  <c r="W316" i="20"/>
  <c r="W90" i="20"/>
  <c r="W338" i="20"/>
  <c r="W112" i="20"/>
  <c r="W379" i="20"/>
  <c r="W153" i="20"/>
  <c r="W318" i="20"/>
  <c r="W92" i="20"/>
  <c r="W317" i="20"/>
  <c r="W91" i="20"/>
  <c r="W367" i="20"/>
  <c r="W141" i="20"/>
  <c r="W138" i="20"/>
  <c r="W364" i="20"/>
  <c r="W380" i="20"/>
  <c r="W154" i="20"/>
  <c r="U402" i="20"/>
  <c r="U321" i="20"/>
  <c r="U411" i="20" s="1"/>
  <c r="V70" i="20"/>
  <c r="V71" i="20" s="1"/>
  <c r="V46" i="20"/>
  <c r="V47" i="20" s="1"/>
  <c r="U187" i="20"/>
  <c r="U178" i="20"/>
  <c r="V320" i="20"/>
  <c r="U400" i="20"/>
  <c r="U273" i="20"/>
  <c r="U409" i="20" s="1"/>
  <c r="U447" i="20"/>
  <c r="U448" i="20" s="1"/>
  <c r="U449" i="20" s="1"/>
  <c r="U442" i="20" s="1"/>
  <c r="W295" i="20"/>
  <c r="W69" i="20"/>
  <c r="W66" i="20"/>
  <c r="W292" i="20"/>
  <c r="W386" i="20"/>
  <c r="W160" i="20"/>
  <c r="W268" i="20"/>
  <c r="W42" i="20"/>
  <c r="W291" i="20"/>
  <c r="W65" i="20"/>
  <c r="W60" i="20"/>
  <c r="W286" i="20"/>
  <c r="W76" i="20"/>
  <c r="W302" i="20"/>
  <c r="W362" i="20"/>
  <c r="W136" i="20"/>
  <c r="W284" i="20"/>
  <c r="W58" i="20"/>
  <c r="W184" i="12"/>
  <c r="W373" i="20"/>
  <c r="W147" i="20"/>
  <c r="W153" i="12"/>
  <c r="W154" i="12" s="1"/>
  <c r="W313" i="20"/>
  <c r="W87" i="20"/>
  <c r="W148" i="20"/>
  <c r="W374" i="20"/>
  <c r="W355" i="20"/>
  <c r="W129" i="20"/>
  <c r="W182" i="12"/>
  <c r="W99" i="20"/>
  <c r="W105" i="12"/>
  <c r="W106" i="12" s="1"/>
  <c r="W325" i="20"/>
  <c r="W254" i="20"/>
  <c r="W28" i="20"/>
  <c r="W359" i="20"/>
  <c r="W133" i="20"/>
  <c r="W334" i="20"/>
  <c r="W108" i="20"/>
  <c r="W383" i="20"/>
  <c r="W157" i="20"/>
  <c r="W45" i="20"/>
  <c r="W271" i="20"/>
  <c r="W314" i="20"/>
  <c r="W88" i="20"/>
  <c r="W158" i="20"/>
  <c r="W384" i="20"/>
  <c r="W387" i="20"/>
  <c r="W161" i="20"/>
  <c r="V175" i="12"/>
  <c r="V166" i="12"/>
  <c r="O415" i="17"/>
  <c r="O198" i="17" s="1"/>
  <c r="N341" i="17"/>
  <c r="N138" i="17" s="1"/>
  <c r="N371" i="17"/>
  <c r="N167" i="17" s="1"/>
  <c r="N267" i="17"/>
  <c r="N78" i="17" s="1"/>
  <c r="P244" i="17"/>
  <c r="P50" i="17" s="1"/>
  <c r="O385" i="17"/>
  <c r="O169" i="17" s="1"/>
  <c r="P274" i="17"/>
  <c r="P79" i="17" s="1"/>
  <c r="N378" i="17"/>
  <c r="N168" i="17" s="1"/>
  <c r="Q317" i="17"/>
  <c r="Q319" i="17" s="1"/>
  <c r="Q236" i="17"/>
  <c r="Q238" i="17" s="1"/>
  <c r="R324" i="17"/>
  <c r="R326" i="17" s="1"/>
  <c r="O339" i="17"/>
  <c r="R361" i="17"/>
  <c r="R363" i="17" s="1"/>
  <c r="N259" i="17"/>
  <c r="N261" i="17" s="1"/>
  <c r="Q272" i="17"/>
  <c r="O265" i="17"/>
  <c r="O376" i="17"/>
  <c r="V164" i="17"/>
  <c r="V194" i="17"/>
  <c r="V104" i="17"/>
  <c r="Q242" i="17"/>
  <c r="O369" i="17"/>
  <c r="P413" i="17"/>
  <c r="R391" i="17"/>
  <c r="R393" i="17" s="1"/>
  <c r="M223" i="17"/>
  <c r="M47" i="17" s="1"/>
  <c r="M55" i="17" s="1"/>
  <c r="M57" i="17" s="1"/>
  <c r="M58" i="17" s="1"/>
  <c r="P302" i="17"/>
  <c r="N332" i="17"/>
  <c r="Q309" i="17"/>
  <c r="R287" i="17"/>
  <c r="R289" i="17" s="1"/>
  <c r="R435" i="17"/>
  <c r="R437" i="17" s="1"/>
  <c r="P421" i="17"/>
  <c r="P423" i="17" s="1"/>
  <c r="O304" i="17"/>
  <c r="O108" i="17" s="1"/>
  <c r="Q354" i="17"/>
  <c r="Q356" i="17" s="1"/>
  <c r="V134" i="17"/>
  <c r="V74" i="17"/>
  <c r="Q429" i="17"/>
  <c r="Q200" i="17" s="1"/>
  <c r="O229" i="17"/>
  <c r="O231" i="17" s="1"/>
  <c r="P311" i="17"/>
  <c r="P109" i="17" s="1"/>
  <c r="R398" i="17"/>
  <c r="R400" i="17" s="1"/>
  <c r="R250" i="17"/>
  <c r="R252" i="17" s="1"/>
  <c r="N221" i="17"/>
  <c r="M334" i="17"/>
  <c r="M137" i="17" s="1"/>
  <c r="M145" i="17" s="1"/>
  <c r="M147" i="17" s="1"/>
  <c r="M148" i="17" s="1"/>
  <c r="W185" i="17"/>
  <c r="W155" i="17"/>
  <c r="W127" i="17"/>
  <c r="W93" i="17"/>
  <c r="W99" i="17"/>
  <c r="W64" i="17"/>
  <c r="W35" i="17"/>
  <c r="W52" i="17"/>
  <c r="W187" i="17"/>
  <c r="W157" i="17"/>
  <c r="W129" i="17"/>
  <c r="W94" i="17"/>
  <c r="W65" i="17"/>
  <c r="W37" i="17"/>
  <c r="W82" i="17"/>
  <c r="W53" i="17"/>
  <c r="W202" i="17"/>
  <c r="W112" i="17"/>
  <c r="W183" i="17"/>
  <c r="W159" i="17"/>
  <c r="W63" i="17"/>
  <c r="W39" i="17"/>
  <c r="W83" i="17"/>
  <c r="W184" i="17"/>
  <c r="W124" i="17"/>
  <c r="W95" i="17"/>
  <c r="W67" i="17"/>
  <c r="W203" i="17"/>
  <c r="X28" i="17"/>
  <c r="W154" i="17"/>
  <c r="W33" i="17"/>
  <c r="W113" i="17"/>
  <c r="W172" i="17"/>
  <c r="W69" i="17"/>
  <c r="W97" i="17"/>
  <c r="W142" i="17"/>
  <c r="W173" i="17"/>
  <c r="W189" i="17"/>
  <c r="W34" i="17"/>
  <c r="W143" i="17"/>
  <c r="W153" i="17"/>
  <c r="W125" i="17"/>
  <c r="W191" i="17"/>
  <c r="W123" i="17"/>
  <c r="W133" i="17"/>
  <c r="W41" i="17"/>
  <c r="W161" i="17"/>
  <c r="W43" i="17"/>
  <c r="W193" i="17"/>
  <c r="W102" i="17"/>
  <c r="W72" i="17"/>
  <c r="W71" i="17"/>
  <c r="W132" i="17"/>
  <c r="W162" i="17"/>
  <c r="W192" i="17"/>
  <c r="W163" i="17"/>
  <c r="W101" i="17"/>
  <c r="W42" i="17"/>
  <c r="W73" i="17"/>
  <c r="W103" i="17"/>
  <c r="W131" i="17"/>
  <c r="Q280" i="17"/>
  <c r="Q282" i="17" s="1"/>
  <c r="R427" i="17"/>
  <c r="Q347" i="17"/>
  <c r="Q349" i="17" s="1"/>
  <c r="N407" i="17"/>
  <c r="N409" i="17" s="1"/>
  <c r="P383" i="17"/>
  <c r="N296" i="17"/>
  <c r="N298" i="17" s="1"/>
  <c r="E11" i="22" l="1"/>
  <c r="G91" i="22"/>
  <c r="J11" i="22"/>
  <c r="G65" i="22"/>
  <c r="H11" i="22"/>
  <c r="G52" i="22"/>
  <c r="G11" i="22"/>
  <c r="I11" i="22"/>
  <c r="G78" i="22"/>
  <c r="G39" i="22"/>
  <c r="F11" i="22"/>
  <c r="Z10" i="12"/>
  <c r="Z135" i="12" s="1"/>
  <c r="Y14" i="20"/>
  <c r="Z137" i="12"/>
  <c r="Z113" i="12"/>
  <c r="Z114" i="12"/>
  <c r="Z119" i="12"/>
  <c r="Z93" i="12"/>
  <c r="Z128" i="12"/>
  <c r="Z100" i="12"/>
  <c r="Z79" i="12"/>
  <c r="Z62" i="12"/>
  <c r="Z43" i="12"/>
  <c r="Z95" i="12"/>
  <c r="Z48" i="12"/>
  <c r="Z24" i="12"/>
  <c r="Z115" i="12"/>
  <c r="Z80" i="12"/>
  <c r="Z45" i="12"/>
  <c r="Z21" i="12"/>
  <c r="Z73" i="12"/>
  <c r="Z50" i="12"/>
  <c r="Z19" i="12"/>
  <c r="Z69" i="12"/>
  <c r="Z26" i="12"/>
  <c r="Z44" i="12"/>
  <c r="Z146" i="12"/>
  <c r="Z138" i="12"/>
  <c r="Z90" i="12"/>
  <c r="Z75" i="12"/>
  <c r="Z143" i="12"/>
  <c r="Z39" i="12"/>
  <c r="Z20" i="12"/>
  <c r="Z42" i="12"/>
  <c r="Z68" i="12"/>
  <c r="Z27" i="12"/>
  <c r="Z66" i="12"/>
  <c r="Z148" i="12"/>
  <c r="Z151" i="12"/>
  <c r="Z126" i="12"/>
  <c r="Z104" i="12"/>
  <c r="Z111" i="12"/>
  <c r="Z71" i="12"/>
  <c r="Z51" i="12"/>
  <c r="Z77" i="12"/>
  <c r="Z15" i="12"/>
  <c r="Z63" i="12"/>
  <c r="Z87" i="12"/>
  <c r="Z49" i="12"/>
  <c r="Z23" i="12"/>
  <c r="Z144" i="12"/>
  <c r="Z141" i="12"/>
  <c r="Z139" i="12"/>
  <c r="Z117" i="12"/>
  <c r="Z122" i="12"/>
  <c r="Z127" i="12"/>
  <c r="Z101" i="12"/>
  <c r="Z74" i="12"/>
  <c r="Z103" i="12"/>
  <c r="Z86" i="12"/>
  <c r="Z67" i="12"/>
  <c r="Z47" i="12"/>
  <c r="Z116" i="12"/>
  <c r="Z65" i="12"/>
  <c r="Z28" i="12"/>
  <c r="Z124" i="12"/>
  <c r="Z92" i="12"/>
  <c r="Z54" i="12"/>
  <c r="Z25" i="12"/>
  <c r="Z123" i="12"/>
  <c r="Z53" i="12"/>
  <c r="Z147" i="12"/>
  <c r="Z52" i="12"/>
  <c r="Z18" i="12"/>
  <c r="Z152" i="12"/>
  <c r="Z149" i="12"/>
  <c r="Z125" i="12"/>
  <c r="Z102" i="12"/>
  <c r="Z110" i="12"/>
  <c r="Z120" i="12"/>
  <c r="Z97" i="12"/>
  <c r="Z55" i="12"/>
  <c r="Z89" i="12"/>
  <c r="Z99" i="12"/>
  <c r="Z72" i="12"/>
  <c r="Z17" i="12"/>
  <c r="Z41" i="12"/>
  <c r="Z76" i="12"/>
  <c r="Z14" i="12"/>
  <c r="Z145" i="12"/>
  <c r="Z121" i="12"/>
  <c r="Z98" i="12"/>
  <c r="Z78" i="12"/>
  <c r="Z91" i="12"/>
  <c r="Z134" i="12"/>
  <c r="Z32" i="12"/>
  <c r="Z96" i="12"/>
  <c r="Z29" i="12"/>
  <c r="Z56" i="12"/>
  <c r="Z38" i="12"/>
  <c r="W236" i="12"/>
  <c r="W237" i="12" s="1"/>
  <c r="W229" i="12" s="1"/>
  <c r="W170" i="12"/>
  <c r="W192" i="12" s="1"/>
  <c r="Y144" i="12"/>
  <c r="Z144" i="21" s="1"/>
  <c r="Y148" i="12"/>
  <c r="Y152" i="12"/>
  <c r="Z152" i="21" s="1"/>
  <c r="E152" i="21" s="1"/>
  <c r="Y140" i="12"/>
  <c r="Y146" i="12"/>
  <c r="Y150" i="12"/>
  <c r="Y138" i="12"/>
  <c r="Z138" i="21" s="1"/>
  <c r="Y141" i="12"/>
  <c r="Y145" i="12"/>
  <c r="Z145" i="21" s="1"/>
  <c r="Y149" i="12"/>
  <c r="Y139" i="12"/>
  <c r="Z139" i="21" s="1"/>
  <c r="Y147" i="12"/>
  <c r="Y137" i="12"/>
  <c r="Z137" i="21" s="1"/>
  <c r="Y117" i="12"/>
  <c r="Z116" i="21" s="1"/>
  <c r="Y120" i="12"/>
  <c r="Z119" i="21" s="1"/>
  <c r="Y124" i="12"/>
  <c r="Y128" i="12"/>
  <c r="Y135" i="12"/>
  <c r="Z135" i="21" s="1"/>
  <c r="Y119" i="12"/>
  <c r="Y122" i="12"/>
  <c r="Y126" i="12"/>
  <c r="Y114" i="12"/>
  <c r="Z113" i="21" s="1"/>
  <c r="Y98" i="12"/>
  <c r="Y102" i="12"/>
  <c r="Y151" i="12"/>
  <c r="Y121" i="12"/>
  <c r="Z120" i="21" s="1"/>
  <c r="Y125" i="12"/>
  <c r="Y115" i="12"/>
  <c r="Z114" i="21" s="1"/>
  <c r="Y99" i="12"/>
  <c r="Z97" i="21" s="1"/>
  <c r="Y101" i="12"/>
  <c r="Y89" i="12"/>
  <c r="Z87" i="21" s="1"/>
  <c r="Y123" i="12"/>
  <c r="Z122" i="21" s="1"/>
  <c r="Y113" i="12"/>
  <c r="Z112" i="21" s="1"/>
  <c r="Y100" i="12"/>
  <c r="Y91" i="12"/>
  <c r="Z89" i="21" s="1"/>
  <c r="Y87" i="12"/>
  <c r="Z85" i="21" s="1"/>
  <c r="Y69" i="12"/>
  <c r="Y73" i="12"/>
  <c r="Z70" i="21" s="1"/>
  <c r="Y77" i="12"/>
  <c r="Y143" i="12"/>
  <c r="Y111" i="12"/>
  <c r="Y95" i="12"/>
  <c r="Y97" i="12"/>
  <c r="Y104" i="12"/>
  <c r="Y92" i="12"/>
  <c r="Y74" i="12"/>
  <c r="Z71" i="21" s="1"/>
  <c r="Y76" i="12"/>
  <c r="Y67" i="12"/>
  <c r="Z64" i="21" s="1"/>
  <c r="Y63" i="12"/>
  <c r="Y45" i="12"/>
  <c r="Y93" i="12"/>
  <c r="Z91" i="21" s="1"/>
  <c r="Y103" i="12"/>
  <c r="Y75" i="12"/>
  <c r="Z72" i="21" s="1"/>
  <c r="Y65" i="12"/>
  <c r="Z62" i="21" s="1"/>
  <c r="Y47" i="12"/>
  <c r="Y51" i="12"/>
  <c r="Y55" i="12"/>
  <c r="Y41" i="12"/>
  <c r="Z37" i="21" s="1"/>
  <c r="Y23" i="12"/>
  <c r="Z18" i="21" s="1"/>
  <c r="Y127" i="12"/>
  <c r="Y72" i="12"/>
  <c r="Y79" i="12"/>
  <c r="Z76" i="21" s="1"/>
  <c r="Y66" i="12"/>
  <c r="Z63" i="21" s="1"/>
  <c r="Y68" i="12"/>
  <c r="Y49" i="12"/>
  <c r="Z45" i="21" s="1"/>
  <c r="Y56" i="12"/>
  <c r="Y26" i="12"/>
  <c r="Y30" i="12"/>
  <c r="Y53" i="12"/>
  <c r="Z49" i="21" s="1"/>
  <c r="Y116" i="12"/>
  <c r="Y96" i="12"/>
  <c r="Y71" i="12"/>
  <c r="Y80" i="12"/>
  <c r="Y50" i="12"/>
  <c r="Y43" i="12"/>
  <c r="Z39" i="21" s="1"/>
  <c r="Y28" i="12"/>
  <c r="Y32" i="12"/>
  <c r="Y20" i="12"/>
  <c r="Y27" i="12"/>
  <c r="Y17" i="12"/>
  <c r="Z12" i="21" s="1"/>
  <c r="Y18" i="12"/>
  <c r="Z13" i="21" s="1"/>
  <c r="Y39" i="12"/>
  <c r="Y25" i="12"/>
  <c r="Y29" i="12"/>
  <c r="Y15" i="12"/>
  <c r="Y90" i="12"/>
  <c r="Z88" i="21" s="1"/>
  <c r="Y78" i="12"/>
  <c r="Y48" i="12"/>
  <c r="Y52" i="12"/>
  <c r="Z48" i="21" s="1"/>
  <c r="Y54" i="12"/>
  <c r="Y44" i="12"/>
  <c r="Z40" i="21" s="1"/>
  <c r="E40" i="21" s="1"/>
  <c r="Y21" i="12"/>
  <c r="Y24" i="12"/>
  <c r="Y31" i="12"/>
  <c r="Y42" i="12"/>
  <c r="Z38" i="21" s="1"/>
  <c r="Y19" i="12"/>
  <c r="Z14" i="21" s="1"/>
  <c r="X61" i="21"/>
  <c r="X78" i="21" s="1"/>
  <c r="X86" i="21"/>
  <c r="X103" i="21" s="1"/>
  <c r="X111" i="21"/>
  <c r="X128" i="21" s="1"/>
  <c r="X36" i="21"/>
  <c r="X53" i="21" s="1"/>
  <c r="X136" i="21"/>
  <c r="X153" i="21" s="1"/>
  <c r="X11" i="21"/>
  <c r="X28" i="21" s="1"/>
  <c r="X306" i="20"/>
  <c r="X80" i="20"/>
  <c r="X126" i="20"/>
  <c r="X352" i="20"/>
  <c r="X378" i="20"/>
  <c r="X152" i="20"/>
  <c r="X258" i="20"/>
  <c r="X32" i="20"/>
  <c r="X305" i="20"/>
  <c r="X79" i="20"/>
  <c r="X280" i="20"/>
  <c r="X54" i="20"/>
  <c r="X150" i="20"/>
  <c r="X376" i="20"/>
  <c r="X354" i="20"/>
  <c r="X128" i="20"/>
  <c r="X127" i="20"/>
  <c r="X353" i="20"/>
  <c r="X102" i="20"/>
  <c r="X328" i="20"/>
  <c r="X304" i="20"/>
  <c r="X78" i="20"/>
  <c r="X281" i="20"/>
  <c r="X55" i="20"/>
  <c r="X282" i="20"/>
  <c r="X56" i="20"/>
  <c r="X330" i="20"/>
  <c r="X104" i="20"/>
  <c r="X103" i="20"/>
  <c r="X329" i="20"/>
  <c r="X377" i="20"/>
  <c r="X151" i="20"/>
  <c r="X31" i="20"/>
  <c r="X257" i="20"/>
  <c r="X30" i="20"/>
  <c r="X256" i="20"/>
  <c r="N175" i="17"/>
  <c r="N177" i="17" s="1"/>
  <c r="N178" i="17" s="1"/>
  <c r="X29" i="3"/>
  <c r="X35" i="3" s="1"/>
  <c r="X38" i="3" s="1"/>
  <c r="X41" i="3" s="1"/>
  <c r="Y26" i="3"/>
  <c r="Y55" i="3"/>
  <c r="X58" i="3"/>
  <c r="X234" i="12"/>
  <c r="X235" i="12" s="1"/>
  <c r="W344" i="20"/>
  <c r="W403" i="20" s="1"/>
  <c r="W392" i="20"/>
  <c r="V174" i="20"/>
  <c r="V221" i="20"/>
  <c r="V222" i="20" s="1"/>
  <c r="V223" i="20" s="1"/>
  <c r="V216" i="20" s="1"/>
  <c r="V183" i="20"/>
  <c r="V393" i="20"/>
  <c r="V414" i="20" s="1"/>
  <c r="V405" i="20"/>
  <c r="X180" i="12"/>
  <c r="X277" i="20"/>
  <c r="X51" i="20"/>
  <c r="X57" i="12"/>
  <c r="X58" i="12" s="1"/>
  <c r="X100" i="20"/>
  <c r="X326" i="20"/>
  <c r="X356" i="20"/>
  <c r="X130" i="20"/>
  <c r="X335" i="20"/>
  <c r="X109" i="20"/>
  <c r="X93" i="20"/>
  <c r="X319" i="20"/>
  <c r="X358" i="20"/>
  <c r="X132" i="20"/>
  <c r="X336" i="20"/>
  <c r="X110" i="20"/>
  <c r="X286" i="20"/>
  <c r="X60" i="20"/>
  <c r="X89" i="20"/>
  <c r="X315" i="20"/>
  <c r="X115" i="20"/>
  <c r="X341" i="20"/>
  <c r="X161" i="20"/>
  <c r="X387" i="20"/>
  <c r="X267" i="20"/>
  <c r="X41" i="20"/>
  <c r="X112" i="20"/>
  <c r="X338" i="20"/>
  <c r="X129" i="20"/>
  <c r="X355" i="20"/>
  <c r="X134" i="20"/>
  <c r="X360" i="20"/>
  <c r="X260" i="20"/>
  <c r="X34" i="20"/>
  <c r="X116" i="20"/>
  <c r="X342" i="20"/>
  <c r="X36" i="20"/>
  <c r="X262" i="20"/>
  <c r="X365" i="20"/>
  <c r="X139" i="20"/>
  <c r="X283" i="20"/>
  <c r="X57" i="20"/>
  <c r="X64" i="20"/>
  <c r="X290" i="20"/>
  <c r="X136" i="20"/>
  <c r="X362" i="20"/>
  <c r="W320" i="20"/>
  <c r="W296" i="20"/>
  <c r="V186" i="20"/>
  <c r="V177" i="20"/>
  <c r="V179" i="20"/>
  <c r="V188" i="20"/>
  <c r="W46" i="20"/>
  <c r="W47" i="20" s="1"/>
  <c r="W142" i="20"/>
  <c r="W143" i="20" s="1"/>
  <c r="W164" i="12"/>
  <c r="W173" i="12"/>
  <c r="V321" i="20"/>
  <c r="V411" i="20" s="1"/>
  <c r="V402" i="20"/>
  <c r="V175" i="20"/>
  <c r="V184" i="20"/>
  <c r="V447" i="20"/>
  <c r="V448" i="20" s="1"/>
  <c r="V449" i="20" s="1"/>
  <c r="V442" i="20" s="1"/>
  <c r="V273" i="20"/>
  <c r="V409" i="20" s="1"/>
  <c r="V400" i="20"/>
  <c r="X108" i="20"/>
  <c r="X334" i="20"/>
  <c r="X359" i="20"/>
  <c r="X133" i="20"/>
  <c r="X265" i="20"/>
  <c r="X39" i="20"/>
  <c r="X68" i="20"/>
  <c r="X294" i="20"/>
  <c r="X384" i="20"/>
  <c r="X158" i="20"/>
  <c r="X295" i="20"/>
  <c r="X69" i="20"/>
  <c r="X311" i="20"/>
  <c r="X85" i="20"/>
  <c r="X388" i="20"/>
  <c r="X162" i="20"/>
  <c r="E144" i="21"/>
  <c r="Y14" i="12"/>
  <c r="Z9" i="21" s="1"/>
  <c r="Y134" i="12"/>
  <c r="Y38" i="12"/>
  <c r="Z34" i="21" s="1"/>
  <c r="E119" i="21"/>
  <c r="E48" i="21"/>
  <c r="Y110" i="12"/>
  <c r="E145" i="21"/>
  <c r="E97" i="21"/>
  <c r="Y62" i="12"/>
  <c r="E49" i="21"/>
  <c r="E45" i="21"/>
  <c r="Y86" i="12"/>
  <c r="Z84" i="21" s="1"/>
  <c r="X307" i="20"/>
  <c r="X81" i="20"/>
  <c r="X28" i="20"/>
  <c r="X254" i="20"/>
  <c r="X263" i="20"/>
  <c r="X37" i="20"/>
  <c r="X43" i="20"/>
  <c r="X269" i="20"/>
  <c r="X340" i="20"/>
  <c r="X114" i="20"/>
  <c r="X124" i="20"/>
  <c r="X350" i="20"/>
  <c r="X284" i="20"/>
  <c r="X58" i="20"/>
  <c r="X179" i="12"/>
  <c r="X27" i="20"/>
  <c r="X253" i="20"/>
  <c r="X33" i="12"/>
  <c r="X34" i="12" s="1"/>
  <c r="X66" i="20"/>
  <c r="X292" i="20"/>
  <c r="X363" i="20"/>
  <c r="X137" i="20"/>
  <c r="X181" i="12"/>
  <c r="X75" i="20"/>
  <c r="X81" i="12"/>
  <c r="X82" i="12" s="1"/>
  <c r="X301" i="20"/>
  <c r="X165" i="20"/>
  <c r="X391" i="20"/>
  <c r="V404" i="20"/>
  <c r="V369" i="20"/>
  <c r="V413" i="20" s="1"/>
  <c r="W272" i="20"/>
  <c r="W368" i="20"/>
  <c r="W118" i="20"/>
  <c r="W119" i="20" s="1"/>
  <c r="W175" i="12"/>
  <c r="W166" i="12"/>
  <c r="V345" i="20"/>
  <c r="V412" i="20" s="1"/>
  <c r="V403" i="20"/>
  <c r="X288" i="20"/>
  <c r="X62" i="20"/>
  <c r="X159" i="20"/>
  <c r="X385" i="20"/>
  <c r="X42" i="20"/>
  <c r="X268" i="20"/>
  <c r="X318" i="20"/>
  <c r="X92" i="20"/>
  <c r="X287" i="20"/>
  <c r="X61" i="20"/>
  <c r="X271" i="20"/>
  <c r="X45" i="20"/>
  <c r="X302" i="20"/>
  <c r="X76" i="20"/>
  <c r="X317" i="20"/>
  <c r="X91" i="20"/>
  <c r="X135" i="20"/>
  <c r="X361" i="20"/>
  <c r="X106" i="20"/>
  <c r="X332" i="20"/>
  <c r="X90" i="20"/>
  <c r="X316" i="20"/>
  <c r="X184" i="12"/>
  <c r="X153" i="12"/>
  <c r="X154" i="12" s="1"/>
  <c r="X147" i="20"/>
  <c r="X373" i="20"/>
  <c r="X314" i="20"/>
  <c r="X88" i="20"/>
  <c r="X364" i="20"/>
  <c r="X138" i="20"/>
  <c r="X386" i="20"/>
  <c r="X160" i="20"/>
  <c r="X65" i="20"/>
  <c r="X291" i="20"/>
  <c r="X87" i="20"/>
  <c r="X313" i="20"/>
  <c r="X164" i="20"/>
  <c r="X390" i="20"/>
  <c r="X182" i="12"/>
  <c r="X325" i="20"/>
  <c r="X105" i="12"/>
  <c r="X106" i="12" s="1"/>
  <c r="X99" i="20"/>
  <c r="X312" i="20"/>
  <c r="X86" i="20"/>
  <c r="X148" i="20"/>
  <c r="X374" i="20"/>
  <c r="W163" i="12"/>
  <c r="W172" i="12"/>
  <c r="W70" i="20"/>
  <c r="W71" i="20" s="1"/>
  <c r="W166" i="20"/>
  <c r="W167" i="20" s="1"/>
  <c r="X266" i="20"/>
  <c r="X40" i="20"/>
  <c r="X367" i="20"/>
  <c r="X141" i="20"/>
  <c r="X382" i="20"/>
  <c r="X156" i="20"/>
  <c r="X63" i="20"/>
  <c r="X289" i="20"/>
  <c r="X366" i="20"/>
  <c r="X140" i="20"/>
  <c r="X259" i="20"/>
  <c r="X33" i="20"/>
  <c r="X38" i="20"/>
  <c r="X264" i="20"/>
  <c r="X183" i="12"/>
  <c r="X349" i="20"/>
  <c r="X123" i="20"/>
  <c r="X129" i="12"/>
  <c r="X130" i="12" s="1"/>
  <c r="X310" i="20"/>
  <c r="X84" i="20"/>
  <c r="X389" i="20"/>
  <c r="X163" i="20"/>
  <c r="X331" i="20"/>
  <c r="X105" i="20"/>
  <c r="X270" i="20"/>
  <c r="X44" i="20"/>
  <c r="X67" i="20"/>
  <c r="X293" i="20"/>
  <c r="X337" i="20"/>
  <c r="X111" i="20"/>
  <c r="X379" i="20"/>
  <c r="X153" i="20"/>
  <c r="X383" i="20"/>
  <c r="X157" i="20"/>
  <c r="X113" i="20"/>
  <c r="X339" i="20"/>
  <c r="X278" i="20"/>
  <c r="X52" i="20"/>
  <c r="X380" i="20"/>
  <c r="X154" i="20"/>
  <c r="X343" i="20"/>
  <c r="X117" i="20"/>
  <c r="X82" i="20"/>
  <c r="X308" i="20"/>
  <c r="W94" i="20"/>
  <c r="W95" i="20" s="1"/>
  <c r="W162" i="12"/>
  <c r="W171" i="12"/>
  <c r="W161" i="12"/>
  <c r="W188" i="12" s="1"/>
  <c r="W174" i="12"/>
  <c r="W165" i="12"/>
  <c r="V185" i="20"/>
  <c r="V176" i="20"/>
  <c r="V187" i="20"/>
  <c r="V178" i="20"/>
  <c r="V297" i="20"/>
  <c r="V410" i="20" s="1"/>
  <c r="V401" i="20"/>
  <c r="O230" i="17"/>
  <c r="O48" i="17" s="1"/>
  <c r="N297" i="17"/>
  <c r="N107" i="17" s="1"/>
  <c r="N115" i="17" s="1"/>
  <c r="N117" i="17" s="1"/>
  <c r="N118" i="17" s="1"/>
  <c r="R288" i="17"/>
  <c r="R81" i="17" s="1"/>
  <c r="R399" i="17"/>
  <c r="R171" i="17" s="1"/>
  <c r="Q318" i="17"/>
  <c r="Q110" i="17" s="1"/>
  <c r="N408" i="17"/>
  <c r="N197" i="17" s="1"/>
  <c r="N205" i="17" s="1"/>
  <c r="N207" i="17" s="1"/>
  <c r="N208" i="17" s="1"/>
  <c r="Q348" i="17"/>
  <c r="Q139" i="17" s="1"/>
  <c r="P422" i="17"/>
  <c r="P199" i="17" s="1"/>
  <c r="R392" i="17"/>
  <c r="R170" i="17" s="1"/>
  <c r="R325" i="17"/>
  <c r="R111" i="17" s="1"/>
  <c r="S249" i="17"/>
  <c r="P303" i="17"/>
  <c r="P305" i="17" s="1"/>
  <c r="P384" i="17"/>
  <c r="P386" i="17" s="1"/>
  <c r="O406" i="17"/>
  <c r="R346" i="17"/>
  <c r="O295" i="17"/>
  <c r="Q281" i="17"/>
  <c r="Q80" i="17" s="1"/>
  <c r="W134" i="17"/>
  <c r="W104" i="17"/>
  <c r="R251" i="17"/>
  <c r="R51" i="17" s="1"/>
  <c r="P228" i="17"/>
  <c r="R436" i="17"/>
  <c r="R201" i="17" s="1"/>
  <c r="S390" i="17"/>
  <c r="O370" i="17"/>
  <c r="O372" i="17" s="1"/>
  <c r="O377" i="17"/>
  <c r="O379" i="17" s="1"/>
  <c r="O266" i="17"/>
  <c r="O268" i="17" s="1"/>
  <c r="O340" i="17"/>
  <c r="O342" i="17" s="1"/>
  <c r="W194" i="17"/>
  <c r="S360" i="17"/>
  <c r="R428" i="17"/>
  <c r="R430" i="17" s="1"/>
  <c r="N222" i="17"/>
  <c r="N224" i="17" s="1"/>
  <c r="R353" i="17"/>
  <c r="S434" i="17"/>
  <c r="Q310" i="17"/>
  <c r="Q312" i="17" s="1"/>
  <c r="P414" i="17"/>
  <c r="P416" i="17" s="1"/>
  <c r="Q243" i="17"/>
  <c r="Q245" i="17" s="1"/>
  <c r="Q273" i="17"/>
  <c r="Q275" i="17" s="1"/>
  <c r="O258" i="17"/>
  <c r="Q237" i="17"/>
  <c r="Q49" i="17" s="1"/>
  <c r="R279" i="17"/>
  <c r="W44" i="17"/>
  <c r="R235" i="17"/>
  <c r="W164" i="17"/>
  <c r="X187" i="17"/>
  <c r="D187" i="17" s="1"/>
  <c r="X155" i="17"/>
  <c r="D155" i="17" s="1"/>
  <c r="X127" i="17"/>
  <c r="D127" i="17" s="1"/>
  <c r="X93" i="17"/>
  <c r="X99" i="17"/>
  <c r="D99" i="17" s="1"/>
  <c r="X64" i="17"/>
  <c r="D64" i="17" s="1"/>
  <c r="X35" i="17"/>
  <c r="D35" i="17" s="1"/>
  <c r="X83" i="17"/>
  <c r="D83" i="17" s="1"/>
  <c r="X189" i="17"/>
  <c r="D189" i="17" s="1"/>
  <c r="X157" i="17"/>
  <c r="D157" i="17" s="1"/>
  <c r="X129" i="17"/>
  <c r="D129" i="17" s="1"/>
  <c r="X94" i="17"/>
  <c r="D94" i="17" s="1"/>
  <c r="X65" i="17"/>
  <c r="D65" i="17" s="1"/>
  <c r="X37" i="17"/>
  <c r="D37" i="17" s="1"/>
  <c r="X52" i="17"/>
  <c r="D52" i="17" s="1"/>
  <c r="X184" i="17"/>
  <c r="D184" i="17" s="1"/>
  <c r="X153" i="17"/>
  <c r="X125" i="17"/>
  <c r="D125" i="17" s="1"/>
  <c r="X97" i="17"/>
  <c r="D97" i="17" s="1"/>
  <c r="X69" i="17"/>
  <c r="D69" i="17" s="1"/>
  <c r="X33" i="17"/>
  <c r="X53" i="17"/>
  <c r="D53" i="17" s="1"/>
  <c r="X112" i="17"/>
  <c r="D112" i="17" s="1"/>
  <c r="X143" i="17"/>
  <c r="D143" i="17" s="1"/>
  <c r="X173" i="17"/>
  <c r="D173" i="17" s="1"/>
  <c r="X185" i="17"/>
  <c r="D185" i="17" s="1"/>
  <c r="X154" i="17"/>
  <c r="D154" i="17" s="1"/>
  <c r="X34" i="17"/>
  <c r="D34" i="17" s="1"/>
  <c r="X124" i="17"/>
  <c r="D124" i="17" s="1"/>
  <c r="X95" i="17"/>
  <c r="D95" i="17" s="1"/>
  <c r="X82" i="17"/>
  <c r="D82" i="17" s="1"/>
  <c r="X202" i="17"/>
  <c r="D202" i="17" s="1"/>
  <c r="X142" i="17"/>
  <c r="D142" i="17" s="1"/>
  <c r="X67" i="17"/>
  <c r="D67" i="17" s="1"/>
  <c r="X159" i="17"/>
  <c r="D159" i="17" s="1"/>
  <c r="X39" i="17"/>
  <c r="D39" i="17" s="1"/>
  <c r="X203" i="17"/>
  <c r="D203" i="17" s="1"/>
  <c r="X113" i="17"/>
  <c r="D113" i="17" s="1"/>
  <c r="X172" i="17"/>
  <c r="D172" i="17" s="1"/>
  <c r="X63" i="17"/>
  <c r="Y28" i="17"/>
  <c r="X41" i="17"/>
  <c r="D41" i="17" s="1"/>
  <c r="X161" i="17"/>
  <c r="D161" i="17" s="1"/>
  <c r="X43" i="17"/>
  <c r="D43" i="17" s="1"/>
  <c r="X123" i="17"/>
  <c r="X102" i="17"/>
  <c r="D102" i="17" s="1"/>
  <c r="X191" i="17"/>
  <c r="D191" i="17" s="1"/>
  <c r="X183" i="17"/>
  <c r="X133" i="17"/>
  <c r="D133" i="17" s="1"/>
  <c r="X193" i="17"/>
  <c r="D193" i="17" s="1"/>
  <c r="X42" i="17"/>
  <c r="D42" i="17" s="1"/>
  <c r="X163" i="17"/>
  <c r="D163" i="17" s="1"/>
  <c r="X103" i="17"/>
  <c r="D103" i="17" s="1"/>
  <c r="X71" i="17"/>
  <c r="D71" i="17" s="1"/>
  <c r="X131" i="17"/>
  <c r="D131" i="17" s="1"/>
  <c r="X101" i="17"/>
  <c r="D101" i="17" s="1"/>
  <c r="X72" i="17"/>
  <c r="D72" i="17" s="1"/>
  <c r="X192" i="17"/>
  <c r="D192" i="17" s="1"/>
  <c r="X132" i="17"/>
  <c r="D132" i="17" s="1"/>
  <c r="X162" i="17"/>
  <c r="D162" i="17" s="1"/>
  <c r="X73" i="17"/>
  <c r="D73" i="17" s="1"/>
  <c r="W74" i="17"/>
  <c r="S397" i="17"/>
  <c r="Q355" i="17"/>
  <c r="Q140" i="17" s="1"/>
  <c r="Q420" i="17"/>
  <c r="S286" i="17"/>
  <c r="N333" i="17"/>
  <c r="N335" i="17" s="1"/>
  <c r="N260" i="17"/>
  <c r="N77" i="17" s="1"/>
  <c r="N85" i="17" s="1"/>
  <c r="N87" i="17" s="1"/>
  <c r="N88" i="17" s="1"/>
  <c r="R362" i="17"/>
  <c r="R141" i="17" s="1"/>
  <c r="S323" i="17"/>
  <c r="R316" i="17"/>
  <c r="Z150" i="12" l="1"/>
  <c r="Z140" i="12"/>
  <c r="Z31" i="12"/>
  <c r="Z33" i="12" s="1"/>
  <c r="Z34" i="12" s="1"/>
  <c r="Z30" i="12"/>
  <c r="Z50" i="21"/>
  <c r="E50" i="21" s="1"/>
  <c r="Z35" i="21"/>
  <c r="E35" i="21" s="1"/>
  <c r="G34" i="22" s="1"/>
  <c r="Z46" i="21"/>
  <c r="E46" i="21" s="1"/>
  <c r="Z115" i="21"/>
  <c r="E115" i="21" s="1"/>
  <c r="Z52" i="21"/>
  <c r="E52" i="21" s="1"/>
  <c r="Z41" i="21"/>
  <c r="E41" i="21" s="1"/>
  <c r="G38" i="22" s="1"/>
  <c r="Z93" i="21"/>
  <c r="E93" i="21" s="1"/>
  <c r="Z98" i="21"/>
  <c r="E98" i="21" s="1"/>
  <c r="Z99" i="21"/>
  <c r="E99" i="21" s="1"/>
  <c r="Z149" i="21"/>
  <c r="E149" i="21" s="1"/>
  <c r="Z150" i="21"/>
  <c r="E150" i="21" s="1"/>
  <c r="Z148" i="21"/>
  <c r="E148" i="21" s="1"/>
  <c r="Z109" i="21"/>
  <c r="E109" i="21" s="1"/>
  <c r="Z134" i="21"/>
  <c r="E134" i="21" s="1"/>
  <c r="Z77" i="21"/>
  <c r="E77" i="21" s="1"/>
  <c r="Z69" i="21"/>
  <c r="E69" i="21" s="1"/>
  <c r="Z51" i="21"/>
  <c r="E51" i="21" s="1"/>
  <c r="Z60" i="21"/>
  <c r="E60" i="21" s="1"/>
  <c r="G47" i="22" s="1"/>
  <c r="Z90" i="21"/>
  <c r="E90" i="21" s="1"/>
  <c r="Z110" i="21"/>
  <c r="E110" i="21" s="1"/>
  <c r="G73" i="22" s="1"/>
  <c r="Z66" i="21"/>
  <c r="E66" i="21" s="1"/>
  <c r="G51" i="22" s="1"/>
  <c r="Z151" i="21"/>
  <c r="E151" i="21" s="1"/>
  <c r="Z125" i="21"/>
  <c r="E125" i="21" s="1"/>
  <c r="Z127" i="21"/>
  <c r="E127" i="21" s="1"/>
  <c r="Z146" i="21"/>
  <c r="E146" i="21" s="1"/>
  <c r="Z59" i="21"/>
  <c r="E59" i="21" s="1"/>
  <c r="Z44" i="21"/>
  <c r="E44" i="21" s="1"/>
  <c r="Z68" i="21"/>
  <c r="E68" i="21" s="1"/>
  <c r="Z65" i="21"/>
  <c r="E65" i="21" s="1"/>
  <c r="Z126" i="21"/>
  <c r="E126" i="21" s="1"/>
  <c r="Z47" i="21"/>
  <c r="E47" i="21" s="1"/>
  <c r="Z101" i="21"/>
  <c r="E101" i="21" s="1"/>
  <c r="Z102" i="21"/>
  <c r="E102" i="21" s="1"/>
  <c r="Z143" i="21"/>
  <c r="E143" i="21" s="1"/>
  <c r="Z100" i="21"/>
  <c r="E100" i="21" s="1"/>
  <c r="Z121" i="21"/>
  <c r="E121" i="21" s="1"/>
  <c r="Z123" i="21"/>
  <c r="E123" i="21" s="1"/>
  <c r="Z147" i="21"/>
  <c r="E147" i="21" s="1"/>
  <c r="Z141" i="21"/>
  <c r="E141" i="21" s="1"/>
  <c r="G90" i="22" s="1"/>
  <c r="Z140" i="21"/>
  <c r="E140" i="21" s="1"/>
  <c r="Z75" i="21"/>
  <c r="E75" i="21" s="1"/>
  <c r="Z94" i="21"/>
  <c r="E94" i="21" s="1"/>
  <c r="Z43" i="21"/>
  <c r="E43" i="21" s="1"/>
  <c r="Z73" i="21"/>
  <c r="E73" i="21" s="1"/>
  <c r="Z95" i="21"/>
  <c r="E95" i="21" s="1"/>
  <c r="D77" i="12"/>
  <c r="Z74" i="21"/>
  <c r="Z124" i="21"/>
  <c r="E124" i="21" s="1"/>
  <c r="Z96" i="21"/>
  <c r="E96" i="21" s="1"/>
  <c r="Z118" i="21"/>
  <c r="E118" i="21" s="1"/>
  <c r="Z26" i="21"/>
  <c r="E26" i="21" s="1"/>
  <c r="Z15" i="21"/>
  <c r="E15" i="21" s="1"/>
  <c r="Z19" i="21"/>
  <c r="E19" i="21" s="1"/>
  <c r="Z10" i="21"/>
  <c r="E10" i="21" s="1"/>
  <c r="G21" i="22" s="1"/>
  <c r="Z27" i="21"/>
  <c r="E27" i="21" s="1"/>
  <c r="Z16" i="21"/>
  <c r="E16" i="21" s="1"/>
  <c r="G25" i="22" s="1"/>
  <c r="Z24" i="21"/>
  <c r="E24" i="21" s="1"/>
  <c r="Z23" i="21"/>
  <c r="E23" i="21" s="1"/>
  <c r="Z25" i="21"/>
  <c r="E25" i="21" s="1"/>
  <c r="Z20" i="21"/>
  <c r="E20" i="21" s="1"/>
  <c r="Z22" i="21"/>
  <c r="E22" i="21" s="1"/>
  <c r="Z21" i="21"/>
  <c r="E21" i="21" s="1"/>
  <c r="E74" i="21"/>
  <c r="Z57" i="12"/>
  <c r="Z58" i="12" s="1"/>
  <c r="Z180" i="12"/>
  <c r="Z179" i="12"/>
  <c r="Z234" i="12"/>
  <c r="Z235" i="12" s="1"/>
  <c r="Z105" i="12"/>
  <c r="Z106" i="12" s="1"/>
  <c r="Z182" i="12"/>
  <c r="Z184" i="12"/>
  <c r="Z129" i="12"/>
  <c r="Z130" i="12" s="1"/>
  <c r="Z183" i="12"/>
  <c r="Z181" i="12"/>
  <c r="Z81" i="12"/>
  <c r="Z82" i="12" s="1"/>
  <c r="X236" i="12"/>
  <c r="X237" i="12" s="1"/>
  <c r="X229" i="12" s="1"/>
  <c r="X170" i="12"/>
  <c r="X192" i="12" s="1"/>
  <c r="D146" i="12"/>
  <c r="I214" i="12" s="1"/>
  <c r="J48" i="10" s="1"/>
  <c r="Y36" i="21"/>
  <c r="Y53" i="21" s="1"/>
  <c r="Y61" i="21"/>
  <c r="Y78" i="21" s="1"/>
  <c r="Y136" i="21"/>
  <c r="Y153" i="21" s="1"/>
  <c r="Y11" i="21"/>
  <c r="Y28" i="21" s="1"/>
  <c r="Y86" i="21"/>
  <c r="Y103" i="21" s="1"/>
  <c r="Y111" i="21"/>
  <c r="Y128" i="21" s="1"/>
  <c r="E62" i="21"/>
  <c r="Y78" i="20"/>
  <c r="D78" i="20" s="1"/>
  <c r="Y304" i="20"/>
  <c r="D304" i="20" s="1"/>
  <c r="E63" i="21"/>
  <c r="G48" i="22" s="1"/>
  <c r="Y79" i="20"/>
  <c r="D79" i="20" s="1"/>
  <c r="Y305" i="20"/>
  <c r="D305" i="20" s="1"/>
  <c r="Y352" i="20"/>
  <c r="D352" i="20" s="1"/>
  <c r="Y126" i="20"/>
  <c r="D126" i="20" s="1"/>
  <c r="E38" i="21"/>
  <c r="G35" i="22" s="1"/>
  <c r="Y55" i="20"/>
  <c r="D55" i="20" s="1"/>
  <c r="Y281" i="20"/>
  <c r="D281" i="20" s="1"/>
  <c r="E89" i="21"/>
  <c r="G63" i="22" s="1"/>
  <c r="Y330" i="20"/>
  <c r="D330" i="20" s="1"/>
  <c r="Y104" i="20"/>
  <c r="D104" i="20" s="1"/>
  <c r="E88" i="21"/>
  <c r="G61" i="22" s="1"/>
  <c r="Y329" i="20"/>
  <c r="D329" i="20" s="1"/>
  <c r="Y103" i="20"/>
  <c r="D103" i="20" s="1"/>
  <c r="E139" i="21"/>
  <c r="G89" i="22" s="1"/>
  <c r="Y378" i="20"/>
  <c r="D378" i="20" s="1"/>
  <c r="Y152" i="20"/>
  <c r="D152" i="20" s="1"/>
  <c r="E14" i="21"/>
  <c r="G24" i="22" s="1"/>
  <c r="Y258" i="20"/>
  <c r="D258" i="20" s="1"/>
  <c r="Y32" i="20"/>
  <c r="D32" i="20" s="1"/>
  <c r="E39" i="21"/>
  <c r="G37" i="22" s="1"/>
  <c r="Y282" i="20"/>
  <c r="D282" i="20" s="1"/>
  <c r="Y56" i="20"/>
  <c r="D56" i="20" s="1"/>
  <c r="E113" i="21"/>
  <c r="G74" i="22" s="1"/>
  <c r="Y353" i="20"/>
  <c r="D353" i="20" s="1"/>
  <c r="Y127" i="20"/>
  <c r="D127" i="20" s="1"/>
  <c r="E64" i="21"/>
  <c r="G50" i="22" s="1"/>
  <c r="Y306" i="20"/>
  <c r="D306" i="20" s="1"/>
  <c r="Y80" i="20"/>
  <c r="D80" i="20" s="1"/>
  <c r="E114" i="21"/>
  <c r="G76" i="22" s="1"/>
  <c r="Y128" i="20"/>
  <c r="D128" i="20" s="1"/>
  <c r="Y354" i="20"/>
  <c r="D354" i="20" s="1"/>
  <c r="Y151" i="20"/>
  <c r="D151" i="20" s="1"/>
  <c r="Y377" i="20"/>
  <c r="D377" i="20" s="1"/>
  <c r="E87" i="21"/>
  <c r="Y328" i="20"/>
  <c r="D328" i="20" s="1"/>
  <c r="Y102" i="20"/>
  <c r="D102" i="20" s="1"/>
  <c r="Y150" i="20"/>
  <c r="D150" i="20" s="1"/>
  <c r="Y376" i="20"/>
  <c r="D376" i="20" s="1"/>
  <c r="Y280" i="20"/>
  <c r="D280" i="20" s="1"/>
  <c r="Y54" i="20"/>
  <c r="D54" i="20" s="1"/>
  <c r="Y257" i="20"/>
  <c r="D257" i="20" s="1"/>
  <c r="Y31" i="20"/>
  <c r="D31" i="20" s="1"/>
  <c r="E12" i="21"/>
  <c r="G23" i="22" s="1"/>
  <c r="Y30" i="20"/>
  <c r="D30" i="20" s="1"/>
  <c r="Y256" i="20"/>
  <c r="D256" i="20" s="1"/>
  <c r="E138" i="21"/>
  <c r="G87" i="22" s="1"/>
  <c r="D138" i="12"/>
  <c r="Y58" i="3"/>
  <c r="Z55" i="3"/>
  <c r="Z58" i="3" s="1"/>
  <c r="Z26" i="3"/>
  <c r="Y29" i="3"/>
  <c r="Y35" i="3" s="1"/>
  <c r="Y38" i="3" s="1"/>
  <c r="Y41" i="3" s="1"/>
  <c r="D38" i="12"/>
  <c r="E206" i="12" s="1"/>
  <c r="E34" i="21"/>
  <c r="E137" i="21"/>
  <c r="Y234" i="12"/>
  <c r="Y235" i="12" s="1"/>
  <c r="E9" i="21"/>
  <c r="D86" i="12"/>
  <c r="G206" i="12" s="1"/>
  <c r="E84" i="21"/>
  <c r="D18" i="12"/>
  <c r="E13" i="21"/>
  <c r="G22" i="22" s="1"/>
  <c r="D73" i="12"/>
  <c r="F213" i="12" s="1"/>
  <c r="G47" i="10" s="1"/>
  <c r="E70" i="21"/>
  <c r="D87" i="12"/>
  <c r="G207" i="12" s="1"/>
  <c r="E85" i="21"/>
  <c r="D135" i="12"/>
  <c r="I207" i="12" s="1"/>
  <c r="E135" i="21"/>
  <c r="D75" i="12"/>
  <c r="F215" i="12" s="1"/>
  <c r="G49" i="10" s="1"/>
  <c r="E72" i="21"/>
  <c r="D121" i="12"/>
  <c r="H213" i="12" s="1"/>
  <c r="I47" i="10" s="1"/>
  <c r="E120" i="21"/>
  <c r="D123" i="12"/>
  <c r="H215" i="12" s="1"/>
  <c r="I49" i="10" s="1"/>
  <c r="E122" i="21"/>
  <c r="D79" i="12"/>
  <c r="E76" i="21"/>
  <c r="D113" i="12"/>
  <c r="D117" i="12"/>
  <c r="H209" i="12" s="1"/>
  <c r="I43" i="10" s="1"/>
  <c r="E116" i="21"/>
  <c r="D23" i="12"/>
  <c r="D211" i="12" s="1"/>
  <c r="E45" i="10" s="1"/>
  <c r="E18" i="21"/>
  <c r="D74" i="12"/>
  <c r="F214" i="12" s="1"/>
  <c r="G48" i="10" s="1"/>
  <c r="E71" i="21"/>
  <c r="D93" i="12"/>
  <c r="G209" i="12" s="1"/>
  <c r="H43" i="10" s="1"/>
  <c r="E91" i="21"/>
  <c r="W345" i="20"/>
  <c r="W412" i="20" s="1"/>
  <c r="W393" i="20"/>
  <c r="W414" i="20" s="1"/>
  <c r="W405" i="20"/>
  <c r="X142" i="20"/>
  <c r="X143" i="20" s="1"/>
  <c r="X118" i="20"/>
  <c r="X166" i="12"/>
  <c r="X175" i="12"/>
  <c r="W186" i="20"/>
  <c r="W177" i="20"/>
  <c r="Y91" i="20"/>
  <c r="D91" i="20" s="1"/>
  <c r="D78" i="12"/>
  <c r="Y317" i="20"/>
  <c r="D317" i="20" s="1"/>
  <c r="Y139" i="20"/>
  <c r="D139" i="20" s="1"/>
  <c r="D126" i="12"/>
  <c r="Y365" i="20"/>
  <c r="D365" i="20" s="1"/>
  <c r="D91" i="12"/>
  <c r="Y271" i="20"/>
  <c r="D271" i="20" s="1"/>
  <c r="Y45" i="20"/>
  <c r="D45" i="20" s="1"/>
  <c r="Y292" i="20"/>
  <c r="D292" i="20" s="1"/>
  <c r="Y66" i="20"/>
  <c r="D66" i="20" s="1"/>
  <c r="D53" i="12"/>
  <c r="Y358" i="20"/>
  <c r="D358" i="20" s="1"/>
  <c r="H424" i="20" s="1"/>
  <c r="Y132" i="20"/>
  <c r="D132" i="20" s="1"/>
  <c r="H198" i="20" s="1"/>
  <c r="Y337" i="20"/>
  <c r="D337" i="20" s="1"/>
  <c r="G427" i="20" s="1"/>
  <c r="Y111" i="20"/>
  <c r="D111" i="20" s="1"/>
  <c r="G201" i="20" s="1"/>
  <c r="D98" i="12"/>
  <c r="G214" i="12" s="1"/>
  <c r="H48" i="10" s="1"/>
  <c r="Y388" i="20"/>
  <c r="D388" i="20" s="1"/>
  <c r="Y162" i="20"/>
  <c r="D162" i="20" s="1"/>
  <c r="D149" i="12"/>
  <c r="Y254" i="20"/>
  <c r="D254" i="20" s="1"/>
  <c r="D420" i="20" s="1"/>
  <c r="Y28" i="20"/>
  <c r="D28" i="20" s="1"/>
  <c r="D194" i="20" s="1"/>
  <c r="D15" i="12"/>
  <c r="D207" i="12" s="1"/>
  <c r="D90" i="12"/>
  <c r="D139" i="12"/>
  <c r="D19" i="12"/>
  <c r="Y267" i="20"/>
  <c r="D267" i="20" s="1"/>
  <c r="Y41" i="20"/>
  <c r="D41" i="20" s="1"/>
  <c r="D28" i="12"/>
  <c r="Y350" i="20"/>
  <c r="D350" i="20" s="1"/>
  <c r="H420" i="20" s="1"/>
  <c r="Y124" i="20"/>
  <c r="D124" i="20" s="1"/>
  <c r="H194" i="20" s="1"/>
  <c r="D111" i="12"/>
  <c r="H207" i="12" s="1"/>
  <c r="Y336" i="20"/>
  <c r="D336" i="20" s="1"/>
  <c r="G426" i="20" s="1"/>
  <c r="Y110" i="20"/>
  <c r="D110" i="20" s="1"/>
  <c r="G200" i="20" s="1"/>
  <c r="D97" i="12"/>
  <c r="G213" i="12" s="1"/>
  <c r="H47" i="10" s="1"/>
  <c r="D114" i="12"/>
  <c r="Y33" i="20"/>
  <c r="D33" i="20" s="1"/>
  <c r="D20" i="12"/>
  <c r="Y259" i="20"/>
  <c r="D259" i="20" s="1"/>
  <c r="Y287" i="20"/>
  <c r="D287" i="20" s="1"/>
  <c r="E425" i="20" s="1"/>
  <c r="Y61" i="20"/>
  <c r="D61" i="20" s="1"/>
  <c r="E199" i="20" s="1"/>
  <c r="D67" i="12"/>
  <c r="D115" i="12"/>
  <c r="D69" i="12"/>
  <c r="F209" i="12" s="1"/>
  <c r="G43" i="10" s="1"/>
  <c r="Y82" i="20"/>
  <c r="D82" i="20" s="1"/>
  <c r="F196" i="20" s="1"/>
  <c r="Y308" i="20"/>
  <c r="D308" i="20" s="1"/>
  <c r="F422" i="20" s="1"/>
  <c r="X70" i="20"/>
  <c r="X71" i="20" s="1"/>
  <c r="X368" i="20"/>
  <c r="W179" i="20"/>
  <c r="W188" i="20"/>
  <c r="W175" i="20"/>
  <c r="W184" i="20"/>
  <c r="X173" i="12"/>
  <c r="X164" i="12"/>
  <c r="W369" i="20"/>
  <c r="W413" i="20" s="1"/>
  <c r="W404" i="20"/>
  <c r="X320" i="20"/>
  <c r="X161" i="12"/>
  <c r="X188" i="12" s="1"/>
  <c r="Y265" i="20"/>
  <c r="D265" i="20" s="1"/>
  <c r="D427" i="20" s="1"/>
  <c r="D26" i="12"/>
  <c r="D214" i="12" s="1"/>
  <c r="E48" i="10" s="1"/>
  <c r="Y39" i="20"/>
  <c r="D39" i="20" s="1"/>
  <c r="D201" i="20" s="1"/>
  <c r="Y310" i="20"/>
  <c r="D310" i="20" s="1"/>
  <c r="F424" i="20" s="1"/>
  <c r="D71" i="12"/>
  <c r="F211" i="12" s="1"/>
  <c r="G45" i="10" s="1"/>
  <c r="Y84" i="20"/>
  <c r="D84" i="20" s="1"/>
  <c r="F198" i="20" s="1"/>
  <c r="Y135" i="20"/>
  <c r="D135" i="20" s="1"/>
  <c r="H201" i="20" s="1"/>
  <c r="Y361" i="20"/>
  <c r="D361" i="20" s="1"/>
  <c r="H427" i="20" s="1"/>
  <c r="Y38" i="20"/>
  <c r="D38" i="20" s="1"/>
  <c r="D200" i="20" s="1"/>
  <c r="D25" i="12"/>
  <c r="D213" i="12" s="1"/>
  <c r="E47" i="10" s="1"/>
  <c r="Y264" i="20"/>
  <c r="D264" i="20" s="1"/>
  <c r="D426" i="20" s="1"/>
  <c r="Y89" i="20"/>
  <c r="D89" i="20" s="1"/>
  <c r="D76" i="12"/>
  <c r="Y315" i="20"/>
  <c r="D315" i="20" s="1"/>
  <c r="Y76" i="20"/>
  <c r="D76" i="20" s="1"/>
  <c r="F194" i="20" s="1"/>
  <c r="D63" i="12"/>
  <c r="F207" i="12" s="1"/>
  <c r="Y302" i="20"/>
  <c r="D302" i="20" s="1"/>
  <c r="F420" i="20" s="1"/>
  <c r="D89" i="12"/>
  <c r="D137" i="12"/>
  <c r="Y286" i="20"/>
  <c r="D286" i="20" s="1"/>
  <c r="E424" i="20" s="1"/>
  <c r="Y60" i="20"/>
  <c r="D60" i="20" s="1"/>
  <c r="E198" i="20" s="1"/>
  <c r="Y326" i="20"/>
  <c r="D326" i="20" s="1"/>
  <c r="G420" i="20" s="1"/>
  <c r="Y100" i="20"/>
  <c r="D100" i="20" s="1"/>
  <c r="G194" i="20" s="1"/>
  <c r="Y338" i="20"/>
  <c r="D338" i="20" s="1"/>
  <c r="G428" i="20" s="1"/>
  <c r="Y112" i="20"/>
  <c r="D112" i="20" s="1"/>
  <c r="G202" i="20" s="1"/>
  <c r="Y374" i="20"/>
  <c r="D374" i="20" s="1"/>
  <c r="I420" i="20" s="1"/>
  <c r="Y148" i="20"/>
  <c r="D148" i="20" s="1"/>
  <c r="I194" i="20" s="1"/>
  <c r="Y268" i="20"/>
  <c r="D268" i="20" s="1"/>
  <c r="Y42" i="20"/>
  <c r="D42" i="20" s="1"/>
  <c r="Y263" i="20"/>
  <c r="D263" i="20" s="1"/>
  <c r="D425" i="20" s="1"/>
  <c r="Y37" i="20"/>
  <c r="D37" i="20" s="1"/>
  <c r="D199" i="20" s="1"/>
  <c r="D24" i="12"/>
  <c r="D212" i="12" s="1"/>
  <c r="E46" i="10" s="1"/>
  <c r="Y314" i="20"/>
  <c r="D314" i="20" s="1"/>
  <c r="F428" i="20" s="1"/>
  <c r="Y88" i="20"/>
  <c r="D88" i="20" s="1"/>
  <c r="F202" i="20" s="1"/>
  <c r="Y342" i="20"/>
  <c r="D342" i="20" s="1"/>
  <c r="Y116" i="20"/>
  <c r="D116" i="20" s="1"/>
  <c r="Y367" i="20"/>
  <c r="D367" i="20" s="1"/>
  <c r="Y141" i="20"/>
  <c r="D141" i="20" s="1"/>
  <c r="D128" i="12"/>
  <c r="Y379" i="20"/>
  <c r="D379" i="20" s="1"/>
  <c r="Y153" i="20"/>
  <c r="D153" i="20" s="1"/>
  <c r="D140" i="12"/>
  <c r="Y184" i="12"/>
  <c r="Y147" i="20"/>
  <c r="Y153" i="12"/>
  <c r="Y154" i="12" s="1"/>
  <c r="Y373" i="20"/>
  <c r="Y179" i="12"/>
  <c r="Y33" i="12"/>
  <c r="Y34" i="12" s="1"/>
  <c r="D14" i="12"/>
  <c r="D206" i="12" s="1"/>
  <c r="Y253" i="20"/>
  <c r="Y27" i="20"/>
  <c r="Y340" i="20"/>
  <c r="D340" i="20" s="1"/>
  <c r="Y114" i="20"/>
  <c r="D114" i="20" s="1"/>
  <c r="D101" i="12"/>
  <c r="Y115" i="20"/>
  <c r="D115" i="20" s="1"/>
  <c r="D102" i="12"/>
  <c r="Y341" i="20"/>
  <c r="D341" i="20" s="1"/>
  <c r="Y113" i="20"/>
  <c r="D113" i="20" s="1"/>
  <c r="D100" i="12"/>
  <c r="Y339" i="20"/>
  <c r="D339" i="20" s="1"/>
  <c r="Y164" i="20"/>
  <c r="D164" i="20" s="1"/>
  <c r="D151" i="12"/>
  <c r="Y390" i="20"/>
  <c r="D390" i="20" s="1"/>
  <c r="W401" i="20"/>
  <c r="W297" i="20"/>
  <c r="W410" i="20" s="1"/>
  <c r="X296" i="20"/>
  <c r="D134" i="12"/>
  <c r="I206" i="12" s="1"/>
  <c r="D33" i="12"/>
  <c r="W185" i="20"/>
  <c r="W176" i="20"/>
  <c r="D48" i="12"/>
  <c r="E212" i="12" s="1"/>
  <c r="F46" i="10" s="1"/>
  <c r="X344" i="20"/>
  <c r="X392" i="20"/>
  <c r="W273" i="20"/>
  <c r="W409" i="20" s="1"/>
  <c r="W400" i="20"/>
  <c r="W447" i="20"/>
  <c r="W448" i="20" s="1"/>
  <c r="W449" i="20" s="1"/>
  <c r="W442" i="20" s="1"/>
  <c r="X163" i="12"/>
  <c r="X172" i="12"/>
  <c r="X272" i="20"/>
  <c r="Y57" i="20"/>
  <c r="D57" i="20" s="1"/>
  <c r="D44" i="12"/>
  <c r="Y283" i="20"/>
  <c r="D283" i="20" s="1"/>
  <c r="Y161" i="20"/>
  <c r="D161" i="20" s="1"/>
  <c r="D148" i="12"/>
  <c r="Y387" i="20"/>
  <c r="D387" i="20" s="1"/>
  <c r="Y295" i="20"/>
  <c r="D295" i="20" s="1"/>
  <c r="D56" i="12"/>
  <c r="Y69" i="20"/>
  <c r="D69" i="20" s="1"/>
  <c r="Y182" i="12"/>
  <c r="Y325" i="20"/>
  <c r="Y105" i="12"/>
  <c r="Y106" i="12" s="1"/>
  <c r="Y99" i="20"/>
  <c r="D55" i="12"/>
  <c r="Y68" i="20"/>
  <c r="D68" i="20" s="1"/>
  <c r="Y294" i="20"/>
  <c r="D294" i="20" s="1"/>
  <c r="D72" i="12"/>
  <c r="F212" i="12" s="1"/>
  <c r="G46" i="10" s="1"/>
  <c r="Y311" i="20"/>
  <c r="D311" i="20" s="1"/>
  <c r="F425" i="20" s="1"/>
  <c r="Y85" i="20"/>
  <c r="D85" i="20" s="1"/>
  <c r="F199" i="20" s="1"/>
  <c r="D124" i="12"/>
  <c r="Y137" i="20"/>
  <c r="D137" i="20" s="1"/>
  <c r="Y363" i="20"/>
  <c r="D363" i="20" s="1"/>
  <c r="D152" i="12"/>
  <c r="Y165" i="20"/>
  <c r="D165" i="20" s="1"/>
  <c r="Y391" i="20"/>
  <c r="D391" i="20" s="1"/>
  <c r="D45" i="12"/>
  <c r="E209" i="12" s="1"/>
  <c r="F43" i="10" s="1"/>
  <c r="Y58" i="20"/>
  <c r="D58" i="20" s="1"/>
  <c r="E196" i="20" s="1"/>
  <c r="Y284" i="20"/>
  <c r="D284" i="20" s="1"/>
  <c r="E422" i="20" s="1"/>
  <c r="Y312" i="20"/>
  <c r="D312" i="20" s="1"/>
  <c r="F426" i="20" s="1"/>
  <c r="Y86" i="20"/>
  <c r="D86" i="20" s="1"/>
  <c r="F200" i="20" s="1"/>
  <c r="Y334" i="20"/>
  <c r="D334" i="20" s="1"/>
  <c r="G424" i="20" s="1"/>
  <c r="Y108" i="20"/>
  <c r="D108" i="20" s="1"/>
  <c r="G198" i="20" s="1"/>
  <c r="D95" i="12"/>
  <c r="G211" i="12" s="1"/>
  <c r="H45" i="10" s="1"/>
  <c r="Y183" i="12"/>
  <c r="Y123" i="20"/>
  <c r="D123" i="20" s="1"/>
  <c r="H193" i="20" s="1"/>
  <c r="I96" i="10" s="1"/>
  <c r="D110" i="12"/>
  <c r="H206" i="12" s="1"/>
  <c r="Y349" i="20"/>
  <c r="D349" i="20" s="1"/>
  <c r="H419" i="20" s="1"/>
  <c r="I108" i="10" s="1"/>
  <c r="Y129" i="12"/>
  <c r="Y130" i="12" s="1"/>
  <c r="Y270" i="20"/>
  <c r="D270" i="20" s="1"/>
  <c r="D31" i="12"/>
  <c r="Y44" i="20"/>
  <c r="D44" i="20" s="1"/>
  <c r="Y65" i="20"/>
  <c r="D65" i="20" s="1"/>
  <c r="D52" i="12"/>
  <c r="Y291" i="20"/>
  <c r="D291" i="20" s="1"/>
  <c r="Y81" i="20"/>
  <c r="D81" i="20" s="1"/>
  <c r="D68" i="12"/>
  <c r="Y307" i="20"/>
  <c r="D307" i="20" s="1"/>
  <c r="Y133" i="20"/>
  <c r="D133" i="20" s="1"/>
  <c r="H199" i="20" s="1"/>
  <c r="D120" i="12"/>
  <c r="H212" i="12" s="1"/>
  <c r="I46" i="10" s="1"/>
  <c r="Y359" i="20"/>
  <c r="D359" i="20" s="1"/>
  <c r="H425" i="20" s="1"/>
  <c r="Y160" i="20"/>
  <c r="D160" i="20" s="1"/>
  <c r="I202" i="20" s="1"/>
  <c r="D147" i="12"/>
  <c r="I215" i="12" s="1"/>
  <c r="J49" i="10" s="1"/>
  <c r="Y386" i="20"/>
  <c r="D386" i="20" s="1"/>
  <c r="I428" i="20" s="1"/>
  <c r="Y154" i="20"/>
  <c r="D154" i="20" s="1"/>
  <c r="I196" i="20" s="1"/>
  <c r="D141" i="12"/>
  <c r="I209" i="12" s="1"/>
  <c r="J43" i="10" s="1"/>
  <c r="Y380" i="20"/>
  <c r="D380" i="20" s="1"/>
  <c r="I422" i="20" s="1"/>
  <c r="Y64" i="20"/>
  <c r="D64" i="20" s="1"/>
  <c r="E202" i="20" s="1"/>
  <c r="D51" i="12"/>
  <c r="E215" i="12" s="1"/>
  <c r="F49" i="10" s="1"/>
  <c r="Y290" i="20"/>
  <c r="D290" i="20" s="1"/>
  <c r="E428" i="20" s="1"/>
  <c r="Y266" i="20"/>
  <c r="D266" i="20" s="1"/>
  <c r="D428" i="20" s="1"/>
  <c r="Y40" i="20"/>
  <c r="D40" i="20" s="1"/>
  <c r="D202" i="20" s="1"/>
  <c r="D27" i="12"/>
  <c r="D215" i="12" s="1"/>
  <c r="E49" i="10" s="1"/>
  <c r="D41" i="12"/>
  <c r="Y383" i="20"/>
  <c r="D383" i="20" s="1"/>
  <c r="I425" i="20" s="1"/>
  <c r="Y157" i="20"/>
  <c r="D157" i="20" s="1"/>
  <c r="I199" i="20" s="1"/>
  <c r="D144" i="12"/>
  <c r="I212" i="12" s="1"/>
  <c r="J46" i="10" s="1"/>
  <c r="Y335" i="20"/>
  <c r="D335" i="20" s="1"/>
  <c r="G425" i="20" s="1"/>
  <c r="Y109" i="20"/>
  <c r="D109" i="20" s="1"/>
  <c r="G199" i="20" s="1"/>
  <c r="D96" i="12"/>
  <c r="G212" i="12" s="1"/>
  <c r="H46" i="10" s="1"/>
  <c r="Y389" i="20"/>
  <c r="D389" i="20" s="1"/>
  <c r="Y163" i="20"/>
  <c r="D163" i="20" s="1"/>
  <c r="D150" i="12"/>
  <c r="D103" i="12"/>
  <c r="D119" i="12"/>
  <c r="H211" i="12" s="1"/>
  <c r="I45" i="10" s="1"/>
  <c r="W321" i="20"/>
  <c r="W411" i="20" s="1"/>
  <c r="W402" i="20"/>
  <c r="D32" i="12"/>
  <c r="Y159" i="20"/>
  <c r="D159" i="20" s="1"/>
  <c r="I201" i="20" s="1"/>
  <c r="Y385" i="20"/>
  <c r="D385" i="20" s="1"/>
  <c r="I427" i="20" s="1"/>
  <c r="D43" i="12"/>
  <c r="Y180" i="12"/>
  <c r="Y57" i="12"/>
  <c r="Y58" i="12" s="1"/>
  <c r="Y51" i="20"/>
  <c r="D51" i="20" s="1"/>
  <c r="E193" i="20" s="1"/>
  <c r="Y277" i="20"/>
  <c r="Y364" i="20"/>
  <c r="D364" i="20" s="1"/>
  <c r="Y138" i="20"/>
  <c r="D138" i="20" s="1"/>
  <c r="W221" i="20"/>
  <c r="W222" i="20" s="1"/>
  <c r="W223" i="20" s="1"/>
  <c r="W216" i="20" s="1"/>
  <c r="W174" i="20"/>
  <c r="W183" i="20"/>
  <c r="X174" i="12"/>
  <c r="X165" i="12"/>
  <c r="D17" i="12"/>
  <c r="D99" i="12"/>
  <c r="G215" i="12" s="1"/>
  <c r="H49" i="10" s="1"/>
  <c r="D122" i="12"/>
  <c r="H214" i="12" s="1"/>
  <c r="I48" i="10" s="1"/>
  <c r="X166" i="20"/>
  <c r="X167" i="20" s="1"/>
  <c r="X94" i="20"/>
  <c r="X95" i="20" s="1"/>
  <c r="X46" i="20"/>
  <c r="X47" i="20" s="1"/>
  <c r="Y293" i="20"/>
  <c r="D293" i="20" s="1"/>
  <c r="D54" i="12"/>
  <c r="Y67" i="20"/>
  <c r="D67" i="20" s="1"/>
  <c r="Y319" i="20"/>
  <c r="D319" i="20" s="1"/>
  <c r="D80" i="12"/>
  <c r="Y93" i="20"/>
  <c r="D93" i="20" s="1"/>
  <c r="Y360" i="20"/>
  <c r="D360" i="20" s="1"/>
  <c r="H426" i="20" s="1"/>
  <c r="Y134" i="20"/>
  <c r="D134" i="20" s="1"/>
  <c r="H200" i="20" s="1"/>
  <c r="Y63" i="20"/>
  <c r="D63" i="20" s="1"/>
  <c r="E201" i="20" s="1"/>
  <c r="Y289" i="20"/>
  <c r="D289" i="20" s="1"/>
  <c r="E427" i="20" s="1"/>
  <c r="D50" i="12"/>
  <c r="E214" i="12" s="1"/>
  <c r="F48" i="10" s="1"/>
  <c r="Y288" i="20"/>
  <c r="D288" i="20" s="1"/>
  <c r="E426" i="20" s="1"/>
  <c r="Y62" i="20"/>
  <c r="D62" i="20" s="1"/>
  <c r="E200" i="20" s="1"/>
  <c r="D49" i="12"/>
  <c r="E213" i="12" s="1"/>
  <c r="F47" i="10" s="1"/>
  <c r="Y278" i="20"/>
  <c r="D278" i="20" s="1"/>
  <c r="E420" i="20" s="1"/>
  <c r="D39" i="12"/>
  <c r="E207" i="12" s="1"/>
  <c r="Y52" i="20"/>
  <c r="D52" i="20" s="1"/>
  <c r="E194" i="20" s="1"/>
  <c r="Y382" i="20"/>
  <c r="D382" i="20" s="1"/>
  <c r="I424" i="20" s="1"/>
  <c r="D143" i="12"/>
  <c r="I211" i="12" s="1"/>
  <c r="J45" i="10" s="1"/>
  <c r="Y156" i="20"/>
  <c r="D156" i="20" s="1"/>
  <c r="I198" i="20" s="1"/>
  <c r="D65" i="12"/>
  <c r="Y355" i="20"/>
  <c r="D355" i="20" s="1"/>
  <c r="D116" i="12"/>
  <c r="Y129" i="20"/>
  <c r="D129" i="20" s="1"/>
  <c r="Y260" i="20"/>
  <c r="D260" i="20" s="1"/>
  <c r="D422" i="20" s="1"/>
  <c r="D21" i="12"/>
  <c r="D209" i="12" s="1"/>
  <c r="E43" i="10" s="1"/>
  <c r="Y34" i="20"/>
  <c r="D34" i="20" s="1"/>
  <c r="D196" i="20" s="1"/>
  <c r="Y181" i="12"/>
  <c r="D62" i="12"/>
  <c r="F206" i="12" s="1"/>
  <c r="Y301" i="20"/>
  <c r="Y81" i="12"/>
  <c r="Y82" i="12" s="1"/>
  <c r="Y75" i="20"/>
  <c r="Y362" i="20"/>
  <c r="D362" i="20" s="1"/>
  <c r="H428" i="20" s="1"/>
  <c r="Y136" i="20"/>
  <c r="D136" i="20" s="1"/>
  <c r="H202" i="20" s="1"/>
  <c r="Y384" i="20"/>
  <c r="D384" i="20" s="1"/>
  <c r="I426" i="20" s="1"/>
  <c r="D145" i="12"/>
  <c r="I213" i="12" s="1"/>
  <c r="J47" i="10" s="1"/>
  <c r="Y158" i="20"/>
  <c r="D158" i="20" s="1"/>
  <c r="I200" i="20" s="1"/>
  <c r="D30" i="12"/>
  <c r="Y269" i="20"/>
  <c r="D269" i="20" s="1"/>
  <c r="Y43" i="20"/>
  <c r="D43" i="20" s="1"/>
  <c r="Y318" i="20"/>
  <c r="D318" i="20" s="1"/>
  <c r="Y92" i="20"/>
  <c r="D92" i="20" s="1"/>
  <c r="D66" i="12"/>
  <c r="Y316" i="20"/>
  <c r="D316" i="20" s="1"/>
  <c r="Y90" i="20"/>
  <c r="D90" i="20" s="1"/>
  <c r="D104" i="12"/>
  <c r="Y117" i="20"/>
  <c r="D117" i="20" s="1"/>
  <c r="Y343" i="20"/>
  <c r="D343" i="20" s="1"/>
  <c r="Y356" i="20"/>
  <c r="D356" i="20" s="1"/>
  <c r="H422" i="20" s="1"/>
  <c r="Y130" i="20"/>
  <c r="D130" i="20" s="1"/>
  <c r="H196" i="20" s="1"/>
  <c r="D42" i="12"/>
  <c r="Y36" i="20"/>
  <c r="D36" i="20" s="1"/>
  <c r="D198" i="20" s="1"/>
  <c r="Y262" i="20"/>
  <c r="D262" i="20" s="1"/>
  <c r="D424" i="20" s="1"/>
  <c r="Y313" i="20"/>
  <c r="D313" i="20" s="1"/>
  <c r="F427" i="20" s="1"/>
  <c r="Y87" i="20"/>
  <c r="D87" i="20" s="1"/>
  <c r="F201" i="20" s="1"/>
  <c r="D92" i="12"/>
  <c r="Y331" i="20"/>
  <c r="D331" i="20" s="1"/>
  <c r="Y105" i="20"/>
  <c r="D105" i="20" s="1"/>
  <c r="Y366" i="20"/>
  <c r="D366" i="20" s="1"/>
  <c r="Y140" i="20"/>
  <c r="D140" i="20" s="1"/>
  <c r="D127" i="12"/>
  <c r="Y106" i="20"/>
  <c r="D106" i="20" s="1"/>
  <c r="G196" i="20" s="1"/>
  <c r="Y332" i="20"/>
  <c r="D332" i="20" s="1"/>
  <c r="G422" i="20" s="1"/>
  <c r="D47" i="12"/>
  <c r="E211" i="12" s="1"/>
  <c r="F45" i="10" s="1"/>
  <c r="W187" i="20"/>
  <c r="W178" i="20"/>
  <c r="X162" i="12"/>
  <c r="X171" i="12"/>
  <c r="D125" i="12"/>
  <c r="D29" i="12"/>
  <c r="N334" i="17"/>
  <c r="N137" i="17" s="1"/>
  <c r="N145" i="17" s="1"/>
  <c r="N147" i="17" s="1"/>
  <c r="N148" i="17" s="1"/>
  <c r="N223" i="17"/>
  <c r="N47" i="17" s="1"/>
  <c r="N55" i="17" s="1"/>
  <c r="N57" i="17" s="1"/>
  <c r="N58" i="17" s="1"/>
  <c r="O267" i="17"/>
  <c r="O78" i="17" s="1"/>
  <c r="P385" i="17"/>
  <c r="P169" i="17" s="1"/>
  <c r="P304" i="17"/>
  <c r="P108" i="17" s="1"/>
  <c r="P415" i="17"/>
  <c r="P198" i="17" s="1"/>
  <c r="Q244" i="17"/>
  <c r="Q50" i="17" s="1"/>
  <c r="X74" i="17"/>
  <c r="D63" i="17"/>
  <c r="D74" i="17" s="1"/>
  <c r="X104" i="17"/>
  <c r="D93" i="17"/>
  <c r="D104" i="17" s="1"/>
  <c r="R272" i="17"/>
  <c r="S427" i="17"/>
  <c r="S287" i="17"/>
  <c r="S289" i="17" s="1"/>
  <c r="S398" i="17"/>
  <c r="S400" i="17" s="1"/>
  <c r="R317" i="17"/>
  <c r="R319" i="17" s="1"/>
  <c r="S324" i="17"/>
  <c r="S326" i="17" s="1"/>
  <c r="X134" i="17"/>
  <c r="D123" i="17"/>
  <c r="D134" i="17" s="1"/>
  <c r="X44" i="17"/>
  <c r="D33" i="17"/>
  <c r="D44" i="17" s="1"/>
  <c r="X164" i="17"/>
  <c r="D153" i="17"/>
  <c r="D164" i="17" s="1"/>
  <c r="R242" i="17"/>
  <c r="Q413" i="17"/>
  <c r="Q311" i="17"/>
  <c r="Q109" i="17" s="1"/>
  <c r="R354" i="17"/>
  <c r="R356" i="17" s="1"/>
  <c r="R429" i="17"/>
  <c r="R200" i="17" s="1"/>
  <c r="O341" i="17"/>
  <c r="O138" i="17" s="1"/>
  <c r="O378" i="17"/>
  <c r="O168" i="17" s="1"/>
  <c r="S361" i="17"/>
  <c r="S363" i="17" s="1"/>
  <c r="P369" i="17"/>
  <c r="O407" i="17"/>
  <c r="O409" i="17" s="1"/>
  <c r="R236" i="17"/>
  <c r="R238" i="17" s="1"/>
  <c r="O259" i="17"/>
  <c r="O261" i="17" s="1"/>
  <c r="Q274" i="17"/>
  <c r="Q79" i="17" s="1"/>
  <c r="S435" i="17"/>
  <c r="S437" i="17" s="1"/>
  <c r="P339" i="17"/>
  <c r="P376" i="17"/>
  <c r="O371" i="17"/>
  <c r="O167" i="17" s="1"/>
  <c r="P229" i="17"/>
  <c r="P231" i="17" s="1"/>
  <c r="S250" i="17"/>
  <c r="S252" i="17" s="1"/>
  <c r="Q421" i="17"/>
  <c r="Q423" i="17" s="1"/>
  <c r="X194" i="17"/>
  <c r="D183" i="17"/>
  <c r="D194" i="17" s="1"/>
  <c r="R280" i="17"/>
  <c r="R282" i="17" s="1"/>
  <c r="R347" i="17"/>
  <c r="R349" i="17" s="1"/>
  <c r="O332" i="17"/>
  <c r="R309" i="17"/>
  <c r="O221" i="17"/>
  <c r="P265" i="17"/>
  <c r="S391" i="17"/>
  <c r="S393" i="17" s="1"/>
  <c r="O296" i="17"/>
  <c r="O298" i="17" s="1"/>
  <c r="Q383" i="17"/>
  <c r="Q302" i="17"/>
  <c r="Z153" i="12" l="1"/>
  <c r="Z154" i="12" s="1"/>
  <c r="G92" i="22"/>
  <c r="G80" i="22"/>
  <c r="I12" i="22"/>
  <c r="G46" i="22"/>
  <c r="G8" i="22"/>
  <c r="G85" i="22"/>
  <c r="J8" i="22"/>
  <c r="G72" i="22"/>
  <c r="I8" i="22"/>
  <c r="G67" i="22"/>
  <c r="H12" i="22"/>
  <c r="G93" i="22"/>
  <c r="J12" i="22"/>
  <c r="G66" i="22"/>
  <c r="F9" i="22"/>
  <c r="G40" i="22"/>
  <c r="G41" i="22"/>
  <c r="F12" i="22"/>
  <c r="G27" i="22"/>
  <c r="G28" i="22"/>
  <c r="E12" i="22"/>
  <c r="G54" i="22"/>
  <c r="X119" i="20"/>
  <c r="X186" i="20" s="1"/>
  <c r="Z29" i="3"/>
  <c r="Z35" i="3" s="1"/>
  <c r="Z38" i="3" s="1"/>
  <c r="Z41" i="3" s="1"/>
  <c r="Z161" i="12"/>
  <c r="Z188" i="12" s="1"/>
  <c r="Z236" i="12"/>
  <c r="Z237" i="12" s="1"/>
  <c r="Z229" i="12" s="1"/>
  <c r="Z170" i="12"/>
  <c r="Z192" i="12" s="1"/>
  <c r="Z163" i="12"/>
  <c r="Z172" i="12"/>
  <c r="Z174" i="12"/>
  <c r="Z165" i="12"/>
  <c r="Z164" i="12"/>
  <c r="Z173" i="12"/>
  <c r="Z166" i="12"/>
  <c r="Z175" i="12"/>
  <c r="Z171" i="12"/>
  <c r="Z162" i="12"/>
  <c r="D153" i="12"/>
  <c r="Y236" i="12"/>
  <c r="Y237" i="12" s="1"/>
  <c r="Y229" i="12" s="1"/>
  <c r="Z86" i="21"/>
  <c r="Z103" i="21" s="1"/>
  <c r="Z61" i="21"/>
  <c r="Z78" i="21" s="1"/>
  <c r="Z36" i="21"/>
  <c r="Z53" i="21" s="1"/>
  <c r="E37" i="21"/>
  <c r="E36" i="21" s="1"/>
  <c r="F10" i="22" s="1"/>
  <c r="G9" i="22"/>
  <c r="G12" i="22"/>
  <c r="G53" i="22"/>
  <c r="G79" i="22"/>
  <c r="J9" i="22"/>
  <c r="G86" i="22"/>
  <c r="G20" i="22"/>
  <c r="E8" i="22"/>
  <c r="I9" i="22"/>
  <c r="E9" i="22"/>
  <c r="G60" i="22"/>
  <c r="H9" i="22"/>
  <c r="G59" i="22"/>
  <c r="H8" i="22"/>
  <c r="G33" i="22"/>
  <c r="F8" i="22"/>
  <c r="Z136" i="21"/>
  <c r="Z153" i="21" s="1"/>
  <c r="O175" i="17"/>
  <c r="O177" i="17" s="1"/>
  <c r="O178" i="17" s="1"/>
  <c r="D216" i="12"/>
  <c r="E50" i="10" s="1"/>
  <c r="F41" i="10"/>
  <c r="G41" i="10"/>
  <c r="I41" i="10"/>
  <c r="H41" i="10"/>
  <c r="H40" i="10"/>
  <c r="G40" i="10"/>
  <c r="J40" i="10"/>
  <c r="G64" i="22"/>
  <c r="E86" i="21"/>
  <c r="H10" i="22" s="1"/>
  <c r="G62" i="22"/>
  <c r="J41" i="10"/>
  <c r="F40" i="10"/>
  <c r="I40" i="10"/>
  <c r="E40" i="10"/>
  <c r="E41" i="10"/>
  <c r="G77" i="22"/>
  <c r="E61" i="21"/>
  <c r="G10" i="22" s="1"/>
  <c r="G49" i="22"/>
  <c r="E136" i="21"/>
  <c r="J10" i="22" s="1"/>
  <c r="G88" i="22"/>
  <c r="Z11" i="21"/>
  <c r="Z28" i="21" s="1"/>
  <c r="Z111" i="21"/>
  <c r="Z128" i="21" s="1"/>
  <c r="E112" i="21"/>
  <c r="E11" i="21"/>
  <c r="E10" i="22" s="1"/>
  <c r="E203" i="20"/>
  <c r="H216" i="12"/>
  <c r="I50" i="10" s="1"/>
  <c r="G421" i="20"/>
  <c r="D208" i="12"/>
  <c r="E42" i="10" s="1"/>
  <c r="E429" i="20"/>
  <c r="H429" i="20"/>
  <c r="X187" i="20"/>
  <c r="X178" i="20"/>
  <c r="H195" i="20"/>
  <c r="F195" i="20"/>
  <c r="X177" i="20"/>
  <c r="G203" i="20"/>
  <c r="H208" i="12"/>
  <c r="I42" i="10" s="1"/>
  <c r="F96" i="10"/>
  <c r="Y94" i="20"/>
  <c r="Y95" i="20" s="1"/>
  <c r="D75" i="20"/>
  <c r="F193" i="20" s="1"/>
  <c r="X179" i="20"/>
  <c r="X188" i="20"/>
  <c r="Y171" i="12"/>
  <c r="Y162" i="12"/>
  <c r="D57" i="12"/>
  <c r="E208" i="12"/>
  <c r="I429" i="20"/>
  <c r="X405" i="20"/>
  <c r="X393" i="20"/>
  <c r="X414" i="20" s="1"/>
  <c r="X401" i="20"/>
  <c r="X297" i="20"/>
  <c r="X410" i="20" s="1"/>
  <c r="Y272" i="20"/>
  <c r="D253" i="20"/>
  <c r="D419" i="20" s="1"/>
  <c r="D373" i="20"/>
  <c r="I419" i="20" s="1"/>
  <c r="Y392" i="20"/>
  <c r="I208" i="12"/>
  <c r="G195" i="20"/>
  <c r="F429" i="20"/>
  <c r="X321" i="20"/>
  <c r="X411" i="20" s="1"/>
  <c r="X402" i="20"/>
  <c r="D429" i="20"/>
  <c r="H421" i="20"/>
  <c r="D81" i="12"/>
  <c r="Y163" i="12"/>
  <c r="F421" i="20"/>
  <c r="D421" i="20"/>
  <c r="E195" i="20"/>
  <c r="E216" i="12"/>
  <c r="F50" i="10" s="1"/>
  <c r="Y142" i="20"/>
  <c r="Y143" i="20" s="1"/>
  <c r="H203" i="20"/>
  <c r="Y118" i="20"/>
  <c r="Y119" i="20" s="1"/>
  <c r="D99" i="20"/>
  <c r="G193" i="20" s="1"/>
  <c r="I216" i="12"/>
  <c r="J50" i="10" s="1"/>
  <c r="X403" i="20"/>
  <c r="X345" i="20"/>
  <c r="X412" i="20" s="1"/>
  <c r="Y166" i="12"/>
  <c r="I195" i="20"/>
  <c r="F216" i="12"/>
  <c r="G50" i="10" s="1"/>
  <c r="X404" i="20"/>
  <c r="X369" i="20"/>
  <c r="X413" i="20" s="1"/>
  <c r="Y320" i="20"/>
  <c r="X221" i="20"/>
  <c r="X222" i="20" s="1"/>
  <c r="X223" i="20" s="1"/>
  <c r="X216" i="20" s="1"/>
  <c r="X183" i="20"/>
  <c r="X174" i="20"/>
  <c r="D301" i="20"/>
  <c r="F419" i="20" s="1"/>
  <c r="Y296" i="20"/>
  <c r="D195" i="20"/>
  <c r="D129" i="12"/>
  <c r="Y165" i="12"/>
  <c r="Y164" i="12"/>
  <c r="I203" i="20"/>
  <c r="X447" i="20"/>
  <c r="X448" i="20" s="1"/>
  <c r="X449" i="20" s="1"/>
  <c r="X442" i="20" s="1"/>
  <c r="X400" i="20"/>
  <c r="X273" i="20"/>
  <c r="X409" i="20" s="1"/>
  <c r="D105" i="12"/>
  <c r="G429" i="20"/>
  <c r="Y161" i="12"/>
  <c r="Y188" i="12" s="1"/>
  <c r="Y166" i="20"/>
  <c r="Y167" i="20" s="1"/>
  <c r="D147" i="20"/>
  <c r="I193" i="20" s="1"/>
  <c r="F203" i="20"/>
  <c r="X184" i="20"/>
  <c r="X175" i="20"/>
  <c r="F208" i="12"/>
  <c r="G42" i="10" s="1"/>
  <c r="X185" i="20"/>
  <c r="X176" i="20"/>
  <c r="Y70" i="20"/>
  <c r="Y71" i="20" s="1"/>
  <c r="E421" i="20"/>
  <c r="Y368" i="20"/>
  <c r="Y344" i="20"/>
  <c r="D325" i="20"/>
  <c r="G419" i="20" s="1"/>
  <c r="D277" i="20"/>
  <c r="E419" i="20" s="1"/>
  <c r="G216" i="12"/>
  <c r="H50" i="10" s="1"/>
  <c r="Y46" i="20"/>
  <c r="D27" i="20"/>
  <c r="D193" i="20" s="1"/>
  <c r="I421" i="20"/>
  <c r="G208" i="12"/>
  <c r="D203" i="20"/>
  <c r="O260" i="17"/>
  <c r="O77" i="17" s="1"/>
  <c r="O85" i="17" s="1"/>
  <c r="O87" i="17" s="1"/>
  <c r="O88" i="17" s="1"/>
  <c r="S399" i="17"/>
  <c r="S171" i="17" s="1"/>
  <c r="R348" i="17"/>
  <c r="R139" i="17" s="1"/>
  <c r="S251" i="17"/>
  <c r="S51" i="17" s="1"/>
  <c r="S436" i="17"/>
  <c r="S201" i="17" s="1"/>
  <c r="S362" i="17"/>
  <c r="S141" i="17" s="1"/>
  <c r="R355" i="17"/>
  <c r="R140" i="17" s="1"/>
  <c r="R237" i="17"/>
  <c r="R49" i="17" s="1"/>
  <c r="O297" i="17"/>
  <c r="O107" i="17" s="1"/>
  <c r="O115" i="17" s="1"/>
  <c r="O117" i="17" s="1"/>
  <c r="O118" i="17" s="1"/>
  <c r="S325" i="17"/>
  <c r="S111" i="17" s="1"/>
  <c r="Q414" i="17"/>
  <c r="Q416" i="17" s="1"/>
  <c r="Q384" i="17"/>
  <c r="Q386" i="17" s="1"/>
  <c r="T390" i="17"/>
  <c r="P266" i="17"/>
  <c r="P268" i="17" s="1"/>
  <c r="O222" i="17"/>
  <c r="O224" i="17" s="1"/>
  <c r="R281" i="17"/>
  <c r="R80" i="17" s="1"/>
  <c r="T249" i="17"/>
  <c r="P230" i="17"/>
  <c r="P48" i="17" s="1"/>
  <c r="P377" i="17"/>
  <c r="P379" i="17" s="1"/>
  <c r="T434" i="17"/>
  <c r="P370" i="17"/>
  <c r="P372" i="17" s="1"/>
  <c r="R243" i="17"/>
  <c r="R245" i="17" s="1"/>
  <c r="T323" i="17"/>
  <c r="T286" i="17"/>
  <c r="R273" i="17"/>
  <c r="R275" i="17" s="1"/>
  <c r="R310" i="17"/>
  <c r="R312" i="17" s="1"/>
  <c r="P406" i="17"/>
  <c r="O333" i="17"/>
  <c r="O335" i="17" s="1"/>
  <c r="S316" i="17"/>
  <c r="T397" i="17"/>
  <c r="P295" i="17"/>
  <c r="S279" i="17"/>
  <c r="R420" i="17"/>
  <c r="Q228" i="17"/>
  <c r="P258" i="17"/>
  <c r="Q303" i="17"/>
  <c r="Q305" i="17" s="1"/>
  <c r="S392" i="17"/>
  <c r="S170" i="17" s="1"/>
  <c r="S346" i="17"/>
  <c r="Q422" i="17"/>
  <c r="Q199" i="17" s="1"/>
  <c r="P340" i="17"/>
  <c r="P342" i="17" s="1"/>
  <c r="S235" i="17"/>
  <c r="O408" i="17"/>
  <c r="O197" i="17" s="1"/>
  <c r="O205" i="17" s="1"/>
  <c r="O207" i="17" s="1"/>
  <c r="O208" i="17" s="1"/>
  <c r="T360" i="17"/>
  <c r="S353" i="17"/>
  <c r="R318" i="17"/>
  <c r="R110" i="17" s="1"/>
  <c r="S288" i="17"/>
  <c r="S81" i="17" s="1"/>
  <c r="S428" i="17"/>
  <c r="S430" i="17" s="1"/>
  <c r="D46" i="20" l="1"/>
  <c r="Y47" i="20"/>
  <c r="Y183" i="20" s="1"/>
  <c r="G109" i="10"/>
  <c r="G36" i="22"/>
  <c r="E103" i="21"/>
  <c r="E53" i="21"/>
  <c r="E153" i="21"/>
  <c r="E78" i="21"/>
  <c r="E111" i="21"/>
  <c r="G75" i="22"/>
  <c r="E28" i="21"/>
  <c r="F97" i="10"/>
  <c r="F98" i="10" s="1"/>
  <c r="G97" i="10"/>
  <c r="H97" i="10"/>
  <c r="I97" i="10"/>
  <c r="I98" i="10" s="1"/>
  <c r="H109" i="10"/>
  <c r="H217" i="12"/>
  <c r="I51" i="10" s="1"/>
  <c r="J97" i="10"/>
  <c r="H204" i="20"/>
  <c r="E109" i="10"/>
  <c r="F109" i="10"/>
  <c r="D217" i="12"/>
  <c r="E51" i="10" s="1"/>
  <c r="Y345" i="20"/>
  <c r="Y412" i="20" s="1"/>
  <c r="Y403" i="20"/>
  <c r="D344" i="20"/>
  <c r="J96" i="10"/>
  <c r="I204" i="20"/>
  <c r="E97" i="10"/>
  <c r="Y400" i="20"/>
  <c r="D272" i="20"/>
  <c r="Y273" i="20"/>
  <c r="Y447" i="20"/>
  <c r="Y448" i="20" s="1"/>
  <c r="Y449" i="20" s="1"/>
  <c r="Y442" i="20" s="1"/>
  <c r="F204" i="20"/>
  <c r="G96" i="10"/>
  <c r="Y369" i="20"/>
  <c r="D368" i="20"/>
  <c r="Y404" i="20"/>
  <c r="F217" i="12"/>
  <c r="Y405" i="20"/>
  <c r="D392" i="20"/>
  <c r="Y393" i="20"/>
  <c r="Y176" i="20"/>
  <c r="D94" i="20"/>
  <c r="Y185" i="20"/>
  <c r="G108" i="10"/>
  <c r="F430" i="20"/>
  <c r="I430" i="20"/>
  <c r="J108" i="10"/>
  <c r="Y174" i="20"/>
  <c r="Y221" i="20"/>
  <c r="Y222" i="20" s="1"/>
  <c r="Y223" i="20" s="1"/>
  <c r="Y216" i="20" s="1"/>
  <c r="Y177" i="20"/>
  <c r="D118" i="20"/>
  <c r="Y172" i="12"/>
  <c r="D82" i="12"/>
  <c r="J42" i="10"/>
  <c r="I217" i="12"/>
  <c r="H42" i="10"/>
  <c r="G217" i="12"/>
  <c r="H51" i="10" s="1"/>
  <c r="Y179" i="20"/>
  <c r="Y174" i="12"/>
  <c r="D130" i="12"/>
  <c r="Y401" i="20"/>
  <c r="Y297" i="20"/>
  <c r="Y410" i="20" s="1"/>
  <c r="E204" i="20"/>
  <c r="J109" i="10"/>
  <c r="E430" i="20"/>
  <c r="F108" i="10"/>
  <c r="D296" i="20"/>
  <c r="Y321" i="20"/>
  <c r="Y411" i="20" s="1"/>
  <c r="D320" i="20"/>
  <c r="Y402" i="20"/>
  <c r="D142" i="20"/>
  <c r="Y178" i="20"/>
  <c r="I109" i="10"/>
  <c r="I110" i="10" s="1"/>
  <c r="H430" i="20"/>
  <c r="F42" i="10"/>
  <c r="E217" i="12"/>
  <c r="E96" i="10"/>
  <c r="D204" i="20"/>
  <c r="G430" i="20"/>
  <c r="H108" i="10"/>
  <c r="Y175" i="20"/>
  <c r="D70" i="20"/>
  <c r="D58" i="12"/>
  <c r="Y170" i="12"/>
  <c r="Y192" i="12" s="1"/>
  <c r="D34" i="12"/>
  <c r="Y173" i="12"/>
  <c r="D106" i="12"/>
  <c r="D166" i="20"/>
  <c r="D154" i="12"/>
  <c r="Y175" i="12"/>
  <c r="G204" i="20"/>
  <c r="H96" i="10"/>
  <c r="E108" i="10"/>
  <c r="D430" i="20"/>
  <c r="O334" i="17"/>
  <c r="O137" i="17" s="1"/>
  <c r="O145" i="17" s="1"/>
  <c r="O147" i="17" s="1"/>
  <c r="O148" i="17" s="1"/>
  <c r="R244" i="17"/>
  <c r="R50" i="17" s="1"/>
  <c r="P341" i="17"/>
  <c r="P138" i="17" s="1"/>
  <c r="O223" i="17"/>
  <c r="O47" i="17" s="1"/>
  <c r="O55" i="17" s="1"/>
  <c r="O57" i="17" s="1"/>
  <c r="O58" i="17" s="1"/>
  <c r="Q385" i="17"/>
  <c r="Q169" i="17" s="1"/>
  <c r="R274" i="17"/>
  <c r="R79" i="17" s="1"/>
  <c r="R311" i="17"/>
  <c r="R109" i="17" s="1"/>
  <c r="Q415" i="17"/>
  <c r="Q198" i="17" s="1"/>
  <c r="Q304" i="17"/>
  <c r="Q108" i="17" s="1"/>
  <c r="P371" i="17"/>
  <c r="P167" i="17" s="1"/>
  <c r="Q265" i="17"/>
  <c r="R302" i="17"/>
  <c r="Q229" i="17"/>
  <c r="Q231" i="17" s="1"/>
  <c r="P296" i="17"/>
  <c r="P298" i="17" s="1"/>
  <c r="P407" i="17"/>
  <c r="P409" i="17" s="1"/>
  <c r="T324" i="17"/>
  <c r="T326" i="17" s="1"/>
  <c r="Q376" i="17"/>
  <c r="T391" i="17"/>
  <c r="T393" i="17" s="1"/>
  <c r="R383" i="17"/>
  <c r="Q339" i="17"/>
  <c r="T398" i="17"/>
  <c r="T400" i="17" s="1"/>
  <c r="S429" i="17"/>
  <c r="S200" i="17" s="1"/>
  <c r="T361" i="17"/>
  <c r="T363" i="17" s="1"/>
  <c r="S347" i="17"/>
  <c r="S349" i="17" s="1"/>
  <c r="T435" i="17"/>
  <c r="T437" i="17" s="1"/>
  <c r="P378" i="17"/>
  <c r="P168" i="17" s="1"/>
  <c r="S354" i="17"/>
  <c r="S356" i="17" s="1"/>
  <c r="S236" i="17"/>
  <c r="S238" i="17" s="1"/>
  <c r="S280" i="17"/>
  <c r="S282" i="17" s="1"/>
  <c r="T427" i="17"/>
  <c r="P259" i="17"/>
  <c r="P261" i="17" s="1"/>
  <c r="R421" i="17"/>
  <c r="R423" i="17" s="1"/>
  <c r="S317" i="17"/>
  <c r="S319" i="17" s="1"/>
  <c r="P332" i="17"/>
  <c r="S309" i="17"/>
  <c r="S272" i="17"/>
  <c r="T287" i="17"/>
  <c r="T289" i="17" s="1"/>
  <c r="S242" i="17"/>
  <c r="Q369" i="17"/>
  <c r="T250" i="17"/>
  <c r="T252" i="17" s="1"/>
  <c r="P221" i="17"/>
  <c r="P267" i="17"/>
  <c r="P78" i="17" s="1"/>
  <c r="R413" i="17"/>
  <c r="G110" i="10" l="1"/>
  <c r="H219" i="12"/>
  <c r="I53" i="10" s="1"/>
  <c r="D345" i="20"/>
  <c r="G432" i="20" s="1"/>
  <c r="H114" i="10" s="1"/>
  <c r="P175" i="17"/>
  <c r="P177" i="17" s="1"/>
  <c r="P178" i="17" s="1"/>
  <c r="E128" i="21"/>
  <c r="I10" i="22"/>
  <c r="G98" i="10"/>
  <c r="J98" i="10"/>
  <c r="H98" i="10"/>
  <c r="D297" i="20"/>
  <c r="E432" i="20" s="1"/>
  <c r="F114" i="10" s="1"/>
  <c r="H110" i="10"/>
  <c r="F110" i="10"/>
  <c r="D219" i="12"/>
  <c r="E13" i="22" s="1"/>
  <c r="E98" i="10"/>
  <c r="D47" i="20"/>
  <c r="D206" i="20" s="1"/>
  <c r="E110" i="10"/>
  <c r="J110" i="10"/>
  <c r="D321" i="20"/>
  <c r="F432" i="20" s="1"/>
  <c r="G114" i="10" s="1"/>
  <c r="Y184" i="20"/>
  <c r="D71" i="20"/>
  <c r="E206" i="20" s="1"/>
  <c r="F102" i="10" s="1"/>
  <c r="Y413" i="20"/>
  <c r="D369" i="20"/>
  <c r="H432" i="20" s="1"/>
  <c r="I114" i="10" s="1"/>
  <c r="F51" i="10"/>
  <c r="E219" i="12"/>
  <c r="Y186" i="20"/>
  <c r="D119" i="20"/>
  <c r="G206" i="20" s="1"/>
  <c r="H102" i="10" s="1"/>
  <c r="G219" i="12"/>
  <c r="D95" i="20"/>
  <c r="F206" i="20" s="1"/>
  <c r="G102" i="10" s="1"/>
  <c r="D143" i="20"/>
  <c r="H206" i="20" s="1"/>
  <c r="I102" i="10" s="1"/>
  <c r="Y187" i="20"/>
  <c r="Y188" i="20"/>
  <c r="D167" i="20"/>
  <c r="I206" i="20" s="1"/>
  <c r="J102" i="10" s="1"/>
  <c r="I219" i="12"/>
  <c r="J51" i="10"/>
  <c r="F219" i="12"/>
  <c r="G51" i="10"/>
  <c r="Y409" i="20"/>
  <c r="D273" i="20"/>
  <c r="D432" i="20" s="1"/>
  <c r="Y414" i="20"/>
  <c r="D393" i="20"/>
  <c r="I432" i="20" s="1"/>
  <c r="J114" i="10" s="1"/>
  <c r="P297" i="17"/>
  <c r="P107" i="17" s="1"/>
  <c r="P115" i="17" s="1"/>
  <c r="P117" i="17" s="1"/>
  <c r="P118" i="17" s="1"/>
  <c r="P260" i="17"/>
  <c r="P77" i="17" s="1"/>
  <c r="P85" i="17" s="1"/>
  <c r="P87" i="17" s="1"/>
  <c r="P88" i="17" s="1"/>
  <c r="S318" i="17"/>
  <c r="S110" i="17" s="1"/>
  <c r="T288" i="17"/>
  <c r="T81" i="17" s="1"/>
  <c r="R422" i="17"/>
  <c r="R199" i="17" s="1"/>
  <c r="T399" i="17"/>
  <c r="T171" i="17" s="1"/>
  <c r="T353" i="17"/>
  <c r="U360" i="17"/>
  <c r="P222" i="17"/>
  <c r="P224" i="17" s="1"/>
  <c r="U249" i="17"/>
  <c r="S273" i="17"/>
  <c r="S275" i="17" s="1"/>
  <c r="P333" i="17"/>
  <c r="P335" i="17" s="1"/>
  <c r="T235" i="17"/>
  <c r="T346" i="17"/>
  <c r="U397" i="17"/>
  <c r="R384" i="17"/>
  <c r="R386" i="17" s="1"/>
  <c r="T392" i="17"/>
  <c r="T170" i="17" s="1"/>
  <c r="T325" i="17"/>
  <c r="T111" i="17" s="1"/>
  <c r="Q230" i="17"/>
  <c r="Q48" i="17" s="1"/>
  <c r="S243" i="17"/>
  <c r="S245" i="17" s="1"/>
  <c r="Q406" i="17"/>
  <c r="R303" i="17"/>
  <c r="R305" i="17" s="1"/>
  <c r="R414" i="17"/>
  <c r="R416" i="17" s="1"/>
  <c r="Q370" i="17"/>
  <c r="Q372" i="17" s="1"/>
  <c r="U286" i="17"/>
  <c r="S420" i="17"/>
  <c r="S281" i="17"/>
  <c r="S80" i="17" s="1"/>
  <c r="S355" i="17"/>
  <c r="S140" i="17" s="1"/>
  <c r="T436" i="17"/>
  <c r="T201" i="17" s="1"/>
  <c r="S348" i="17"/>
  <c r="S139" i="17" s="1"/>
  <c r="T362" i="17"/>
  <c r="T141" i="17" s="1"/>
  <c r="Q377" i="17"/>
  <c r="Q379" i="17" s="1"/>
  <c r="Q295" i="17"/>
  <c r="Q266" i="17"/>
  <c r="Q268" i="17" s="1"/>
  <c r="T428" i="17"/>
  <c r="T430" i="17" s="1"/>
  <c r="T279" i="17"/>
  <c r="U323" i="17"/>
  <c r="T251" i="17"/>
  <c r="T51" i="17" s="1"/>
  <c r="S310" i="17"/>
  <c r="S312" i="17" s="1"/>
  <c r="T316" i="17"/>
  <c r="Q258" i="17"/>
  <c r="S237" i="17"/>
  <c r="S49" i="17" s="1"/>
  <c r="U434" i="17"/>
  <c r="Q340" i="17"/>
  <c r="Q342" i="17" s="1"/>
  <c r="U390" i="17"/>
  <c r="P408" i="17"/>
  <c r="P197" i="17" s="1"/>
  <c r="P205" i="17" s="1"/>
  <c r="P207" i="17" s="1"/>
  <c r="P208" i="17" s="1"/>
  <c r="R228" i="17"/>
  <c r="I13" i="22" l="1"/>
  <c r="G53" i="10"/>
  <c r="G13" i="22"/>
  <c r="H53" i="10"/>
  <c r="H13" i="22"/>
  <c r="J53" i="10"/>
  <c r="J13" i="22"/>
  <c r="F53" i="10"/>
  <c r="F13" i="22"/>
  <c r="E53" i="10"/>
  <c r="E114" i="10"/>
  <c r="F115" i="10" s="1"/>
  <c r="D434" i="20"/>
  <c r="D435" i="20" s="1"/>
  <c r="E102" i="10"/>
  <c r="D208" i="20"/>
  <c r="D209" i="20" s="1"/>
  <c r="D221" i="12"/>
  <c r="Q371" i="17"/>
  <c r="Q167" i="17" s="1"/>
  <c r="S311" i="17"/>
  <c r="S109" i="17" s="1"/>
  <c r="P334" i="17"/>
  <c r="P137" i="17" s="1"/>
  <c r="P145" i="17" s="1"/>
  <c r="P147" i="17" s="1"/>
  <c r="P148" i="17" s="1"/>
  <c r="R385" i="17"/>
  <c r="R169" i="17" s="1"/>
  <c r="P223" i="17"/>
  <c r="P47" i="17" s="1"/>
  <c r="P55" i="17" s="1"/>
  <c r="P57" i="17" s="1"/>
  <c r="P58" i="17" s="1"/>
  <c r="R415" i="17"/>
  <c r="R198" i="17" s="1"/>
  <c r="R265" i="17"/>
  <c r="T242" i="17"/>
  <c r="U391" i="17"/>
  <c r="U393" i="17" s="1"/>
  <c r="T317" i="17"/>
  <c r="T319" i="17" s="1"/>
  <c r="T280" i="17"/>
  <c r="T282" i="17" s="1"/>
  <c r="T429" i="17"/>
  <c r="T200" i="17" s="1"/>
  <c r="Q296" i="17"/>
  <c r="Q298" i="17" s="1"/>
  <c r="Q378" i="17"/>
  <c r="Q168" i="17" s="1"/>
  <c r="U287" i="17"/>
  <c r="U289" i="17" s="1"/>
  <c r="R304" i="17"/>
  <c r="R108" i="17" s="1"/>
  <c r="S244" i="17"/>
  <c r="S50" i="17" s="1"/>
  <c r="U398" i="17"/>
  <c r="U400" i="17" s="1"/>
  <c r="Q332" i="17"/>
  <c r="Q407" i="17"/>
  <c r="Q409" i="17" s="1"/>
  <c r="T272" i="17"/>
  <c r="R229" i="17"/>
  <c r="R231" i="17" s="1"/>
  <c r="U435" i="17"/>
  <c r="U437" i="17" s="1"/>
  <c r="Q267" i="17"/>
  <c r="Q78" i="17" s="1"/>
  <c r="S302" i="17"/>
  <c r="S383" i="17"/>
  <c r="S274" i="17"/>
  <c r="S79" i="17" s="1"/>
  <c r="T354" i="17"/>
  <c r="T356" i="17" s="1"/>
  <c r="R339" i="17"/>
  <c r="U427" i="17"/>
  <c r="R376" i="17"/>
  <c r="U361" i="17"/>
  <c r="U363" i="17" s="1"/>
  <c r="Q341" i="17"/>
  <c r="Q138" i="17" s="1"/>
  <c r="Q259" i="17"/>
  <c r="Q261" i="17" s="1"/>
  <c r="T309" i="17"/>
  <c r="U324" i="17"/>
  <c r="U326" i="17" s="1"/>
  <c r="S421" i="17"/>
  <c r="S423" i="17" s="1"/>
  <c r="R369" i="17"/>
  <c r="S413" i="17"/>
  <c r="T347" i="17"/>
  <c r="T349" i="17" s="1"/>
  <c r="T236" i="17"/>
  <c r="T238" i="17" s="1"/>
  <c r="U250" i="17"/>
  <c r="U252" i="17" s="1"/>
  <c r="Q221" i="17"/>
  <c r="Q175" i="17" l="1"/>
  <c r="Q177" i="17" s="1"/>
  <c r="Q178" i="17" s="1"/>
  <c r="J54" i="10"/>
  <c r="I54" i="10"/>
  <c r="H115" i="10"/>
  <c r="H54" i="10"/>
  <c r="G54" i="10"/>
  <c r="E54" i="10"/>
  <c r="F54" i="10"/>
  <c r="I15" i="22"/>
  <c r="H15" i="22"/>
  <c r="J15" i="22"/>
  <c r="D218" i="20"/>
  <c r="D225" i="20"/>
  <c r="B225" i="20"/>
  <c r="D217" i="20"/>
  <c r="D222" i="12"/>
  <c r="B35" i="24" s="1"/>
  <c r="E36" i="10"/>
  <c r="F87" i="10" s="1"/>
  <c r="E115" i="10"/>
  <c r="I115" i="10"/>
  <c r="G115" i="10"/>
  <c r="J115" i="10"/>
  <c r="H103" i="10"/>
  <c r="G103" i="10"/>
  <c r="J103" i="10"/>
  <c r="I103" i="10"/>
  <c r="E103" i="10"/>
  <c r="D444" i="20"/>
  <c r="D443" i="20"/>
  <c r="B451" i="20"/>
  <c r="D451" i="20"/>
  <c r="F103" i="10"/>
  <c r="U325" i="17"/>
  <c r="U111" i="17" s="1"/>
  <c r="U251" i="17"/>
  <c r="U51" i="17" s="1"/>
  <c r="U392" i="17"/>
  <c r="U170" i="17" s="1"/>
  <c r="Q297" i="17"/>
  <c r="Q107" i="17" s="1"/>
  <c r="Q115" i="17" s="1"/>
  <c r="Q117" i="17" s="1"/>
  <c r="Q118" i="17" s="1"/>
  <c r="T281" i="17"/>
  <c r="T80" i="17" s="1"/>
  <c r="T318" i="17"/>
  <c r="T110" i="17" s="1"/>
  <c r="U362" i="17"/>
  <c r="U141" i="17" s="1"/>
  <c r="T348" i="17"/>
  <c r="T139" i="17" s="1"/>
  <c r="T355" i="17"/>
  <c r="T140" i="17" s="1"/>
  <c r="Q408" i="17"/>
  <c r="Q197" i="17" s="1"/>
  <c r="Q205" i="17" s="1"/>
  <c r="Q207" i="17" s="1"/>
  <c r="Q208" i="17" s="1"/>
  <c r="R377" i="17"/>
  <c r="R379" i="17" s="1"/>
  <c r="Q222" i="17"/>
  <c r="Q224" i="17" s="1"/>
  <c r="U346" i="17"/>
  <c r="S422" i="17"/>
  <c r="S199" i="17" s="1"/>
  <c r="V360" i="17"/>
  <c r="U428" i="17"/>
  <c r="U430" i="17" s="1"/>
  <c r="U353" i="17"/>
  <c r="S384" i="17"/>
  <c r="S386" i="17" s="1"/>
  <c r="R230" i="17"/>
  <c r="R48" i="17" s="1"/>
  <c r="U288" i="17"/>
  <c r="U81" i="17" s="1"/>
  <c r="R295" i="17"/>
  <c r="U279" i="17"/>
  <c r="U316" i="17"/>
  <c r="T243" i="17"/>
  <c r="T245" i="17" s="1"/>
  <c r="R340" i="17"/>
  <c r="R342" i="17" s="1"/>
  <c r="S303" i="17"/>
  <c r="S305" i="17" s="1"/>
  <c r="S228" i="17"/>
  <c r="V397" i="17"/>
  <c r="R266" i="17"/>
  <c r="R268" i="17" s="1"/>
  <c r="U235" i="17"/>
  <c r="R370" i="17"/>
  <c r="R372" i="17" s="1"/>
  <c r="T310" i="17"/>
  <c r="T312" i="17" s="1"/>
  <c r="R258" i="17"/>
  <c r="U436" i="17"/>
  <c r="U201" i="17" s="1"/>
  <c r="R406" i="17"/>
  <c r="V390" i="17"/>
  <c r="V434" i="17"/>
  <c r="Q333" i="17"/>
  <c r="Q335" i="17" s="1"/>
  <c r="V249" i="17"/>
  <c r="T237" i="17"/>
  <c r="T49" i="17" s="1"/>
  <c r="S414" i="17"/>
  <c r="S416" i="17" s="1"/>
  <c r="T420" i="17"/>
  <c r="V323" i="17"/>
  <c r="Q260" i="17"/>
  <c r="Q77" i="17" s="1"/>
  <c r="Q85" i="17" s="1"/>
  <c r="Q87" i="17" s="1"/>
  <c r="Q88" i="17" s="1"/>
  <c r="T273" i="17"/>
  <c r="T275" i="17" s="1"/>
  <c r="U399" i="17"/>
  <c r="U171" i="17" s="1"/>
  <c r="V286" i="17"/>
  <c r="G15" i="22"/>
  <c r="F15" i="22"/>
  <c r="E15" i="22"/>
  <c r="I44" i="24" l="1"/>
  <c r="M44" i="24"/>
  <c r="Q44" i="24"/>
  <c r="U44" i="24"/>
  <c r="Y44" i="24"/>
  <c r="J45" i="24"/>
  <c r="N45" i="24"/>
  <c r="R45" i="24"/>
  <c r="V45" i="24"/>
  <c r="G46" i="24"/>
  <c r="K46" i="24"/>
  <c r="O46" i="24"/>
  <c r="S46" i="24"/>
  <c r="W46" i="24"/>
  <c r="X70" i="24" s="1"/>
  <c r="Y94" i="24" s="1"/>
  <c r="H47" i="24"/>
  <c r="L47" i="24"/>
  <c r="P47" i="24"/>
  <c r="T47" i="24"/>
  <c r="X47" i="24"/>
  <c r="Y71" i="24" s="1"/>
  <c r="I48" i="24"/>
  <c r="M48" i="24"/>
  <c r="Q48" i="24"/>
  <c r="U48" i="24"/>
  <c r="Y48" i="24"/>
  <c r="J49" i="24"/>
  <c r="N49" i="24"/>
  <c r="R49" i="24"/>
  <c r="V49" i="24"/>
  <c r="G50" i="24"/>
  <c r="K50" i="24"/>
  <c r="O50" i="24"/>
  <c r="S50" i="24"/>
  <c r="W50" i="24"/>
  <c r="X74" i="24" s="1"/>
  <c r="Y98" i="24" s="1"/>
  <c r="H51" i="24"/>
  <c r="L51" i="24"/>
  <c r="P51" i="24"/>
  <c r="T51" i="24"/>
  <c r="X51" i="24"/>
  <c r="Y75" i="24" s="1"/>
  <c r="I52" i="24"/>
  <c r="M52" i="24"/>
  <c r="Q52" i="24"/>
  <c r="U52" i="24"/>
  <c r="Y52" i="24"/>
  <c r="J53" i="24"/>
  <c r="N53" i="24"/>
  <c r="R53" i="24"/>
  <c r="V53" i="24"/>
  <c r="G54" i="24"/>
  <c r="K54" i="24"/>
  <c r="O54" i="24"/>
  <c r="S54" i="24"/>
  <c r="W54" i="24"/>
  <c r="X78" i="24" s="1"/>
  <c r="Y102" i="24" s="1"/>
  <c r="H55" i="24"/>
  <c r="L55" i="24"/>
  <c r="P55" i="24"/>
  <c r="T55" i="24"/>
  <c r="X55" i="24"/>
  <c r="Y79" i="24" s="1"/>
  <c r="F53" i="24"/>
  <c r="F49" i="24"/>
  <c r="F45" i="24"/>
  <c r="K43" i="24"/>
  <c r="O43" i="24"/>
  <c r="P67" i="24" s="1"/>
  <c r="R91" i="24" s="1"/>
  <c r="S43" i="24"/>
  <c r="W43" i="24"/>
  <c r="I40" i="24"/>
  <c r="M40" i="24"/>
  <c r="N64" i="24" s="1"/>
  <c r="P88" i="24" s="1"/>
  <c r="Q40" i="24"/>
  <c r="U40" i="24"/>
  <c r="Y40" i="24"/>
  <c r="L41" i="24"/>
  <c r="P41" i="24"/>
  <c r="T41" i="24"/>
  <c r="X41" i="24"/>
  <c r="K42" i="24"/>
  <c r="O42" i="24"/>
  <c r="P66" i="24" s="1"/>
  <c r="R90" i="24" s="1"/>
  <c r="S42" i="24"/>
  <c r="W42" i="24"/>
  <c r="H41" i="24"/>
  <c r="I38" i="24"/>
  <c r="M38" i="24"/>
  <c r="Q38" i="24"/>
  <c r="U38" i="24"/>
  <c r="Y38" i="24"/>
  <c r="L44" i="24"/>
  <c r="X44" i="24"/>
  <c r="Y68" i="24" s="1"/>
  <c r="J44" i="24"/>
  <c r="N44" i="24"/>
  <c r="R44" i="24"/>
  <c r="V44" i="24"/>
  <c r="G45" i="24"/>
  <c r="K45" i="24"/>
  <c r="O45" i="24"/>
  <c r="S45" i="24"/>
  <c r="W45" i="24"/>
  <c r="X69" i="24" s="1"/>
  <c r="Y93" i="24" s="1"/>
  <c r="H46" i="24"/>
  <c r="L46" i="24"/>
  <c r="P46" i="24"/>
  <c r="T46" i="24"/>
  <c r="X46" i="24"/>
  <c r="Y70" i="24" s="1"/>
  <c r="I47" i="24"/>
  <c r="M47" i="24"/>
  <c r="Q47" i="24"/>
  <c r="U47" i="24"/>
  <c r="Y47" i="24"/>
  <c r="J48" i="24"/>
  <c r="N48" i="24"/>
  <c r="R48" i="24"/>
  <c r="V48" i="24"/>
  <c r="G49" i="24"/>
  <c r="K49" i="24"/>
  <c r="O49" i="24"/>
  <c r="S49" i="24"/>
  <c r="W49" i="24"/>
  <c r="X73" i="24" s="1"/>
  <c r="Y97" i="24" s="1"/>
  <c r="H50" i="24"/>
  <c r="L50" i="24"/>
  <c r="P50" i="24"/>
  <c r="T50" i="24"/>
  <c r="X50" i="24"/>
  <c r="Y74" i="24" s="1"/>
  <c r="I51" i="24"/>
  <c r="M51" i="24"/>
  <c r="Q51" i="24"/>
  <c r="U51" i="24"/>
  <c r="Y51" i="24"/>
  <c r="J52" i="24"/>
  <c r="N52" i="24"/>
  <c r="R52" i="24"/>
  <c r="V52" i="24"/>
  <c r="G53" i="24"/>
  <c r="K53" i="24"/>
  <c r="O53" i="24"/>
  <c r="S53" i="24"/>
  <c r="W53" i="24"/>
  <c r="X77" i="24" s="1"/>
  <c r="Y101" i="24" s="1"/>
  <c r="H54" i="24"/>
  <c r="L54" i="24"/>
  <c r="P54" i="24"/>
  <c r="T54" i="24"/>
  <c r="X54" i="24"/>
  <c r="Y78" i="24" s="1"/>
  <c r="I55" i="24"/>
  <c r="M55" i="24"/>
  <c r="Q55" i="24"/>
  <c r="U55" i="24"/>
  <c r="Y55" i="24"/>
  <c r="F52" i="24"/>
  <c r="F48" i="24"/>
  <c r="F44" i="24"/>
  <c r="L43" i="24"/>
  <c r="P43" i="24"/>
  <c r="T43" i="24"/>
  <c r="X43" i="24"/>
  <c r="J40" i="24"/>
  <c r="N40" i="24"/>
  <c r="O64" i="24" s="1"/>
  <c r="Q88" i="24" s="1"/>
  <c r="R40" i="24"/>
  <c r="V40" i="24"/>
  <c r="I41" i="24"/>
  <c r="M41" i="24"/>
  <c r="N65" i="24" s="1"/>
  <c r="P89" i="24" s="1"/>
  <c r="Q41" i="24"/>
  <c r="U41" i="24"/>
  <c r="Y41" i="24"/>
  <c r="L42" i="24"/>
  <c r="P42" i="24"/>
  <c r="T42" i="24"/>
  <c r="X42" i="24"/>
  <c r="H40" i="24"/>
  <c r="J38" i="24"/>
  <c r="N38" i="24"/>
  <c r="R38" i="24"/>
  <c r="V38" i="24"/>
  <c r="F38" i="24"/>
  <c r="P44" i="24"/>
  <c r="G44" i="24"/>
  <c r="K44" i="24"/>
  <c r="O44" i="24"/>
  <c r="S44" i="24"/>
  <c r="W44" i="24"/>
  <c r="X68" i="24" s="1"/>
  <c r="Y92" i="24" s="1"/>
  <c r="H45" i="24"/>
  <c r="L45" i="24"/>
  <c r="P45" i="24"/>
  <c r="T45" i="24"/>
  <c r="X45" i="24"/>
  <c r="Y69" i="24" s="1"/>
  <c r="I46" i="24"/>
  <c r="M46" i="24"/>
  <c r="Q46" i="24"/>
  <c r="U46" i="24"/>
  <c r="Y46" i="24"/>
  <c r="J47" i="24"/>
  <c r="N47" i="24"/>
  <c r="R47" i="24"/>
  <c r="V47" i="24"/>
  <c r="G48" i="24"/>
  <c r="K48" i="24"/>
  <c r="O48" i="24"/>
  <c r="S48" i="24"/>
  <c r="W48" i="24"/>
  <c r="X72" i="24" s="1"/>
  <c r="Y96" i="24" s="1"/>
  <c r="H49" i="24"/>
  <c r="L49" i="24"/>
  <c r="P49" i="24"/>
  <c r="T49" i="24"/>
  <c r="X49" i="24"/>
  <c r="Y73" i="24" s="1"/>
  <c r="I50" i="24"/>
  <c r="M50" i="24"/>
  <c r="Q50" i="24"/>
  <c r="U50" i="24"/>
  <c r="Y50" i="24"/>
  <c r="J51" i="24"/>
  <c r="N51" i="24"/>
  <c r="R51" i="24"/>
  <c r="V51" i="24"/>
  <c r="G52" i="24"/>
  <c r="K52" i="24"/>
  <c r="O52" i="24"/>
  <c r="S52" i="24"/>
  <c r="W52" i="24"/>
  <c r="X76" i="24" s="1"/>
  <c r="Y100" i="24" s="1"/>
  <c r="H53" i="24"/>
  <c r="L53" i="24"/>
  <c r="P53" i="24"/>
  <c r="T53" i="24"/>
  <c r="X53" i="24"/>
  <c r="Y77" i="24" s="1"/>
  <c r="I54" i="24"/>
  <c r="M54" i="24"/>
  <c r="Q54" i="24"/>
  <c r="U54" i="24"/>
  <c r="Y54" i="24"/>
  <c r="J55" i="24"/>
  <c r="N55" i="24"/>
  <c r="R55" i="24"/>
  <c r="V55" i="24"/>
  <c r="F55" i="24"/>
  <c r="F51" i="24"/>
  <c r="F47" i="24"/>
  <c r="I43" i="24"/>
  <c r="M43" i="24"/>
  <c r="N67" i="24" s="1"/>
  <c r="P91" i="24" s="1"/>
  <c r="Q43" i="24"/>
  <c r="U43" i="24"/>
  <c r="Y43" i="24"/>
  <c r="K40" i="24"/>
  <c r="O40" i="24"/>
  <c r="P64" i="24" s="1"/>
  <c r="R88" i="24" s="1"/>
  <c r="S40" i="24"/>
  <c r="W40" i="24"/>
  <c r="J41" i="24"/>
  <c r="N41" i="24"/>
  <c r="O65" i="24" s="1"/>
  <c r="Q89" i="24" s="1"/>
  <c r="R41" i="24"/>
  <c r="V41" i="24"/>
  <c r="I42" i="24"/>
  <c r="M42" i="24"/>
  <c r="N66" i="24" s="1"/>
  <c r="P90" i="24" s="1"/>
  <c r="Q42" i="24"/>
  <c r="U42" i="24"/>
  <c r="Y42" i="24"/>
  <c r="G38" i="24"/>
  <c r="K38" i="24"/>
  <c r="O38" i="24"/>
  <c r="S38" i="24"/>
  <c r="W38" i="24"/>
  <c r="X62" i="24" s="1"/>
  <c r="Y86" i="24" s="1"/>
  <c r="H44" i="24"/>
  <c r="T44" i="24"/>
  <c r="U45" i="24"/>
  <c r="R46" i="24"/>
  <c r="O47" i="24"/>
  <c r="L48" i="24"/>
  <c r="I49" i="24"/>
  <c r="Y49" i="24"/>
  <c r="V50" i="24"/>
  <c r="S51" i="24"/>
  <c r="P52" i="24"/>
  <c r="M53" i="24"/>
  <c r="J54" i="24"/>
  <c r="G55" i="24"/>
  <c r="W55" i="24"/>
  <c r="X79" i="24" s="1"/>
  <c r="Y103" i="24" s="1"/>
  <c r="J43" i="24"/>
  <c r="H43" i="24"/>
  <c r="X40" i="24"/>
  <c r="W41" i="24"/>
  <c r="V42" i="24"/>
  <c r="P38" i="24"/>
  <c r="M45" i="24"/>
  <c r="W47" i="24"/>
  <c r="X71" i="24" s="1"/>
  <c r="Y95" i="24" s="1"/>
  <c r="T48" i="24"/>
  <c r="Q49" i="24"/>
  <c r="K51" i="24"/>
  <c r="U53" i="24"/>
  <c r="O55" i="24"/>
  <c r="R43" i="24"/>
  <c r="N42" i="24"/>
  <c r="O66" i="24" s="1"/>
  <c r="Q90" i="24" s="1"/>
  <c r="I45" i="24"/>
  <c r="Y45" i="24"/>
  <c r="V46" i="24"/>
  <c r="S47" i="24"/>
  <c r="P48" i="24"/>
  <c r="M49" i="24"/>
  <c r="J50" i="24"/>
  <c r="G51" i="24"/>
  <c r="W51" i="24"/>
  <c r="X75" i="24" s="1"/>
  <c r="Y99" i="24" s="1"/>
  <c r="T52" i="24"/>
  <c r="Q53" i="24"/>
  <c r="N54" i="24"/>
  <c r="K55" i="24"/>
  <c r="F54" i="24"/>
  <c r="N43" i="24"/>
  <c r="O67" i="24" s="1"/>
  <c r="Q91" i="24" s="1"/>
  <c r="L40" i="24"/>
  <c r="K41" i="24"/>
  <c r="J42" i="24"/>
  <c r="H42" i="24"/>
  <c r="T38" i="24"/>
  <c r="J46" i="24"/>
  <c r="H52" i="24"/>
  <c r="F50" i="24"/>
  <c r="O41" i="24"/>
  <c r="P65" i="24" s="1"/>
  <c r="R89" i="24" s="1"/>
  <c r="X38" i="24"/>
  <c r="Y62" i="24" s="1"/>
  <c r="Q45" i="24"/>
  <c r="N46" i="24"/>
  <c r="K47" i="24"/>
  <c r="H48" i="24"/>
  <c r="X48" i="24"/>
  <c r="Y72" i="24" s="1"/>
  <c r="U49" i="24"/>
  <c r="R50" i="24"/>
  <c r="O51" i="24"/>
  <c r="L52" i="24"/>
  <c r="I53" i="24"/>
  <c r="Y53" i="24"/>
  <c r="V54" i="24"/>
  <c r="S55" i="24"/>
  <c r="F46" i="24"/>
  <c r="V43" i="24"/>
  <c r="T40" i="24"/>
  <c r="S41" i="24"/>
  <c r="R42" i="24"/>
  <c r="L38" i="24"/>
  <c r="G47" i="24"/>
  <c r="N50" i="24"/>
  <c r="X52" i="24"/>
  <c r="Y76" i="24" s="1"/>
  <c r="R54" i="24"/>
  <c r="P40" i="24"/>
  <c r="H38" i="24"/>
  <c r="B59" i="24"/>
  <c r="C180" i="24" s="1"/>
  <c r="B83" i="24"/>
  <c r="B131" i="24"/>
  <c r="B107" i="24"/>
  <c r="G37" i="24"/>
  <c r="K37" i="24"/>
  <c r="O37" i="24"/>
  <c r="S37" i="24"/>
  <c r="W37" i="24"/>
  <c r="H37" i="24"/>
  <c r="L37" i="24"/>
  <c r="P37" i="24"/>
  <c r="T37" i="24"/>
  <c r="X37" i="24"/>
  <c r="Y61" i="24" s="1"/>
  <c r="I37" i="24"/>
  <c r="M37" i="24"/>
  <c r="Q37" i="24"/>
  <c r="U37" i="24"/>
  <c r="Y37" i="24"/>
  <c r="F37" i="24"/>
  <c r="J37" i="24"/>
  <c r="N37" i="24"/>
  <c r="R37" i="24"/>
  <c r="V37" i="24"/>
  <c r="E37" i="24"/>
  <c r="C179" i="24"/>
  <c r="C170" i="24"/>
  <c r="C161" i="24"/>
  <c r="E203" i="24"/>
  <c r="D230" i="12"/>
  <c r="D239" i="12"/>
  <c r="B239" i="12"/>
  <c r="E240" i="12" s="1"/>
  <c r="D231" i="12"/>
  <c r="N226" i="20"/>
  <c r="X226" i="20"/>
  <c r="G226" i="20"/>
  <c r="X218" i="20"/>
  <c r="S218" i="20"/>
  <c r="U218" i="20"/>
  <c r="L218" i="20"/>
  <c r="V218" i="20"/>
  <c r="V226" i="20"/>
  <c r="M226" i="20"/>
  <c r="S226" i="20"/>
  <c r="R226" i="20"/>
  <c r="M218" i="20"/>
  <c r="Y226" i="20"/>
  <c r="T218" i="20"/>
  <c r="H226" i="20"/>
  <c r="E218" i="20"/>
  <c r="P218" i="20"/>
  <c r="F218" i="20"/>
  <c r="F226" i="20"/>
  <c r="L226" i="20"/>
  <c r="Y218" i="20"/>
  <c r="W226" i="20"/>
  <c r="O226" i="20"/>
  <c r="Q218" i="20"/>
  <c r="G218" i="20"/>
  <c r="H218" i="20"/>
  <c r="R218" i="20"/>
  <c r="I226" i="20"/>
  <c r="J218" i="20"/>
  <c r="J226" i="20"/>
  <c r="O218" i="20"/>
  <c r="K226" i="20"/>
  <c r="T226" i="20"/>
  <c r="P226" i="20"/>
  <c r="I218" i="20"/>
  <c r="W218" i="20"/>
  <c r="E226" i="20"/>
  <c r="E227" i="20" s="1"/>
  <c r="U226" i="20"/>
  <c r="K218" i="20"/>
  <c r="Q226" i="20"/>
  <c r="N218" i="20"/>
  <c r="O444" i="20"/>
  <c r="K444" i="20"/>
  <c r="K452" i="20"/>
  <c r="U452" i="20"/>
  <c r="I444" i="20"/>
  <c r="R444" i="20"/>
  <c r="W444" i="20"/>
  <c r="W452" i="20"/>
  <c r="Q444" i="20"/>
  <c r="I452" i="20"/>
  <c r="O452" i="20"/>
  <c r="N444" i="20"/>
  <c r="G444" i="20"/>
  <c r="Q452" i="20"/>
  <c r="V444" i="20"/>
  <c r="G452" i="20"/>
  <c r="P452" i="20"/>
  <c r="Y452" i="20"/>
  <c r="F444" i="20"/>
  <c r="P444" i="20"/>
  <c r="M444" i="20"/>
  <c r="L452" i="20"/>
  <c r="X452" i="20"/>
  <c r="S444" i="20"/>
  <c r="H444" i="20"/>
  <c r="J452" i="20"/>
  <c r="Y444" i="20"/>
  <c r="E452" i="20"/>
  <c r="E453" i="20" s="1"/>
  <c r="E454" i="20" s="1"/>
  <c r="E443" i="20" s="1"/>
  <c r="S452" i="20"/>
  <c r="J444" i="20"/>
  <c r="V452" i="20"/>
  <c r="F452" i="20"/>
  <c r="T452" i="20"/>
  <c r="H452" i="20"/>
  <c r="X444" i="20"/>
  <c r="L444" i="20"/>
  <c r="U444" i="20"/>
  <c r="M452" i="20"/>
  <c r="E444" i="20"/>
  <c r="R452" i="20"/>
  <c r="T444" i="20"/>
  <c r="N452" i="20"/>
  <c r="E35" i="10"/>
  <c r="B186" i="12"/>
  <c r="C193" i="12"/>
  <c r="C189" i="12"/>
  <c r="S304" i="17"/>
  <c r="S108" i="17" s="1"/>
  <c r="R378" i="17"/>
  <c r="R168" i="17" s="1"/>
  <c r="Q223" i="17"/>
  <c r="Q47" i="17" s="1"/>
  <c r="Q55" i="17" s="1"/>
  <c r="Q57" i="17" s="1"/>
  <c r="Q58" i="17" s="1"/>
  <c r="T311" i="17"/>
  <c r="T109" i="17" s="1"/>
  <c r="R341" i="17"/>
  <c r="R138" i="17" s="1"/>
  <c r="T274" i="17"/>
  <c r="T79" i="17" s="1"/>
  <c r="Q334" i="17"/>
  <c r="Q137" i="17" s="1"/>
  <c r="Q145" i="17" s="1"/>
  <c r="Q147" i="17" s="1"/>
  <c r="Q148" i="17" s="1"/>
  <c r="U429" i="17"/>
  <c r="U200" i="17" s="1"/>
  <c r="R407" i="17"/>
  <c r="R409" i="17" s="1"/>
  <c r="V398" i="17"/>
  <c r="V400" i="17" s="1"/>
  <c r="U272" i="17"/>
  <c r="V324" i="17"/>
  <c r="V326" i="17" s="1"/>
  <c r="S415" i="17"/>
  <c r="S198" i="17" s="1"/>
  <c r="V250" i="17"/>
  <c r="V252" i="17" s="1"/>
  <c r="U309" i="17"/>
  <c r="R371" i="17"/>
  <c r="R167" i="17" s="1"/>
  <c r="R267" i="17"/>
  <c r="R78" i="17" s="1"/>
  <c r="T302" i="17"/>
  <c r="U317" i="17"/>
  <c r="U319" i="17" s="1"/>
  <c r="R296" i="17"/>
  <c r="R298" i="17" s="1"/>
  <c r="V427" i="17"/>
  <c r="R221" i="17"/>
  <c r="S369" i="17"/>
  <c r="V287" i="17"/>
  <c r="V289" i="17" s="1"/>
  <c r="S265" i="17"/>
  <c r="S229" i="17"/>
  <c r="S231" i="17" s="1"/>
  <c r="U242" i="17"/>
  <c r="U354" i="17"/>
  <c r="U356" i="17" s="1"/>
  <c r="V391" i="17"/>
  <c r="V393" i="17" s="1"/>
  <c r="T383" i="17"/>
  <c r="T413" i="17"/>
  <c r="V435" i="17"/>
  <c r="V437" i="17" s="1"/>
  <c r="T421" i="17"/>
  <c r="T423" i="17" s="1"/>
  <c r="R332" i="17"/>
  <c r="R259" i="17"/>
  <c r="R261" i="17" s="1"/>
  <c r="U236" i="17"/>
  <c r="U238" i="17" s="1"/>
  <c r="S339" i="17"/>
  <c r="T244" i="17"/>
  <c r="T50" i="17" s="1"/>
  <c r="U280" i="17"/>
  <c r="U282" i="17" s="1"/>
  <c r="S385" i="17"/>
  <c r="S169" i="17" s="1"/>
  <c r="V361" i="17"/>
  <c r="V363" i="17" s="1"/>
  <c r="U347" i="17"/>
  <c r="U349" i="17" s="1"/>
  <c r="S376" i="17"/>
  <c r="Z242" i="12" l="1"/>
  <c r="Z231" i="12"/>
  <c r="Z193" i="12" s="1"/>
  <c r="Z194" i="12" s="1"/>
  <c r="X85" i="24"/>
  <c r="X181" i="24" s="1"/>
  <c r="W61" i="24"/>
  <c r="W180" i="24" s="1"/>
  <c r="G61" i="24"/>
  <c r="I109" i="24"/>
  <c r="J133" i="24"/>
  <c r="H85" i="24"/>
  <c r="O85" i="24"/>
  <c r="O181" i="24" s="1"/>
  <c r="N61" i="24"/>
  <c r="N180" i="24" s="1"/>
  <c r="R85" i="24"/>
  <c r="R181" i="24" s="1"/>
  <c r="Q61" i="24"/>
  <c r="Q180" i="24" s="1"/>
  <c r="U85" i="24"/>
  <c r="U181" i="24" s="1"/>
  <c r="T61" i="24"/>
  <c r="T180" i="24" s="1"/>
  <c r="W151" i="24"/>
  <c r="T79" i="24"/>
  <c r="U103" i="24" s="1"/>
  <c r="V127" i="24"/>
  <c r="K124" i="24"/>
  <c r="L148" i="24"/>
  <c r="I76" i="24"/>
  <c r="J100" i="24" s="1"/>
  <c r="Q145" i="24"/>
  <c r="P121" i="24"/>
  <c r="N73" i="24"/>
  <c r="O97" i="24" s="1"/>
  <c r="W66" i="24"/>
  <c r="Y90" i="24" s="1"/>
  <c r="V138" i="24"/>
  <c r="V114" i="24"/>
  <c r="V142" i="24"/>
  <c r="S70" i="24"/>
  <c r="T94" i="24" s="1"/>
  <c r="U118" i="24"/>
  <c r="R67" i="24"/>
  <c r="T91" i="24" s="1"/>
  <c r="Q139" i="24"/>
  <c r="Q115" i="24"/>
  <c r="R151" i="24"/>
  <c r="Q127" i="24"/>
  <c r="O79" i="24"/>
  <c r="P103" i="24" s="1"/>
  <c r="N147" i="24"/>
  <c r="M123" i="24"/>
  <c r="K75" i="24"/>
  <c r="L99" i="24" s="1"/>
  <c r="S121" i="24"/>
  <c r="T145" i="24"/>
  <c r="Q73" i="24"/>
  <c r="R97" i="24" s="1"/>
  <c r="W144" i="24"/>
  <c r="V120" i="24"/>
  <c r="T72" i="24"/>
  <c r="U96" i="24" s="1"/>
  <c r="S140" i="24"/>
  <c r="R116" i="24"/>
  <c r="P68" i="24"/>
  <c r="Q92" i="24" s="1"/>
  <c r="J134" i="24"/>
  <c r="G62" i="24"/>
  <c r="H86" i="24" s="1"/>
  <c r="I110" i="24"/>
  <c r="R65" i="24"/>
  <c r="T89" i="24" s="1"/>
  <c r="Q137" i="24"/>
  <c r="Q113" i="24"/>
  <c r="S64" i="24"/>
  <c r="U88" i="24" s="1"/>
  <c r="R136" i="24"/>
  <c r="R112" i="24"/>
  <c r="J144" i="24"/>
  <c r="I120" i="24"/>
  <c r="H120" i="24"/>
  <c r="G72" i="24"/>
  <c r="H96" i="24" s="1"/>
  <c r="X150" i="24"/>
  <c r="W126" i="24"/>
  <c r="U78" i="24"/>
  <c r="V102" i="24" s="1"/>
  <c r="K149" i="24"/>
  <c r="J125" i="24"/>
  <c r="H77" i="24"/>
  <c r="I101" i="24" s="1"/>
  <c r="Q147" i="24"/>
  <c r="P123" i="24"/>
  <c r="N75" i="24"/>
  <c r="O99" i="24" s="1"/>
  <c r="W145" i="24"/>
  <c r="V121" i="24"/>
  <c r="T73" i="24"/>
  <c r="U97" i="24" s="1"/>
  <c r="P142" i="24"/>
  <c r="O118" i="24"/>
  <c r="M70" i="24"/>
  <c r="N94" i="24" s="1"/>
  <c r="V140" i="24"/>
  <c r="U116" i="24"/>
  <c r="S68" i="24"/>
  <c r="T92" i="24" s="1"/>
  <c r="Q134" i="24"/>
  <c r="P110" i="24"/>
  <c r="N62" i="24"/>
  <c r="O86" i="24" s="1"/>
  <c r="U65" i="24"/>
  <c r="W89" i="24" s="1"/>
  <c r="T113" i="24"/>
  <c r="T137" i="24"/>
  <c r="X67" i="24"/>
  <c r="W139" i="24"/>
  <c r="W115" i="24"/>
  <c r="W127" i="24"/>
  <c r="X151" i="24"/>
  <c r="U79" i="24"/>
  <c r="V103" i="24" s="1"/>
  <c r="K150" i="24"/>
  <c r="H78" i="24"/>
  <c r="I102" i="24" s="1"/>
  <c r="J126" i="24"/>
  <c r="Q148" i="24"/>
  <c r="N76" i="24"/>
  <c r="O100" i="24" s="1"/>
  <c r="P124" i="24"/>
  <c r="L134" i="24"/>
  <c r="K110" i="24"/>
  <c r="I62" i="24"/>
  <c r="J86" i="24" s="1"/>
  <c r="O124" i="24"/>
  <c r="P148" i="24"/>
  <c r="M76" i="24"/>
  <c r="N100" i="24" s="1"/>
  <c r="K66" i="24"/>
  <c r="M90" i="24" s="1"/>
  <c r="N138" i="24"/>
  <c r="M114" i="24"/>
  <c r="K67" i="24"/>
  <c r="M91" i="24" s="1"/>
  <c r="N139" i="24"/>
  <c r="M115" i="24"/>
  <c r="J147" i="24"/>
  <c r="I123" i="24"/>
  <c r="H123" i="24"/>
  <c r="G75" i="24"/>
  <c r="H99" i="24" s="1"/>
  <c r="T126" i="24"/>
  <c r="U150" i="24"/>
  <c r="R78" i="24"/>
  <c r="S102" i="24" s="1"/>
  <c r="W125" i="24"/>
  <c r="X149" i="24"/>
  <c r="U77" i="24"/>
  <c r="V101" i="24" s="1"/>
  <c r="K148" i="24"/>
  <c r="H76" i="24"/>
  <c r="I100" i="24" s="1"/>
  <c r="J124" i="24"/>
  <c r="Q146" i="24"/>
  <c r="P122" i="24"/>
  <c r="N74" i="24"/>
  <c r="O98" i="24" s="1"/>
  <c r="W71" i="24"/>
  <c r="X95" i="24" s="1"/>
  <c r="Y119" i="24"/>
  <c r="M142" i="24"/>
  <c r="L118" i="24"/>
  <c r="J70" i="24"/>
  <c r="K94" i="24" s="1"/>
  <c r="I142" i="24"/>
  <c r="P141" i="24"/>
  <c r="O117" i="24"/>
  <c r="M69" i="24"/>
  <c r="N93" i="24" s="1"/>
  <c r="N134" i="24"/>
  <c r="M110" i="24"/>
  <c r="K62" i="24"/>
  <c r="L86" i="24" s="1"/>
  <c r="Q66" i="24"/>
  <c r="S90" i="24" s="1"/>
  <c r="P114" i="24"/>
  <c r="U67" i="24"/>
  <c r="W91" i="24" s="1"/>
  <c r="T115" i="24"/>
  <c r="T139" i="24"/>
  <c r="U151" i="24"/>
  <c r="T127" i="24"/>
  <c r="R79" i="24"/>
  <c r="S103" i="24" s="1"/>
  <c r="N148" i="24"/>
  <c r="M124" i="24"/>
  <c r="K76" i="24"/>
  <c r="L100" i="24" s="1"/>
  <c r="S122" i="24"/>
  <c r="T146" i="24"/>
  <c r="Q74" i="24"/>
  <c r="R98" i="24" s="1"/>
  <c r="Y120" i="24"/>
  <c r="W72" i="24"/>
  <c r="X96" i="24" s="1"/>
  <c r="M143" i="24"/>
  <c r="L119" i="24"/>
  <c r="J71" i="24"/>
  <c r="K95" i="24" s="1"/>
  <c r="I143" i="24"/>
  <c r="S141" i="24"/>
  <c r="R117" i="24"/>
  <c r="P69" i="24"/>
  <c r="Q93" i="24" s="1"/>
  <c r="P140" i="24"/>
  <c r="O116" i="24"/>
  <c r="M68" i="24"/>
  <c r="N92" i="24" s="1"/>
  <c r="T66" i="24"/>
  <c r="V90" i="24" s="1"/>
  <c r="S114" i="24"/>
  <c r="S138" i="24"/>
  <c r="V64" i="24"/>
  <c r="X88" i="24" s="1"/>
  <c r="U112" i="24"/>
  <c r="U136" i="24"/>
  <c r="J141" i="24"/>
  <c r="I117" i="24"/>
  <c r="G69" i="24"/>
  <c r="H93" i="24" s="1"/>
  <c r="H117" i="24"/>
  <c r="N149" i="24"/>
  <c r="M125" i="24"/>
  <c r="K77" i="24"/>
  <c r="L101" i="24" s="1"/>
  <c r="T147" i="24"/>
  <c r="S123" i="24"/>
  <c r="Q75" i="24"/>
  <c r="R99" i="24" s="1"/>
  <c r="W146" i="24"/>
  <c r="T74" i="24"/>
  <c r="U98" i="24" s="1"/>
  <c r="V122" i="24"/>
  <c r="Y121" i="24"/>
  <c r="W73" i="24"/>
  <c r="X97" i="24" s="1"/>
  <c r="M144" i="24"/>
  <c r="L120" i="24"/>
  <c r="J72" i="24"/>
  <c r="K96" i="24" s="1"/>
  <c r="I144" i="24"/>
  <c r="P143" i="24"/>
  <c r="M71" i="24"/>
  <c r="N95" i="24" s="1"/>
  <c r="O119" i="24"/>
  <c r="S142" i="24"/>
  <c r="R118" i="24"/>
  <c r="P70" i="24"/>
  <c r="Q94" i="24" s="1"/>
  <c r="V141" i="24"/>
  <c r="U117" i="24"/>
  <c r="S69" i="24"/>
  <c r="T93" i="24" s="1"/>
  <c r="Y140" i="24"/>
  <c r="V68" i="24"/>
  <c r="W92" i="24" s="1"/>
  <c r="X116" i="24"/>
  <c r="T85" i="24"/>
  <c r="T181" i="24" s="1"/>
  <c r="S61" i="24"/>
  <c r="S180" i="24" s="1"/>
  <c r="M133" i="24"/>
  <c r="M183" i="24" s="1"/>
  <c r="K85" i="24"/>
  <c r="K181" i="24" s="1"/>
  <c r="L109" i="24"/>
  <c r="L182" i="24" s="1"/>
  <c r="J61" i="24"/>
  <c r="J180" i="24" s="1"/>
  <c r="N85" i="24"/>
  <c r="N181" i="24" s="1"/>
  <c r="M61" i="24"/>
  <c r="M180" i="24" s="1"/>
  <c r="Q85" i="24"/>
  <c r="Q181" i="24" s="1"/>
  <c r="P61" i="24"/>
  <c r="P180" i="24" s="1"/>
  <c r="Q64" i="24"/>
  <c r="S88" i="24" s="1"/>
  <c r="P112" i="24"/>
  <c r="K143" i="24"/>
  <c r="J119" i="24"/>
  <c r="H71" i="24"/>
  <c r="I95" i="24" s="1"/>
  <c r="U64" i="24"/>
  <c r="W88" i="24" s="1"/>
  <c r="T136" i="24"/>
  <c r="T112" i="24"/>
  <c r="Y126" i="24"/>
  <c r="W78" i="24"/>
  <c r="X102" i="24" s="1"/>
  <c r="S147" i="24"/>
  <c r="R123" i="24"/>
  <c r="P75" i="24"/>
  <c r="Q99" i="24" s="1"/>
  <c r="K120" i="24"/>
  <c r="L144" i="24"/>
  <c r="I72" i="24"/>
  <c r="J96" i="24" s="1"/>
  <c r="N142" i="24"/>
  <c r="M118" i="24"/>
  <c r="K70" i="24"/>
  <c r="L94" i="24" s="1"/>
  <c r="L65" i="24"/>
  <c r="N89" i="24" s="1"/>
  <c r="O137" i="24"/>
  <c r="N113" i="24"/>
  <c r="O151" i="24"/>
  <c r="L79" i="24"/>
  <c r="M103" i="24" s="1"/>
  <c r="N127" i="24"/>
  <c r="T144" i="24"/>
  <c r="Q72" i="24"/>
  <c r="R96" i="24" s="1"/>
  <c r="S120" i="24"/>
  <c r="M141" i="24"/>
  <c r="L117" i="24"/>
  <c r="J69" i="24"/>
  <c r="K93" i="24" s="1"/>
  <c r="I141" i="24"/>
  <c r="Y149" i="24"/>
  <c r="X125" i="24"/>
  <c r="V77" i="24"/>
  <c r="W101" i="24" s="1"/>
  <c r="X65" i="24"/>
  <c r="W137" i="24"/>
  <c r="W113" i="24"/>
  <c r="S124" i="24"/>
  <c r="T148" i="24"/>
  <c r="Q76" i="24"/>
  <c r="R100" i="24" s="1"/>
  <c r="M145" i="24"/>
  <c r="L121" i="24"/>
  <c r="J73" i="24"/>
  <c r="K97" i="24" s="1"/>
  <c r="I145" i="24"/>
  <c r="X117" i="24"/>
  <c r="Y141" i="24"/>
  <c r="V69" i="24"/>
  <c r="W93" i="24" s="1"/>
  <c r="W134" i="24"/>
  <c r="V110" i="24"/>
  <c r="T62" i="24"/>
  <c r="U86" i="24" s="1"/>
  <c r="Y114" i="24"/>
  <c r="Y138" i="24"/>
  <c r="J66" i="24"/>
  <c r="L90" i="24" s="1"/>
  <c r="M138" i="24"/>
  <c r="L114" i="24"/>
  <c r="K65" i="24"/>
  <c r="M89" i="24" s="1"/>
  <c r="N137" i="24"/>
  <c r="M113" i="24"/>
  <c r="L64" i="24"/>
  <c r="N88" i="24" s="1"/>
  <c r="O136" i="24"/>
  <c r="N112" i="24"/>
  <c r="J151" i="24"/>
  <c r="I127" i="24"/>
  <c r="H127" i="24"/>
  <c r="G79" i="24"/>
  <c r="H103" i="24" s="1"/>
  <c r="N151" i="24"/>
  <c r="M127" i="24"/>
  <c r="K79" i="24"/>
  <c r="L103" i="24" s="1"/>
  <c r="P126" i="24"/>
  <c r="Q150" i="24"/>
  <c r="N78" i="24"/>
  <c r="O102" i="24" s="1"/>
  <c r="S125" i="24"/>
  <c r="T149" i="24"/>
  <c r="Q77" i="24"/>
  <c r="R101" i="24" s="1"/>
  <c r="W148" i="24"/>
  <c r="V124" i="24"/>
  <c r="T76" i="24"/>
  <c r="U100" i="24" s="1"/>
  <c r="Y123" i="24"/>
  <c r="W75" i="24"/>
  <c r="X99" i="24" s="1"/>
  <c r="M146" i="24"/>
  <c r="L122" i="24"/>
  <c r="J74" i="24"/>
  <c r="K98" i="24" s="1"/>
  <c r="I146" i="24"/>
  <c r="P145" i="24"/>
  <c r="O121" i="24"/>
  <c r="M73" i="24"/>
  <c r="N97" i="24" s="1"/>
  <c r="S144" i="24"/>
  <c r="R120" i="24"/>
  <c r="P72" i="24"/>
  <c r="Q96" i="24" s="1"/>
  <c r="V143" i="24"/>
  <c r="U119" i="24"/>
  <c r="S71" i="24"/>
  <c r="T95" i="24" s="1"/>
  <c r="Y142" i="24"/>
  <c r="X118" i="24"/>
  <c r="V70" i="24"/>
  <c r="W94" i="24" s="1"/>
  <c r="L141" i="24"/>
  <c r="K117" i="24"/>
  <c r="I69" i="24"/>
  <c r="J93" i="24" s="1"/>
  <c r="N116" i="24"/>
  <c r="L68" i="24"/>
  <c r="M92" i="24" s="1"/>
  <c r="O140" i="24"/>
  <c r="Y110" i="24"/>
  <c r="W62" i="24"/>
  <c r="X86" i="24" s="1"/>
  <c r="I64" i="24"/>
  <c r="K88" i="24" s="1"/>
  <c r="L136" i="24"/>
  <c r="K112" i="24"/>
  <c r="M66" i="24"/>
  <c r="O90" i="24" s="1"/>
  <c r="P138" i="24"/>
  <c r="O114" i="24"/>
  <c r="Q67" i="24"/>
  <c r="S91" i="24" s="1"/>
  <c r="P115" i="24"/>
  <c r="J148" i="24"/>
  <c r="I124" i="24"/>
  <c r="H124" i="24"/>
  <c r="G76" i="24"/>
  <c r="H100" i="24" s="1"/>
  <c r="Q151" i="24"/>
  <c r="P127" i="24"/>
  <c r="N79" i="24"/>
  <c r="O103" i="24" s="1"/>
  <c r="S126" i="24"/>
  <c r="T150" i="24"/>
  <c r="Q78" i="24"/>
  <c r="R102" i="24" s="1"/>
  <c r="W149" i="24"/>
  <c r="V125" i="24"/>
  <c r="T77" i="24"/>
  <c r="U101" i="24" s="1"/>
  <c r="Y124" i="24"/>
  <c r="W76" i="24"/>
  <c r="X100" i="24" s="1"/>
  <c r="M147" i="24"/>
  <c r="L123" i="24"/>
  <c r="J75" i="24"/>
  <c r="K99" i="24" s="1"/>
  <c r="I147" i="24"/>
  <c r="O122" i="24"/>
  <c r="P146" i="24"/>
  <c r="M74" i="24"/>
  <c r="N98" i="24" s="1"/>
  <c r="S145" i="24"/>
  <c r="P73" i="24"/>
  <c r="Q97" i="24" s="1"/>
  <c r="R121" i="24"/>
  <c r="V144" i="24"/>
  <c r="U120" i="24"/>
  <c r="S72" i="24"/>
  <c r="T96" i="24" s="1"/>
  <c r="Y143" i="24"/>
  <c r="X119" i="24"/>
  <c r="V71" i="24"/>
  <c r="W95" i="24" s="1"/>
  <c r="K118" i="24"/>
  <c r="L142" i="24"/>
  <c r="I70" i="24"/>
  <c r="J94" i="24" s="1"/>
  <c r="O141" i="24"/>
  <c r="N117" i="24"/>
  <c r="L69" i="24"/>
  <c r="M93" i="24" s="1"/>
  <c r="R140" i="24"/>
  <c r="Q116" i="24"/>
  <c r="O68" i="24"/>
  <c r="P92" i="24" s="1"/>
  <c r="M134" i="24"/>
  <c r="L110" i="24"/>
  <c r="J62" i="24"/>
  <c r="K86" i="24" s="1"/>
  <c r="Q65" i="24"/>
  <c r="S89" i="24" s="1"/>
  <c r="P113" i="24"/>
  <c r="R64" i="24"/>
  <c r="T88" i="24" s="1"/>
  <c r="Q112" i="24"/>
  <c r="Q136" i="24"/>
  <c r="T67" i="24"/>
  <c r="V91" i="24" s="1"/>
  <c r="S139" i="24"/>
  <c r="S115" i="24"/>
  <c r="J145" i="24"/>
  <c r="I121" i="24"/>
  <c r="H121" i="24"/>
  <c r="G73" i="24"/>
  <c r="H97" i="24" s="1"/>
  <c r="S127" i="24"/>
  <c r="T151" i="24"/>
  <c r="Q79" i="24"/>
  <c r="R103" i="24" s="1"/>
  <c r="W150" i="24"/>
  <c r="V126" i="24"/>
  <c r="T78" i="24"/>
  <c r="U102" i="24" s="1"/>
  <c r="Y125" i="24"/>
  <c r="W77" i="24"/>
  <c r="X101" i="24" s="1"/>
  <c r="M148" i="24"/>
  <c r="L124" i="24"/>
  <c r="J76" i="24"/>
  <c r="K100" i="24" s="1"/>
  <c r="I148" i="24"/>
  <c r="O123" i="24"/>
  <c r="P147" i="24"/>
  <c r="M75" i="24"/>
  <c r="N99" i="24" s="1"/>
  <c r="S146" i="24"/>
  <c r="R122" i="24"/>
  <c r="P74" i="24"/>
  <c r="Q98" i="24" s="1"/>
  <c r="V145" i="24"/>
  <c r="U121" i="24"/>
  <c r="S73" i="24"/>
  <c r="T97" i="24" s="1"/>
  <c r="Y144" i="24"/>
  <c r="X120" i="24"/>
  <c r="V72" i="24"/>
  <c r="W96" i="24" s="1"/>
  <c r="K119" i="24"/>
  <c r="L143" i="24"/>
  <c r="I71" i="24"/>
  <c r="J95" i="24" s="1"/>
  <c r="N118" i="24"/>
  <c r="L70" i="24"/>
  <c r="M94" i="24" s="1"/>
  <c r="O142" i="24"/>
  <c r="R141" i="24"/>
  <c r="O69" i="24"/>
  <c r="P93" i="24" s="1"/>
  <c r="Q117" i="24"/>
  <c r="U140" i="24"/>
  <c r="R68" i="24"/>
  <c r="S92" i="24" s="1"/>
  <c r="T116" i="24"/>
  <c r="R146" i="24"/>
  <c r="O74" i="24"/>
  <c r="P98" i="24" s="1"/>
  <c r="Q122" i="24"/>
  <c r="J150" i="24"/>
  <c r="I126" i="24"/>
  <c r="H126" i="24"/>
  <c r="G78" i="24"/>
  <c r="H102" i="24" s="1"/>
  <c r="X144" i="24"/>
  <c r="W120" i="24"/>
  <c r="U72" i="24"/>
  <c r="V96" i="24" s="1"/>
  <c r="Q149" i="24"/>
  <c r="P125" i="24"/>
  <c r="N77" i="24"/>
  <c r="O101" i="24" s="1"/>
  <c r="O61" i="24"/>
  <c r="P85" i="24"/>
  <c r="P181" i="24" s="1"/>
  <c r="W85" i="24"/>
  <c r="W181" i="24" s="1"/>
  <c r="V61" i="24"/>
  <c r="L133" i="24"/>
  <c r="L183" i="24" s="1"/>
  <c r="J85" i="24"/>
  <c r="J181" i="24" s="1"/>
  <c r="K109" i="24"/>
  <c r="K182" i="24" s="1"/>
  <c r="I61" i="24"/>
  <c r="I180" i="24" s="1"/>
  <c r="N109" i="24"/>
  <c r="N182" i="24" s="1"/>
  <c r="O133" i="24"/>
  <c r="O183" i="24" s="1"/>
  <c r="M85" i="24"/>
  <c r="M181" i="24" s="1"/>
  <c r="L61" i="24"/>
  <c r="L180" i="24" s="1"/>
  <c r="V150" i="24"/>
  <c r="U126" i="24"/>
  <c r="S78" i="24"/>
  <c r="T102" i="24" s="1"/>
  <c r="O110" i="24"/>
  <c r="M62" i="24"/>
  <c r="N86" i="24" s="1"/>
  <c r="P134" i="24"/>
  <c r="W67" i="24"/>
  <c r="Y91" i="24" s="1"/>
  <c r="V115" i="24"/>
  <c r="V139" i="24"/>
  <c r="V146" i="24"/>
  <c r="U122" i="24"/>
  <c r="S74" i="24"/>
  <c r="T98" i="24" s="1"/>
  <c r="O143" i="24"/>
  <c r="N119" i="24"/>
  <c r="L71" i="24"/>
  <c r="M95" i="24" s="1"/>
  <c r="W110" i="24"/>
  <c r="X134" i="24"/>
  <c r="U62" i="24"/>
  <c r="V86" i="24" s="1"/>
  <c r="M64" i="24"/>
  <c r="O88" i="24" s="1"/>
  <c r="P136" i="24"/>
  <c r="O112" i="24"/>
  <c r="R150" i="24"/>
  <c r="Q126" i="24"/>
  <c r="O78" i="24"/>
  <c r="P102" i="24" s="1"/>
  <c r="K147" i="24"/>
  <c r="J123" i="24"/>
  <c r="H75" i="24"/>
  <c r="I99" i="24" s="1"/>
  <c r="W143" i="24"/>
  <c r="V119" i="24"/>
  <c r="T71" i="24"/>
  <c r="U95" i="24" s="1"/>
  <c r="O147" i="24"/>
  <c r="N123" i="24"/>
  <c r="L75" i="24"/>
  <c r="M99" i="24" s="1"/>
  <c r="P117" i="24"/>
  <c r="Q141" i="24"/>
  <c r="N69" i="24"/>
  <c r="O93" i="24" s="1"/>
  <c r="Y64" i="24"/>
  <c r="X136" i="24"/>
  <c r="X112" i="24"/>
  <c r="K151" i="24"/>
  <c r="J127" i="24"/>
  <c r="H79" i="24"/>
  <c r="I103" i="24" s="1"/>
  <c r="W147" i="24"/>
  <c r="V123" i="24"/>
  <c r="T75" i="24"/>
  <c r="U99" i="24" s="1"/>
  <c r="P144" i="24"/>
  <c r="O120" i="24"/>
  <c r="M72" i="24"/>
  <c r="N96" i="24" s="1"/>
  <c r="X140" i="24"/>
  <c r="W116" i="24"/>
  <c r="U68" i="24"/>
  <c r="V92" i="24" s="1"/>
  <c r="S134" i="24"/>
  <c r="P62" i="24"/>
  <c r="Q86" i="24" s="1"/>
  <c r="R110" i="24"/>
  <c r="V66" i="24"/>
  <c r="X90" i="24" s="1"/>
  <c r="U114" i="24"/>
  <c r="U138" i="24"/>
  <c r="W65" i="24"/>
  <c r="Y89" i="24" s="1"/>
  <c r="V113" i="24"/>
  <c r="V137" i="24"/>
  <c r="X64" i="24"/>
  <c r="W112" i="24"/>
  <c r="W136" i="24"/>
  <c r="Y139" i="24"/>
  <c r="Y115" i="24"/>
  <c r="J67" i="24"/>
  <c r="L91" i="24" s="1"/>
  <c r="M139" i="24"/>
  <c r="L115" i="24"/>
  <c r="Y127" i="24"/>
  <c r="W79" i="24"/>
  <c r="X103" i="24" s="1"/>
  <c r="L126" i="24"/>
  <c r="M150" i="24"/>
  <c r="J78" i="24"/>
  <c r="K102" i="24" s="1"/>
  <c r="I150" i="24"/>
  <c r="P149" i="24"/>
  <c r="O125" i="24"/>
  <c r="M77" i="24"/>
  <c r="N101" i="24" s="1"/>
  <c r="S148" i="24"/>
  <c r="R124" i="24"/>
  <c r="P76" i="24"/>
  <c r="Q100" i="24" s="1"/>
  <c r="V147" i="24"/>
  <c r="U123" i="24"/>
  <c r="S75" i="24"/>
  <c r="T99" i="24" s="1"/>
  <c r="Y146" i="24"/>
  <c r="X122" i="24"/>
  <c r="V74" i="24"/>
  <c r="W98" i="24" s="1"/>
  <c r="K121" i="24"/>
  <c r="L145" i="24"/>
  <c r="I73" i="24"/>
  <c r="J97" i="24" s="1"/>
  <c r="O144" i="24"/>
  <c r="L72" i="24"/>
  <c r="M96" i="24" s="1"/>
  <c r="N120" i="24"/>
  <c r="R143" i="24"/>
  <c r="Q119" i="24"/>
  <c r="O71" i="24"/>
  <c r="P95" i="24" s="1"/>
  <c r="U142" i="24"/>
  <c r="T118" i="24"/>
  <c r="R70" i="24"/>
  <c r="S94" i="24" s="1"/>
  <c r="X141" i="24"/>
  <c r="W117" i="24"/>
  <c r="U69" i="24"/>
  <c r="V93" i="24" s="1"/>
  <c r="K140" i="24"/>
  <c r="J116" i="24"/>
  <c r="H68" i="24"/>
  <c r="I92" i="24" s="1"/>
  <c r="V134" i="24"/>
  <c r="U110" i="24"/>
  <c r="S62" i="24"/>
  <c r="T86" i="24" s="1"/>
  <c r="Y66" i="24"/>
  <c r="X138" i="24"/>
  <c r="X114" i="24"/>
  <c r="Y137" i="24"/>
  <c r="Y113" i="24"/>
  <c r="J65" i="24"/>
  <c r="L89" i="24" s="1"/>
  <c r="M137" i="24"/>
  <c r="L113" i="24"/>
  <c r="K64" i="24"/>
  <c r="M88" i="24" s="1"/>
  <c r="N136" i="24"/>
  <c r="M112" i="24"/>
  <c r="M67" i="24"/>
  <c r="O91" i="24" s="1"/>
  <c r="P139" i="24"/>
  <c r="O115" i="24"/>
  <c r="M151" i="24"/>
  <c r="L127" i="24"/>
  <c r="J79" i="24"/>
  <c r="K103" i="24" s="1"/>
  <c r="I151" i="24"/>
  <c r="O126" i="24"/>
  <c r="P150" i="24"/>
  <c r="M78" i="24"/>
  <c r="N102" i="24" s="1"/>
  <c r="S149" i="24"/>
  <c r="R125" i="24"/>
  <c r="P77" i="24"/>
  <c r="Q101" i="24" s="1"/>
  <c r="V148" i="24"/>
  <c r="U124" i="24"/>
  <c r="S76" i="24"/>
  <c r="T100" i="24" s="1"/>
  <c r="Y147" i="24"/>
  <c r="X123" i="24"/>
  <c r="V75" i="24"/>
  <c r="W99" i="24" s="1"/>
  <c r="K122" i="24"/>
  <c r="L146" i="24"/>
  <c r="I74" i="24"/>
  <c r="J98" i="24" s="1"/>
  <c r="O145" i="24"/>
  <c r="N121" i="24"/>
  <c r="L73" i="24"/>
  <c r="M97" i="24" s="1"/>
  <c r="R144" i="24"/>
  <c r="Q120" i="24"/>
  <c r="O72" i="24"/>
  <c r="P96" i="24" s="1"/>
  <c r="U143" i="24"/>
  <c r="T119" i="24"/>
  <c r="R71" i="24"/>
  <c r="S95" i="24" s="1"/>
  <c r="W118" i="24"/>
  <c r="X142" i="24"/>
  <c r="U70" i="24"/>
  <c r="V94" i="24" s="1"/>
  <c r="K141" i="24"/>
  <c r="J117" i="24"/>
  <c r="H69" i="24"/>
  <c r="I93" i="24" s="1"/>
  <c r="N140" i="24"/>
  <c r="M116" i="24"/>
  <c r="K68" i="24"/>
  <c r="L92" i="24" s="1"/>
  <c r="Y134" i="24"/>
  <c r="X110" i="24"/>
  <c r="V62" i="24"/>
  <c r="W86" i="24" s="1"/>
  <c r="I65" i="24"/>
  <c r="K89" i="24" s="1"/>
  <c r="L137" i="24"/>
  <c r="K113" i="24"/>
  <c r="L66" i="24"/>
  <c r="N90" i="24" s="1"/>
  <c r="N114" i="24"/>
  <c r="O138" i="24"/>
  <c r="M65" i="24"/>
  <c r="O89" i="24" s="1"/>
  <c r="P137" i="24"/>
  <c r="O113" i="24"/>
  <c r="J149" i="24"/>
  <c r="I125" i="24"/>
  <c r="H125" i="24"/>
  <c r="G77" i="24"/>
  <c r="H101" i="24" s="1"/>
  <c r="O127" i="24"/>
  <c r="P151" i="24"/>
  <c r="M79" i="24"/>
  <c r="N103" i="24" s="1"/>
  <c r="S150" i="24"/>
  <c r="P78" i="24"/>
  <c r="Q102" i="24" s="1"/>
  <c r="R126" i="24"/>
  <c r="V149" i="24"/>
  <c r="U125" i="24"/>
  <c r="S77" i="24"/>
  <c r="T101" i="24" s="1"/>
  <c r="Y148" i="24"/>
  <c r="X124" i="24"/>
  <c r="V76" i="24"/>
  <c r="W100" i="24" s="1"/>
  <c r="L147" i="24"/>
  <c r="I75" i="24"/>
  <c r="J99" i="24" s="1"/>
  <c r="K123" i="24"/>
  <c r="O146" i="24"/>
  <c r="N122" i="24"/>
  <c r="L74" i="24"/>
  <c r="M98" i="24" s="1"/>
  <c r="R145" i="24"/>
  <c r="Q121" i="24"/>
  <c r="O73" i="24"/>
  <c r="P97" i="24" s="1"/>
  <c r="U144" i="24"/>
  <c r="T120" i="24"/>
  <c r="R72" i="24"/>
  <c r="S96" i="24" s="1"/>
  <c r="X143" i="24"/>
  <c r="W119" i="24"/>
  <c r="U71" i="24"/>
  <c r="V95" i="24" s="1"/>
  <c r="K142" i="24"/>
  <c r="H70" i="24"/>
  <c r="I94" i="24" s="1"/>
  <c r="J118" i="24"/>
  <c r="N141" i="24"/>
  <c r="M117" i="24"/>
  <c r="K69" i="24"/>
  <c r="L93" i="24" s="1"/>
  <c r="Q140" i="24"/>
  <c r="N68" i="24"/>
  <c r="O92" i="24" s="1"/>
  <c r="P116" i="24"/>
  <c r="T65" i="24"/>
  <c r="V89" i="24" s="1"/>
  <c r="S137" i="24"/>
  <c r="S113" i="24"/>
  <c r="U141" i="24"/>
  <c r="T117" i="24"/>
  <c r="R69" i="24"/>
  <c r="S93" i="24" s="1"/>
  <c r="X148" i="24"/>
  <c r="W124" i="24"/>
  <c r="U76" i="24"/>
  <c r="V100" i="24" s="1"/>
  <c r="S151" i="24"/>
  <c r="R127" i="24"/>
  <c r="P79" i="24"/>
  <c r="Q103" i="24" s="1"/>
  <c r="K134" i="24"/>
  <c r="H62" i="24"/>
  <c r="I86" i="24" s="1"/>
  <c r="J110" i="24"/>
  <c r="F61" i="24"/>
  <c r="G85" i="24"/>
  <c r="G104" i="24" s="1"/>
  <c r="G105" i="24" s="1"/>
  <c r="H109" i="24"/>
  <c r="I133" i="24"/>
  <c r="M109" i="24"/>
  <c r="M182" i="24" s="1"/>
  <c r="N133" i="24"/>
  <c r="N183" i="24" s="1"/>
  <c r="L85" i="24"/>
  <c r="L181" i="24" s="1"/>
  <c r="K61" i="24"/>
  <c r="K180" i="24" s="1"/>
  <c r="S85" i="24"/>
  <c r="S181" i="24" s="1"/>
  <c r="R61" i="24"/>
  <c r="R180" i="24" s="1"/>
  <c r="V85" i="24"/>
  <c r="V181" i="24" s="1"/>
  <c r="U61" i="24"/>
  <c r="U180" i="24" s="1"/>
  <c r="Y85" i="24"/>
  <c r="Y181" i="24" s="1"/>
  <c r="X61" i="24"/>
  <c r="X180" i="24" s="1"/>
  <c r="J109" i="24"/>
  <c r="J182" i="24" s="1"/>
  <c r="K133" i="24"/>
  <c r="K183" i="24" s="1"/>
  <c r="I85" i="24"/>
  <c r="I181" i="24" s="1"/>
  <c r="H61" i="24"/>
  <c r="H180" i="24" s="1"/>
  <c r="S66" i="24"/>
  <c r="U90" i="24" s="1"/>
  <c r="R138" i="24"/>
  <c r="R114" i="24"/>
  <c r="J142" i="24"/>
  <c r="I118" i="24"/>
  <c r="H118" i="24"/>
  <c r="G70" i="24"/>
  <c r="H94" i="24" s="1"/>
  <c r="M149" i="24"/>
  <c r="L125" i="24"/>
  <c r="J77" i="24"/>
  <c r="K101" i="24" s="1"/>
  <c r="I149" i="24"/>
  <c r="Y145" i="24"/>
  <c r="X121" i="24"/>
  <c r="V73" i="24"/>
  <c r="W97" i="24" s="1"/>
  <c r="R142" i="24"/>
  <c r="Q118" i="24"/>
  <c r="O70" i="24"/>
  <c r="P94" i="24" s="1"/>
  <c r="J146" i="24"/>
  <c r="H122" i="24"/>
  <c r="I122" i="24"/>
  <c r="G74" i="24"/>
  <c r="H98" i="24" s="1"/>
  <c r="I66" i="24"/>
  <c r="K90" i="24" s="1"/>
  <c r="L138" i="24"/>
  <c r="K114" i="24"/>
  <c r="U149" i="24"/>
  <c r="T125" i="24"/>
  <c r="R77" i="24"/>
  <c r="S101" i="24" s="1"/>
  <c r="N146" i="24"/>
  <c r="M122" i="24"/>
  <c r="K74" i="24"/>
  <c r="L98" i="24" s="1"/>
  <c r="Y118" i="24"/>
  <c r="W70" i="24"/>
  <c r="X94" i="24" s="1"/>
  <c r="S67" i="24"/>
  <c r="U91" i="24" s="1"/>
  <c r="R115" i="24"/>
  <c r="R139" i="24"/>
  <c r="U145" i="24"/>
  <c r="T121" i="24"/>
  <c r="R73" i="24"/>
  <c r="S97" i="24" s="1"/>
  <c r="T134" i="24"/>
  <c r="S110" i="24"/>
  <c r="Q62" i="24"/>
  <c r="R86" i="24" s="1"/>
  <c r="I67" i="24"/>
  <c r="K91" i="24" s="1"/>
  <c r="L139" i="24"/>
  <c r="K115" i="24"/>
  <c r="N150" i="24"/>
  <c r="M126" i="24"/>
  <c r="K78" i="24"/>
  <c r="L102" i="24" s="1"/>
  <c r="Y122" i="24"/>
  <c r="W74" i="24"/>
  <c r="X98" i="24" s="1"/>
  <c r="S143" i="24"/>
  <c r="R119" i="24"/>
  <c r="P71" i="24"/>
  <c r="Q95" i="24" s="1"/>
  <c r="L140" i="24"/>
  <c r="K116" i="24"/>
  <c r="I68" i="24"/>
  <c r="J92" i="24" s="1"/>
  <c r="O134" i="24"/>
  <c r="N110" i="24"/>
  <c r="L62" i="24"/>
  <c r="M86" i="24" s="1"/>
  <c r="R66" i="24"/>
  <c r="T90" i="24" s="1"/>
  <c r="Q114" i="24"/>
  <c r="Q138" i="24"/>
  <c r="S65" i="24"/>
  <c r="U89" i="24" s="1"/>
  <c r="R113" i="24"/>
  <c r="R137" i="24"/>
  <c r="T64" i="24"/>
  <c r="V88" i="24" s="1"/>
  <c r="S112" i="24"/>
  <c r="S136" i="24"/>
  <c r="V67" i="24"/>
  <c r="X91" i="24" s="1"/>
  <c r="U115" i="24"/>
  <c r="U139" i="24"/>
  <c r="J143" i="24"/>
  <c r="H119" i="24"/>
  <c r="G71" i="24"/>
  <c r="H95" i="24" s="1"/>
  <c r="I119" i="24"/>
  <c r="V151" i="24"/>
  <c r="U127" i="24"/>
  <c r="S79" i="24"/>
  <c r="T103" i="24" s="1"/>
  <c r="X126" i="24"/>
  <c r="Y150" i="24"/>
  <c r="V78" i="24"/>
  <c r="W102" i="24" s="1"/>
  <c r="K125" i="24"/>
  <c r="L149" i="24"/>
  <c r="I77" i="24"/>
  <c r="J101" i="24" s="1"/>
  <c r="O148" i="24"/>
  <c r="N124" i="24"/>
  <c r="L76" i="24"/>
  <c r="M100" i="24" s="1"/>
  <c r="R147" i="24"/>
  <c r="Q123" i="24"/>
  <c r="O75" i="24"/>
  <c r="P99" i="24" s="1"/>
  <c r="U146" i="24"/>
  <c r="T122" i="24"/>
  <c r="R74" i="24"/>
  <c r="S98" i="24" s="1"/>
  <c r="X145" i="24"/>
  <c r="U73" i="24"/>
  <c r="V97" i="24" s="1"/>
  <c r="W121" i="24"/>
  <c r="K144" i="24"/>
  <c r="J120" i="24"/>
  <c r="H72" i="24"/>
  <c r="I96" i="24" s="1"/>
  <c r="N143" i="24"/>
  <c r="M119" i="24"/>
  <c r="K71" i="24"/>
  <c r="L95" i="24" s="1"/>
  <c r="Q142" i="24"/>
  <c r="P118" i="24"/>
  <c r="N70" i="24"/>
  <c r="O94" i="24" s="1"/>
  <c r="S117" i="24"/>
  <c r="T141" i="24"/>
  <c r="Q69" i="24"/>
  <c r="R93" i="24" s="1"/>
  <c r="W140" i="24"/>
  <c r="V116" i="24"/>
  <c r="T68" i="24"/>
  <c r="U92" i="24" s="1"/>
  <c r="S116" i="24"/>
  <c r="T140" i="24"/>
  <c r="Q68" i="24"/>
  <c r="R92" i="24" s="1"/>
  <c r="R134" i="24"/>
  <c r="Q110" i="24"/>
  <c r="O62" i="24"/>
  <c r="P86" i="24" s="1"/>
  <c r="U66" i="24"/>
  <c r="W90" i="24" s="1"/>
  <c r="T138" i="24"/>
  <c r="T114" i="24"/>
  <c r="V65" i="24"/>
  <c r="X89" i="24" s="1"/>
  <c r="U137" i="24"/>
  <c r="U113" i="24"/>
  <c r="W64" i="24"/>
  <c r="Y88" i="24" s="1"/>
  <c r="V136" i="24"/>
  <c r="V112" i="24"/>
  <c r="Y67" i="24"/>
  <c r="X115" i="24"/>
  <c r="X139" i="24"/>
  <c r="J140" i="24"/>
  <c r="I116" i="24"/>
  <c r="H116" i="24"/>
  <c r="G68" i="24"/>
  <c r="H92" i="24" s="1"/>
  <c r="Y151" i="24"/>
  <c r="X127" i="24"/>
  <c r="V79" i="24"/>
  <c r="W103" i="24" s="1"/>
  <c r="K126" i="24"/>
  <c r="L150" i="24"/>
  <c r="I78" i="24"/>
  <c r="J102" i="24" s="1"/>
  <c r="O149" i="24"/>
  <c r="L77" i="24"/>
  <c r="M101" i="24" s="1"/>
  <c r="N125" i="24"/>
  <c r="R148" i="24"/>
  <c r="Q124" i="24"/>
  <c r="O76" i="24"/>
  <c r="P100" i="24" s="1"/>
  <c r="U147" i="24"/>
  <c r="T123" i="24"/>
  <c r="R75" i="24"/>
  <c r="S99" i="24" s="1"/>
  <c r="W122" i="24"/>
  <c r="X146" i="24"/>
  <c r="U74" i="24"/>
  <c r="V98" i="24" s="1"/>
  <c r="K145" i="24"/>
  <c r="J121" i="24"/>
  <c r="H73" i="24"/>
  <c r="I97" i="24" s="1"/>
  <c r="N144" i="24"/>
  <c r="M120" i="24"/>
  <c r="K72" i="24"/>
  <c r="L96" i="24" s="1"/>
  <c r="Q143" i="24"/>
  <c r="P119" i="24"/>
  <c r="N71" i="24"/>
  <c r="O95" i="24" s="1"/>
  <c r="S118" i="24"/>
  <c r="T142" i="24"/>
  <c r="Q70" i="24"/>
  <c r="R94" i="24" s="1"/>
  <c r="W141" i="24"/>
  <c r="T69" i="24"/>
  <c r="U93" i="24" s="1"/>
  <c r="V117" i="24"/>
  <c r="Y116" i="24"/>
  <c r="W68" i="24"/>
  <c r="X92" i="24" s="1"/>
  <c r="U134" i="24"/>
  <c r="T110" i="24"/>
  <c r="R62" i="24"/>
  <c r="S86" i="24" s="1"/>
  <c r="X66" i="24"/>
  <c r="W114" i="24"/>
  <c r="W138" i="24"/>
  <c r="Y65" i="24"/>
  <c r="X113" i="24"/>
  <c r="X137" i="24"/>
  <c r="Y112" i="24"/>
  <c r="Y136" i="24"/>
  <c r="J64" i="24"/>
  <c r="L88" i="24" s="1"/>
  <c r="M136" i="24"/>
  <c r="L112" i="24"/>
  <c r="L67" i="24"/>
  <c r="N91" i="24" s="1"/>
  <c r="O139" i="24"/>
  <c r="N115" i="24"/>
  <c r="K127" i="24"/>
  <c r="L151" i="24"/>
  <c r="I79" i="24"/>
  <c r="J103" i="24" s="1"/>
  <c r="O150" i="24"/>
  <c r="N126" i="24"/>
  <c r="L78" i="24"/>
  <c r="M102" i="24" s="1"/>
  <c r="R149" i="24"/>
  <c r="Q125" i="24"/>
  <c r="O77" i="24"/>
  <c r="P101" i="24" s="1"/>
  <c r="U148" i="24"/>
  <c r="T124" i="24"/>
  <c r="R76" i="24"/>
  <c r="S100" i="24" s="1"/>
  <c r="X147" i="24"/>
  <c r="W123" i="24"/>
  <c r="U75" i="24"/>
  <c r="V99" i="24" s="1"/>
  <c r="K146" i="24"/>
  <c r="J122" i="24"/>
  <c r="H74" i="24"/>
  <c r="I98" i="24" s="1"/>
  <c r="N145" i="24"/>
  <c r="M121" i="24"/>
  <c r="K73" i="24"/>
  <c r="L97" i="24" s="1"/>
  <c r="Q144" i="24"/>
  <c r="P120" i="24"/>
  <c r="N72" i="24"/>
  <c r="O96" i="24" s="1"/>
  <c r="S119" i="24"/>
  <c r="T143" i="24"/>
  <c r="Q71" i="24"/>
  <c r="R95" i="24" s="1"/>
  <c r="W142" i="24"/>
  <c r="V118" i="24"/>
  <c r="T70" i="24"/>
  <c r="U94" i="24" s="1"/>
  <c r="Y117" i="24"/>
  <c r="W69" i="24"/>
  <c r="X93" i="24" s="1"/>
  <c r="M140" i="24"/>
  <c r="L116" i="24"/>
  <c r="J68" i="24"/>
  <c r="K92" i="24" s="1"/>
  <c r="I140" i="24"/>
  <c r="D43" i="24"/>
  <c r="C171" i="24"/>
  <c r="F203" i="24"/>
  <c r="C162" i="24"/>
  <c r="V180" i="24"/>
  <c r="H203" i="24"/>
  <c r="C173" i="24"/>
  <c r="C164" i="24"/>
  <c r="C182" i="24"/>
  <c r="O180" i="24"/>
  <c r="Y180" i="24"/>
  <c r="I203" i="24"/>
  <c r="C183" i="24"/>
  <c r="C165" i="24"/>
  <c r="C174" i="24"/>
  <c r="C181" i="24"/>
  <c r="G203" i="24"/>
  <c r="C163" i="24"/>
  <c r="C172" i="24"/>
  <c r="D45" i="24"/>
  <c r="E209" i="24" s="1"/>
  <c r="D55" i="24"/>
  <c r="D54" i="24"/>
  <c r="D53" i="24"/>
  <c r="D52" i="24"/>
  <c r="D51" i="24"/>
  <c r="D50" i="24"/>
  <c r="E214" i="24" s="1"/>
  <c r="D49" i="24"/>
  <c r="E213" i="24" s="1"/>
  <c r="D48" i="24"/>
  <c r="E212" i="24" s="1"/>
  <c r="D47" i="24"/>
  <c r="E211" i="24" s="1"/>
  <c r="D46" i="24"/>
  <c r="E210" i="24" s="1"/>
  <c r="D44" i="24"/>
  <c r="E208" i="24" s="1"/>
  <c r="D40" i="24"/>
  <c r="D42" i="24"/>
  <c r="D41" i="24"/>
  <c r="O179" i="24"/>
  <c r="O56" i="24"/>
  <c r="K179" i="24"/>
  <c r="K56" i="24"/>
  <c r="G56" i="24"/>
  <c r="G179" i="24"/>
  <c r="R179" i="24"/>
  <c r="R56" i="24"/>
  <c r="Y179" i="24"/>
  <c r="Y56" i="24"/>
  <c r="I179" i="24"/>
  <c r="I56" i="24"/>
  <c r="L179" i="24"/>
  <c r="L56" i="24"/>
  <c r="R175" i="17"/>
  <c r="R177" i="17" s="1"/>
  <c r="R178" i="17" s="1"/>
  <c r="N56" i="24"/>
  <c r="N179" i="24"/>
  <c r="U179" i="24"/>
  <c r="U56" i="24"/>
  <c r="X56" i="24"/>
  <c r="X179" i="24"/>
  <c r="H56" i="24"/>
  <c r="H179" i="24"/>
  <c r="J179" i="24"/>
  <c r="J56" i="24"/>
  <c r="Q179" i="24"/>
  <c r="Q56" i="24"/>
  <c r="T179" i="24"/>
  <c r="T56" i="24"/>
  <c r="W56" i="24"/>
  <c r="W179" i="24"/>
  <c r="V179" i="24"/>
  <c r="V56" i="24"/>
  <c r="F179" i="24"/>
  <c r="M179" i="24"/>
  <c r="M56" i="24"/>
  <c r="P56" i="24"/>
  <c r="P179" i="24"/>
  <c r="S179" i="24"/>
  <c r="S56" i="24"/>
  <c r="E179" i="24"/>
  <c r="E56" i="24"/>
  <c r="D37" i="24"/>
  <c r="E205" i="24" s="1"/>
  <c r="F453" i="20"/>
  <c r="F454" i="20" s="1"/>
  <c r="F443" i="20" s="1"/>
  <c r="I242" i="12"/>
  <c r="Q231" i="12"/>
  <c r="Q193" i="12" s="1"/>
  <c r="Q194" i="12" s="1"/>
  <c r="I231" i="12"/>
  <c r="I193" i="12" s="1"/>
  <c r="I194" i="12" s="1"/>
  <c r="W231" i="12"/>
  <c r="W193" i="12" s="1"/>
  <c r="W194" i="12" s="1"/>
  <c r="O231" i="12"/>
  <c r="O193" i="12" s="1"/>
  <c r="O194" i="12" s="1"/>
  <c r="G231" i="12"/>
  <c r="G193" i="12" s="1"/>
  <c r="G194" i="12" s="1"/>
  <c r="Y242" i="12"/>
  <c r="U231" i="12"/>
  <c r="U193" i="12" s="1"/>
  <c r="U194" i="12" s="1"/>
  <c r="M231" i="12"/>
  <c r="M193" i="12" s="1"/>
  <c r="M194" i="12" s="1"/>
  <c r="E231" i="12"/>
  <c r="E193" i="12" s="1"/>
  <c r="E194" i="12" s="1"/>
  <c r="Q242" i="12"/>
  <c r="S231" i="12"/>
  <c r="S193" i="12" s="1"/>
  <c r="S194" i="12" s="1"/>
  <c r="K231" i="12"/>
  <c r="K193" i="12" s="1"/>
  <c r="K194" i="12" s="1"/>
  <c r="V242" i="12"/>
  <c r="F242" i="12"/>
  <c r="L231" i="12"/>
  <c r="L193" i="12" s="1"/>
  <c r="L194" i="12" s="1"/>
  <c r="P242" i="12"/>
  <c r="R231" i="12"/>
  <c r="R193" i="12" s="1"/>
  <c r="R194" i="12" s="1"/>
  <c r="W242" i="12"/>
  <c r="G242" i="12"/>
  <c r="U242" i="12"/>
  <c r="X231" i="12"/>
  <c r="X193" i="12" s="1"/>
  <c r="X194" i="12" s="1"/>
  <c r="H231" i="12"/>
  <c r="H193" i="12" s="1"/>
  <c r="H194" i="12" s="1"/>
  <c r="N231" i="12"/>
  <c r="N193" i="12" s="1"/>
  <c r="N194" i="12" s="1"/>
  <c r="E241" i="12"/>
  <c r="J231" i="12"/>
  <c r="J193" i="12" s="1"/>
  <c r="J194" i="12" s="1"/>
  <c r="J242" i="12"/>
  <c r="P231" i="12"/>
  <c r="P193" i="12" s="1"/>
  <c r="P194" i="12" s="1"/>
  <c r="T242" i="12"/>
  <c r="V231" i="12"/>
  <c r="V193" i="12" s="1"/>
  <c r="V194" i="12" s="1"/>
  <c r="F231" i="12"/>
  <c r="F193" i="12" s="1"/>
  <c r="F194" i="12" s="1"/>
  <c r="K242" i="12"/>
  <c r="E242" i="12"/>
  <c r="R242" i="12"/>
  <c r="L242" i="12"/>
  <c r="S242" i="12"/>
  <c r="M242" i="12"/>
  <c r="N242" i="12"/>
  <c r="T231" i="12"/>
  <c r="T193" i="12" s="1"/>
  <c r="T194" i="12" s="1"/>
  <c r="X242" i="12"/>
  <c r="H242" i="12"/>
  <c r="O242" i="12"/>
  <c r="Y231" i="12"/>
  <c r="Y193" i="12" s="1"/>
  <c r="Y194" i="12" s="1"/>
  <c r="G453" i="20"/>
  <c r="E228" i="20"/>
  <c r="E217" i="20" s="1"/>
  <c r="F227" i="20"/>
  <c r="V436" i="17"/>
  <c r="V201" i="17" s="1"/>
  <c r="T422" i="17"/>
  <c r="T199" i="17" s="1"/>
  <c r="U281" i="17"/>
  <c r="U80" i="17" s="1"/>
  <c r="U237" i="17"/>
  <c r="U49" i="17" s="1"/>
  <c r="R260" i="17"/>
  <c r="R77" i="17" s="1"/>
  <c r="R85" i="17" s="1"/>
  <c r="R87" i="17" s="1"/>
  <c r="R88" i="17" s="1"/>
  <c r="U318" i="17"/>
  <c r="U110" i="17" s="1"/>
  <c r="V251" i="17"/>
  <c r="V51" i="17" s="1"/>
  <c r="V325" i="17"/>
  <c r="V111" i="17" s="1"/>
  <c r="V288" i="17"/>
  <c r="V81" i="17" s="1"/>
  <c r="V399" i="17"/>
  <c r="V171" i="17" s="1"/>
  <c r="V353" i="17"/>
  <c r="S266" i="17"/>
  <c r="S268" i="17" s="1"/>
  <c r="U273" i="17"/>
  <c r="U275" i="17" s="1"/>
  <c r="V362" i="17"/>
  <c r="V141" i="17" s="1"/>
  <c r="S340" i="17"/>
  <c r="S342" i="17" s="1"/>
  <c r="V235" i="17"/>
  <c r="U420" i="17"/>
  <c r="W434" i="17"/>
  <c r="T384" i="17"/>
  <c r="T386" i="17" s="1"/>
  <c r="V392" i="17"/>
  <c r="V170" i="17" s="1"/>
  <c r="S230" i="17"/>
  <c r="S48" i="17" s="1"/>
  <c r="S370" i="17"/>
  <c r="S372" i="17" s="1"/>
  <c r="V428" i="17"/>
  <c r="V430" i="17" s="1"/>
  <c r="R297" i="17"/>
  <c r="R107" i="17" s="1"/>
  <c r="R115" i="17" s="1"/>
  <c r="R117" i="17" s="1"/>
  <c r="R118" i="17" s="1"/>
  <c r="V316" i="17"/>
  <c r="W323" i="17"/>
  <c r="R408" i="17"/>
  <c r="R197" i="17" s="1"/>
  <c r="R205" i="17" s="1"/>
  <c r="R207" i="17" s="1"/>
  <c r="R208" i="17" s="1"/>
  <c r="S377" i="17"/>
  <c r="S379" i="17" s="1"/>
  <c r="U355" i="17"/>
  <c r="U140" i="17" s="1"/>
  <c r="W286" i="17"/>
  <c r="S295" i="17"/>
  <c r="W397" i="17"/>
  <c r="S406" i="17"/>
  <c r="V346" i="17"/>
  <c r="U348" i="17"/>
  <c r="U139" i="17" s="1"/>
  <c r="W360" i="17"/>
  <c r="V279" i="17"/>
  <c r="S258" i="17"/>
  <c r="R333" i="17"/>
  <c r="R335" i="17" s="1"/>
  <c r="T414" i="17"/>
  <c r="T416" i="17" s="1"/>
  <c r="W390" i="17"/>
  <c r="U243" i="17"/>
  <c r="U245" i="17" s="1"/>
  <c r="T228" i="17"/>
  <c r="R222" i="17"/>
  <c r="R224" i="17" s="1"/>
  <c r="T303" i="17"/>
  <c r="T305" i="17" s="1"/>
  <c r="U310" i="17"/>
  <c r="U312" i="17" s="1"/>
  <c r="W249" i="17"/>
  <c r="D139" i="24" l="1"/>
  <c r="D115" i="24"/>
  <c r="D91" i="24"/>
  <c r="D67" i="24"/>
  <c r="D86" i="24"/>
  <c r="G206" i="24" s="1"/>
  <c r="D90" i="24"/>
  <c r="D89" i="24"/>
  <c r="D88" i="24"/>
  <c r="D65" i="24"/>
  <c r="D77" i="24"/>
  <c r="D117" i="24"/>
  <c r="H209" i="24" s="1"/>
  <c r="M80" i="24"/>
  <c r="M162" i="24" s="1"/>
  <c r="S128" i="24"/>
  <c r="Y80" i="24"/>
  <c r="Y81" i="24" s="1"/>
  <c r="Y171" i="24" s="1"/>
  <c r="K80" i="24"/>
  <c r="K81" i="24" s="1"/>
  <c r="K171" i="24" s="1"/>
  <c r="D75" i="24"/>
  <c r="D68" i="24"/>
  <c r="F208" i="24" s="1"/>
  <c r="Q80" i="24"/>
  <c r="Q162" i="24" s="1"/>
  <c r="U80" i="24"/>
  <c r="U81" i="24" s="1"/>
  <c r="U171" i="24" s="1"/>
  <c r="D70" i="24"/>
  <c r="F210" i="24" s="1"/>
  <c r="S80" i="24"/>
  <c r="S81" i="24" s="1"/>
  <c r="S171" i="24" s="1"/>
  <c r="R80" i="24"/>
  <c r="R162" i="24" s="1"/>
  <c r="D79" i="24"/>
  <c r="X80" i="24"/>
  <c r="X81" i="24" s="1"/>
  <c r="X171" i="24" s="1"/>
  <c r="D78" i="24"/>
  <c r="W80" i="24"/>
  <c r="W81" i="24" s="1"/>
  <c r="W171" i="24" s="1"/>
  <c r="D66" i="24"/>
  <c r="D71" i="24"/>
  <c r="F211" i="24" s="1"/>
  <c r="I80" i="24"/>
  <c r="I81" i="24" s="1"/>
  <c r="I171" i="24" s="1"/>
  <c r="D74" i="24"/>
  <c r="F214" i="24" s="1"/>
  <c r="D62" i="24"/>
  <c r="F206" i="24" s="1"/>
  <c r="V80" i="24"/>
  <c r="V81" i="24" s="1"/>
  <c r="V171" i="24" s="1"/>
  <c r="D73" i="24"/>
  <c r="F213" i="24" s="1"/>
  <c r="P80" i="24"/>
  <c r="P162" i="24" s="1"/>
  <c r="D72" i="24"/>
  <c r="F212" i="24" s="1"/>
  <c r="D76" i="24"/>
  <c r="O80" i="24"/>
  <c r="O81" i="24" s="1"/>
  <c r="O171" i="24" s="1"/>
  <c r="T80" i="24"/>
  <c r="T162" i="24" s="1"/>
  <c r="H80" i="24"/>
  <c r="H162" i="24" s="1"/>
  <c r="D64" i="24"/>
  <c r="N80" i="24"/>
  <c r="N81" i="24" s="1"/>
  <c r="N171" i="24" s="1"/>
  <c r="K152" i="24"/>
  <c r="D146" i="24"/>
  <c r="I214" i="24" s="1"/>
  <c r="T104" i="24"/>
  <c r="V104" i="24"/>
  <c r="L80" i="24"/>
  <c r="L162" i="24" s="1"/>
  <c r="D69" i="24"/>
  <c r="F209" i="24" s="1"/>
  <c r="D116" i="24"/>
  <c r="H208" i="24" s="1"/>
  <c r="D140" i="24"/>
  <c r="I208" i="24" s="1"/>
  <c r="D110" i="24"/>
  <c r="H206" i="24" s="1"/>
  <c r="R152" i="24"/>
  <c r="O104" i="24"/>
  <c r="Q104" i="24"/>
  <c r="Q128" i="24"/>
  <c r="Q129" i="24" s="1"/>
  <c r="V128" i="24"/>
  <c r="V129" i="24" s="1"/>
  <c r="O128" i="24"/>
  <c r="O129" i="24" s="1"/>
  <c r="J80" i="24"/>
  <c r="J162" i="24" s="1"/>
  <c r="D121" i="24"/>
  <c r="H213" i="24" s="1"/>
  <c r="X104" i="24"/>
  <c r="I104" i="24"/>
  <c r="Y104" i="24"/>
  <c r="J104" i="24"/>
  <c r="M128" i="24"/>
  <c r="M129" i="24" s="1"/>
  <c r="L152" i="24"/>
  <c r="Y152" i="24"/>
  <c r="K128" i="24"/>
  <c r="K129" i="24" s="1"/>
  <c r="L104" i="24"/>
  <c r="M104" i="24"/>
  <c r="N104" i="24"/>
  <c r="D137" i="24"/>
  <c r="D134" i="24"/>
  <c r="I206" i="24" s="1"/>
  <c r="D142" i="24"/>
  <c r="I210" i="24" s="1"/>
  <c r="D114" i="24"/>
  <c r="D103" i="24"/>
  <c r="P128" i="24"/>
  <c r="P129" i="24" s="1"/>
  <c r="D141" i="24"/>
  <c r="I209" i="24" s="1"/>
  <c r="D145" i="24"/>
  <c r="I213" i="24" s="1"/>
  <c r="D149" i="24"/>
  <c r="D97" i="24"/>
  <c r="G213" i="24" s="1"/>
  <c r="D122" i="24"/>
  <c r="H214" i="24" s="1"/>
  <c r="O152" i="24"/>
  <c r="N152" i="24"/>
  <c r="D113" i="24"/>
  <c r="T128" i="24"/>
  <c r="T129" i="24" s="1"/>
  <c r="D96" i="24"/>
  <c r="G212" i="24" s="1"/>
  <c r="X128" i="24"/>
  <c r="X129" i="24" s="1"/>
  <c r="R128" i="24"/>
  <c r="R129" i="24" s="1"/>
  <c r="D102" i="24"/>
  <c r="S104" i="24"/>
  <c r="U104" i="24"/>
  <c r="P152" i="24"/>
  <c r="D118" i="24"/>
  <c r="H210" i="24" s="1"/>
  <c r="D150" i="24"/>
  <c r="D126" i="24"/>
  <c r="T152" i="24"/>
  <c r="D99" i="24"/>
  <c r="D148" i="24"/>
  <c r="W104" i="24"/>
  <c r="M152" i="24"/>
  <c r="Y128" i="24"/>
  <c r="Y129" i="24" s="1"/>
  <c r="X152" i="24"/>
  <c r="K104" i="24"/>
  <c r="D136" i="24"/>
  <c r="P104" i="24"/>
  <c r="R104" i="24"/>
  <c r="D95" i="24"/>
  <c r="G211" i="24" s="1"/>
  <c r="D127" i="24"/>
  <c r="D93" i="24"/>
  <c r="G209" i="24" s="1"/>
  <c r="D101" i="24"/>
  <c r="U128" i="24"/>
  <c r="U129" i="24" s="1"/>
  <c r="D119" i="24"/>
  <c r="H211" i="24" s="1"/>
  <c r="N128" i="24"/>
  <c r="N129" i="24" s="1"/>
  <c r="D143" i="24"/>
  <c r="I211" i="24" s="1"/>
  <c r="D125" i="24"/>
  <c r="W128" i="24"/>
  <c r="W129" i="24" s="1"/>
  <c r="D144" i="24"/>
  <c r="I212" i="24" s="1"/>
  <c r="D100" i="24"/>
  <c r="D92" i="24"/>
  <c r="G208" i="24" s="1"/>
  <c r="S152" i="24"/>
  <c r="L128" i="24"/>
  <c r="L129" i="24" s="1"/>
  <c r="D94" i="24"/>
  <c r="G210" i="24" s="1"/>
  <c r="D123" i="24"/>
  <c r="D147" i="24"/>
  <c r="J128" i="24"/>
  <c r="J129" i="24" s="1"/>
  <c r="Q152" i="24"/>
  <c r="D112" i="24"/>
  <c r="V152" i="24"/>
  <c r="D124" i="24"/>
  <c r="U152" i="24"/>
  <c r="D98" i="24"/>
  <c r="G214" i="24" s="1"/>
  <c r="D151" i="24"/>
  <c r="D120" i="24"/>
  <c r="H212" i="24" s="1"/>
  <c r="D138" i="24"/>
  <c r="W152" i="24"/>
  <c r="H181" i="24"/>
  <c r="H104" i="24"/>
  <c r="J183" i="24"/>
  <c r="J152" i="24"/>
  <c r="G181" i="24"/>
  <c r="D85" i="24"/>
  <c r="G205" i="24" s="1"/>
  <c r="G80" i="24"/>
  <c r="G180" i="24"/>
  <c r="H182" i="24"/>
  <c r="D109" i="24"/>
  <c r="H205" i="24" s="1"/>
  <c r="H128" i="24"/>
  <c r="H129" i="24" s="1"/>
  <c r="F80" i="24"/>
  <c r="F81" i="24" s="1"/>
  <c r="F180" i="24"/>
  <c r="D61" i="24"/>
  <c r="F205" i="24" s="1"/>
  <c r="I182" i="24"/>
  <c r="I128" i="24"/>
  <c r="I129" i="24" s="1"/>
  <c r="I183" i="24"/>
  <c r="D133" i="24"/>
  <c r="I205" i="24" s="1"/>
  <c r="I152" i="24"/>
  <c r="E215" i="24"/>
  <c r="E207" i="24"/>
  <c r="X161" i="24"/>
  <c r="X57" i="24"/>
  <c r="X170" i="24" s="1"/>
  <c r="N57" i="24"/>
  <c r="N170" i="24" s="1"/>
  <c r="N161" i="24"/>
  <c r="I161" i="24"/>
  <c r="I57" i="24"/>
  <c r="I170" i="24" s="1"/>
  <c r="R161" i="24"/>
  <c r="R57" i="24"/>
  <c r="R170" i="24" s="1"/>
  <c r="K161" i="24"/>
  <c r="K57" i="24"/>
  <c r="K170" i="24" s="1"/>
  <c r="Q161" i="24"/>
  <c r="Q57" i="24"/>
  <c r="Q170" i="24" s="1"/>
  <c r="U161" i="24"/>
  <c r="U57" i="24"/>
  <c r="U170" i="24" s="1"/>
  <c r="P161" i="24"/>
  <c r="P57" i="24"/>
  <c r="P170" i="24" s="1"/>
  <c r="W161" i="24"/>
  <c r="W57" i="24"/>
  <c r="W170" i="24" s="1"/>
  <c r="H161" i="24"/>
  <c r="H57" i="24"/>
  <c r="H170" i="24" s="1"/>
  <c r="L161" i="24"/>
  <c r="L57" i="24"/>
  <c r="L170" i="24" s="1"/>
  <c r="Y57" i="24"/>
  <c r="Y170" i="24" s="1"/>
  <c r="Y161" i="24"/>
  <c r="O57" i="24"/>
  <c r="O170" i="24" s="1"/>
  <c r="O161" i="24"/>
  <c r="S161" i="24"/>
  <c r="S57" i="24"/>
  <c r="S170" i="24" s="1"/>
  <c r="M161" i="24"/>
  <c r="M57" i="24"/>
  <c r="M170" i="24" s="1"/>
  <c r="V161" i="24"/>
  <c r="V57" i="24"/>
  <c r="V170" i="24" s="1"/>
  <c r="T161" i="24"/>
  <c r="T57" i="24"/>
  <c r="T170" i="24" s="1"/>
  <c r="J161" i="24"/>
  <c r="J57" i="24"/>
  <c r="J170" i="24" s="1"/>
  <c r="G161" i="24"/>
  <c r="G57" i="24"/>
  <c r="G170" i="24" s="1"/>
  <c r="E161" i="24"/>
  <c r="E57" i="24"/>
  <c r="E189" i="12"/>
  <c r="E190" i="12" s="1"/>
  <c r="E243" i="12"/>
  <c r="E230" i="12" s="1"/>
  <c r="F240" i="12"/>
  <c r="F241" i="12" s="1"/>
  <c r="E195" i="12"/>
  <c r="F195" i="12" s="1"/>
  <c r="G195" i="12" s="1"/>
  <c r="H195" i="12" s="1"/>
  <c r="I195" i="12" s="1"/>
  <c r="J195" i="12" s="1"/>
  <c r="K195" i="12" s="1"/>
  <c r="L195" i="12" s="1"/>
  <c r="M195" i="12" s="1"/>
  <c r="N195" i="12" s="1"/>
  <c r="O195" i="12" s="1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D198" i="12"/>
  <c r="F86" i="10" s="1"/>
  <c r="G454" i="20"/>
  <c r="G443" i="20" s="1"/>
  <c r="H453" i="20"/>
  <c r="G227" i="20"/>
  <c r="F228" i="20"/>
  <c r="F217" i="20" s="1"/>
  <c r="T415" i="17"/>
  <c r="T198" i="17" s="1"/>
  <c r="R334" i="17"/>
  <c r="R137" i="17" s="1"/>
  <c r="R145" i="17" s="1"/>
  <c r="R147" i="17" s="1"/>
  <c r="R148" i="17" s="1"/>
  <c r="S371" i="17"/>
  <c r="S167" i="17" s="1"/>
  <c r="T385" i="17"/>
  <c r="T169" i="17" s="1"/>
  <c r="U311" i="17"/>
  <c r="U109" i="17" s="1"/>
  <c r="S341" i="17"/>
  <c r="S138" i="17" s="1"/>
  <c r="S221" i="17"/>
  <c r="V280" i="17"/>
  <c r="V282" i="17" s="1"/>
  <c r="V317" i="17"/>
  <c r="V319" i="17" s="1"/>
  <c r="W427" i="17"/>
  <c r="U421" i="17"/>
  <c r="U423" i="17" s="1"/>
  <c r="V236" i="17"/>
  <c r="V238" i="17" s="1"/>
  <c r="V272" i="17"/>
  <c r="T265" i="17"/>
  <c r="T304" i="17"/>
  <c r="T108" i="17" s="1"/>
  <c r="R223" i="17"/>
  <c r="R47" i="17" s="1"/>
  <c r="R55" i="17" s="1"/>
  <c r="R57" i="17" s="1"/>
  <c r="R58" i="17" s="1"/>
  <c r="U244" i="17"/>
  <c r="U50" i="17" s="1"/>
  <c r="U413" i="17"/>
  <c r="V347" i="17"/>
  <c r="V349" i="17" s="1"/>
  <c r="W398" i="17"/>
  <c r="W400" i="17" s="1"/>
  <c r="W287" i="17"/>
  <c r="W289" i="17" s="1"/>
  <c r="U274" i="17"/>
  <c r="U79" i="17" s="1"/>
  <c r="U302" i="17"/>
  <c r="V242" i="17"/>
  <c r="S259" i="17"/>
  <c r="S261" i="17" s="1"/>
  <c r="S378" i="17"/>
  <c r="S168" i="17" s="1"/>
  <c r="W324" i="17"/>
  <c r="W326" i="17" s="1"/>
  <c r="T369" i="17"/>
  <c r="W435" i="17"/>
  <c r="W437" i="17" s="1"/>
  <c r="T339" i="17"/>
  <c r="V354" i="17"/>
  <c r="V356" i="17" s="1"/>
  <c r="W250" i="17"/>
  <c r="W252" i="17" s="1"/>
  <c r="T376" i="17"/>
  <c r="V309" i="17"/>
  <c r="W391" i="17"/>
  <c r="W393" i="17" s="1"/>
  <c r="W361" i="17"/>
  <c r="W363" i="17" s="1"/>
  <c r="T229" i="17"/>
  <c r="T231" i="17" s="1"/>
  <c r="S332" i="17"/>
  <c r="S407" i="17"/>
  <c r="S409" i="17" s="1"/>
  <c r="S296" i="17"/>
  <c r="S298" i="17" s="1"/>
  <c r="V429" i="17"/>
  <c r="V200" i="17" s="1"/>
  <c r="U383" i="17"/>
  <c r="S267" i="17"/>
  <c r="S78" i="17" s="1"/>
  <c r="S164" i="24" l="1"/>
  <c r="S129" i="24"/>
  <c r="S173" i="24" s="1"/>
  <c r="G207" i="24"/>
  <c r="Y162" i="24"/>
  <c r="S162" i="24"/>
  <c r="O162" i="24"/>
  <c r="N162" i="24"/>
  <c r="I162" i="24"/>
  <c r="W162" i="24"/>
  <c r="Q81" i="24"/>
  <c r="Q171" i="24" s="1"/>
  <c r="R81" i="24"/>
  <c r="R171" i="24" s="1"/>
  <c r="T81" i="24"/>
  <c r="T171" i="24" s="1"/>
  <c r="U162" i="24"/>
  <c r="V162" i="24"/>
  <c r="X162" i="24"/>
  <c r="M81" i="24"/>
  <c r="M171" i="24" s="1"/>
  <c r="K162" i="24"/>
  <c r="H81" i="24"/>
  <c r="H171" i="24" s="1"/>
  <c r="L81" i="24"/>
  <c r="L171" i="24" s="1"/>
  <c r="P81" i="24"/>
  <c r="P171" i="24" s="1"/>
  <c r="J81" i="24"/>
  <c r="J171" i="24" s="1"/>
  <c r="F207" i="24"/>
  <c r="F215" i="24"/>
  <c r="V165" i="24"/>
  <c r="V153" i="24"/>
  <c r="V174" i="24" s="1"/>
  <c r="I215" i="24"/>
  <c r="S165" i="24"/>
  <c r="S153" i="24"/>
  <c r="S174" i="24" s="1"/>
  <c r="W164" i="24"/>
  <c r="W173" i="24"/>
  <c r="I207" i="24"/>
  <c r="M165" i="24"/>
  <c r="M153" i="24"/>
  <c r="M174" i="24" s="1"/>
  <c r="T165" i="24"/>
  <c r="T153" i="24"/>
  <c r="T174" i="24" s="1"/>
  <c r="P153" i="24"/>
  <c r="P174" i="24" s="1"/>
  <c r="P165" i="24"/>
  <c r="R173" i="24"/>
  <c r="R164" i="24"/>
  <c r="O153" i="24"/>
  <c r="O174" i="24" s="1"/>
  <c r="O165" i="24"/>
  <c r="N105" i="24"/>
  <c r="N172" i="24" s="1"/>
  <c r="N163" i="24"/>
  <c r="Y165" i="24"/>
  <c r="Y153" i="24"/>
  <c r="Y174" i="24" s="1"/>
  <c r="Y163" i="24"/>
  <c r="Y105" i="24"/>
  <c r="Y172" i="24" s="1"/>
  <c r="Q163" i="24"/>
  <c r="Q105" i="24"/>
  <c r="Q172" i="24" s="1"/>
  <c r="V105" i="24"/>
  <c r="V172" i="24" s="1"/>
  <c r="V163" i="24"/>
  <c r="W165" i="24"/>
  <c r="W153" i="24"/>
  <c r="W174" i="24" s="1"/>
  <c r="H207" i="24"/>
  <c r="H215" i="24"/>
  <c r="U164" i="24"/>
  <c r="U173" i="24"/>
  <c r="K163" i="24"/>
  <c r="K105" i="24"/>
  <c r="K172" i="24" s="1"/>
  <c r="W105" i="24"/>
  <c r="W172" i="24" s="1"/>
  <c r="W163" i="24"/>
  <c r="U105" i="24"/>
  <c r="U172" i="24" s="1"/>
  <c r="U163" i="24"/>
  <c r="X173" i="24"/>
  <c r="X164" i="24"/>
  <c r="T173" i="24"/>
  <c r="T164" i="24"/>
  <c r="M163" i="24"/>
  <c r="M105" i="24"/>
  <c r="M172" i="24" s="1"/>
  <c r="L165" i="24"/>
  <c r="L153" i="24"/>
  <c r="L174" i="24" s="1"/>
  <c r="I163" i="24"/>
  <c r="I105" i="24"/>
  <c r="I172" i="24" s="1"/>
  <c r="O173" i="24"/>
  <c r="O164" i="24"/>
  <c r="O105" i="24"/>
  <c r="O172" i="24" s="1"/>
  <c r="O163" i="24"/>
  <c r="T105" i="24"/>
  <c r="T172" i="24" s="1"/>
  <c r="T163" i="24"/>
  <c r="U165" i="24"/>
  <c r="U153" i="24"/>
  <c r="U174" i="24" s="1"/>
  <c r="Q165" i="24"/>
  <c r="Q153" i="24"/>
  <c r="Q174" i="24" s="1"/>
  <c r="R163" i="24"/>
  <c r="R105" i="24"/>
  <c r="R172" i="24" s="1"/>
  <c r="X165" i="24"/>
  <c r="X153" i="24"/>
  <c r="X174" i="24" s="1"/>
  <c r="S163" i="24"/>
  <c r="S105" i="24"/>
  <c r="S172" i="24" s="1"/>
  <c r="P164" i="24"/>
  <c r="P173" i="24"/>
  <c r="L105" i="24"/>
  <c r="L172" i="24" s="1"/>
  <c r="L163" i="24"/>
  <c r="M164" i="24"/>
  <c r="M173" i="24"/>
  <c r="X163" i="24"/>
  <c r="X105" i="24"/>
  <c r="X172" i="24" s="1"/>
  <c r="V164" i="24"/>
  <c r="V173" i="24"/>
  <c r="R153" i="24"/>
  <c r="R174" i="24" s="1"/>
  <c r="R165" i="24"/>
  <c r="J173" i="24"/>
  <c r="J164" i="24"/>
  <c r="L173" i="24"/>
  <c r="L164" i="24"/>
  <c r="N164" i="24"/>
  <c r="N173" i="24"/>
  <c r="P163" i="24"/>
  <c r="P105" i="24"/>
  <c r="P172" i="24" s="1"/>
  <c r="Y164" i="24"/>
  <c r="Y173" i="24"/>
  <c r="G215" i="24"/>
  <c r="N165" i="24"/>
  <c r="N153" i="24"/>
  <c r="N174" i="24" s="1"/>
  <c r="K173" i="24"/>
  <c r="K164" i="24"/>
  <c r="J163" i="24"/>
  <c r="J105" i="24"/>
  <c r="J172" i="24" s="1"/>
  <c r="Q164" i="24"/>
  <c r="Q173" i="24"/>
  <c r="K165" i="24"/>
  <c r="K153" i="24"/>
  <c r="K174" i="24" s="1"/>
  <c r="J165" i="24"/>
  <c r="J153" i="24"/>
  <c r="J174" i="24" s="1"/>
  <c r="I173" i="24"/>
  <c r="I164" i="24"/>
  <c r="F162" i="24"/>
  <c r="D80" i="24"/>
  <c r="H164" i="24"/>
  <c r="D128" i="24"/>
  <c r="H163" i="24"/>
  <c r="H105" i="24"/>
  <c r="H172" i="24" s="1"/>
  <c r="G162" i="24"/>
  <c r="G81" i="24"/>
  <c r="G171" i="24" s="1"/>
  <c r="I165" i="24"/>
  <c r="D152" i="24"/>
  <c r="I153" i="24"/>
  <c r="G163" i="24"/>
  <c r="D104" i="24"/>
  <c r="E170" i="24"/>
  <c r="S175" i="17"/>
  <c r="S177" i="17" s="1"/>
  <c r="S178" i="17" s="1"/>
  <c r="D200" i="12"/>
  <c r="F89" i="10" s="1"/>
  <c r="F189" i="12"/>
  <c r="F190" i="12" s="1"/>
  <c r="G240" i="12"/>
  <c r="G241" i="12" s="1"/>
  <c r="F243" i="12"/>
  <c r="F230" i="12" s="1"/>
  <c r="H454" i="20"/>
  <c r="H443" i="20" s="1"/>
  <c r="I453" i="20"/>
  <c r="H227" i="20"/>
  <c r="G228" i="20"/>
  <c r="G217" i="20" s="1"/>
  <c r="U422" i="17"/>
  <c r="U199" i="17" s="1"/>
  <c r="T230" i="17"/>
  <c r="T48" i="17" s="1"/>
  <c r="W362" i="17"/>
  <c r="W141" i="17" s="1"/>
  <c r="W325" i="17"/>
  <c r="W111" i="17" s="1"/>
  <c r="S260" i="17"/>
  <c r="S77" i="17" s="1"/>
  <c r="S85" i="17" s="1"/>
  <c r="S87" i="17" s="1"/>
  <c r="S88" i="17" s="1"/>
  <c r="S297" i="17"/>
  <c r="S107" i="17" s="1"/>
  <c r="S115" i="17" s="1"/>
  <c r="S117" i="17" s="1"/>
  <c r="S118" i="17" s="1"/>
  <c r="V355" i="17"/>
  <c r="V140" i="17" s="1"/>
  <c r="T370" i="17"/>
  <c r="T372" i="17" s="1"/>
  <c r="W346" i="17"/>
  <c r="W316" i="17"/>
  <c r="T406" i="17"/>
  <c r="T377" i="17"/>
  <c r="T379" i="17" s="1"/>
  <c r="X249" i="17"/>
  <c r="T340" i="17"/>
  <c r="T342" i="17" s="1"/>
  <c r="X434" i="17"/>
  <c r="V243" i="17"/>
  <c r="V245" i="17" s="1"/>
  <c r="X397" i="17"/>
  <c r="V348" i="17"/>
  <c r="V139" i="17" s="1"/>
  <c r="V420" i="17"/>
  <c r="W279" i="17"/>
  <c r="X390" i="17"/>
  <c r="W428" i="17"/>
  <c r="W430" i="17" s="1"/>
  <c r="S408" i="17"/>
  <c r="S197" i="17" s="1"/>
  <c r="S205" i="17" s="1"/>
  <c r="S207" i="17" s="1"/>
  <c r="S208" i="17" s="1"/>
  <c r="W392" i="17"/>
  <c r="W170" i="17" s="1"/>
  <c r="W353" i="17"/>
  <c r="W436" i="17"/>
  <c r="W201" i="17" s="1"/>
  <c r="X286" i="17"/>
  <c r="T266" i="17"/>
  <c r="T268" i="17" s="1"/>
  <c r="W235" i="17"/>
  <c r="V318" i="17"/>
  <c r="V110" i="17" s="1"/>
  <c r="S222" i="17"/>
  <c r="S224" i="17" s="1"/>
  <c r="S333" i="17"/>
  <c r="S335" i="17" s="1"/>
  <c r="U414" i="17"/>
  <c r="U416" i="17" s="1"/>
  <c r="V273" i="17"/>
  <c r="V275" i="17" s="1"/>
  <c r="U384" i="17"/>
  <c r="U386" i="17" s="1"/>
  <c r="T295" i="17"/>
  <c r="U228" i="17"/>
  <c r="X360" i="17"/>
  <c r="V310" i="17"/>
  <c r="V312" i="17" s="1"/>
  <c r="W251" i="17"/>
  <c r="W51" i="17" s="1"/>
  <c r="X323" i="17"/>
  <c r="T258" i="17"/>
  <c r="U303" i="17"/>
  <c r="U305" i="17" s="1"/>
  <c r="W288" i="17"/>
  <c r="W81" i="17" s="1"/>
  <c r="W399" i="17"/>
  <c r="W171" i="17" s="1"/>
  <c r="V237" i="17"/>
  <c r="V49" i="17" s="1"/>
  <c r="V281" i="17"/>
  <c r="V80" i="17" s="1"/>
  <c r="G216" i="24" l="1"/>
  <c r="F216" i="24"/>
  <c r="H216" i="24"/>
  <c r="I216" i="24"/>
  <c r="G172" i="24"/>
  <c r="D105" i="24"/>
  <c r="H173" i="24"/>
  <c r="D129" i="24"/>
  <c r="I174" i="24"/>
  <c r="D153" i="24"/>
  <c r="F171" i="24"/>
  <c r="D81" i="24"/>
  <c r="G189" i="12"/>
  <c r="G190" i="12" s="1"/>
  <c r="H240" i="12"/>
  <c r="H241" i="12" s="1"/>
  <c r="G243" i="12"/>
  <c r="G230" i="12" s="1"/>
  <c r="I454" i="20"/>
  <c r="I443" i="20" s="1"/>
  <c r="J453" i="20"/>
  <c r="I227" i="20"/>
  <c r="H228" i="20"/>
  <c r="H217" i="20" s="1"/>
  <c r="W429" i="17"/>
  <c r="W200" i="17" s="1"/>
  <c r="V311" i="17"/>
  <c r="V109" i="17" s="1"/>
  <c r="V274" i="17"/>
  <c r="V79" i="17" s="1"/>
  <c r="S223" i="17"/>
  <c r="S47" i="17" s="1"/>
  <c r="S55" i="17" s="1"/>
  <c r="S57" i="17" s="1"/>
  <c r="S58" i="17" s="1"/>
  <c r="U415" i="17"/>
  <c r="U198" i="17" s="1"/>
  <c r="S334" i="17"/>
  <c r="S137" i="17" s="1"/>
  <c r="S145" i="17" s="1"/>
  <c r="S147" i="17" s="1"/>
  <c r="S148" i="17" s="1"/>
  <c r="T341" i="17"/>
  <c r="T138" i="17" s="1"/>
  <c r="V302" i="17"/>
  <c r="U229" i="17"/>
  <c r="U231" i="17" s="1"/>
  <c r="U265" i="17"/>
  <c r="U385" i="17"/>
  <c r="U169" i="17" s="1"/>
  <c r="W280" i="17"/>
  <c r="W282" i="17" s="1"/>
  <c r="V421" i="17"/>
  <c r="V423" i="17" s="1"/>
  <c r="X435" i="17"/>
  <c r="X437" i="17" s="1"/>
  <c r="U376" i="17"/>
  <c r="W317" i="17"/>
  <c r="W319" i="17" s="1"/>
  <c r="U369" i="17"/>
  <c r="T259" i="17"/>
  <c r="T261" i="17" s="1"/>
  <c r="X361" i="17"/>
  <c r="X363" i="17" s="1"/>
  <c r="T296" i="17"/>
  <c r="T298" i="17" s="1"/>
  <c r="T221" i="17"/>
  <c r="T267" i="17"/>
  <c r="T78" i="17" s="1"/>
  <c r="W354" i="17"/>
  <c r="W356" i="17" s="1"/>
  <c r="W242" i="17"/>
  <c r="X250" i="17"/>
  <c r="X252" i="17" s="1"/>
  <c r="T378" i="17"/>
  <c r="T168" i="17" s="1"/>
  <c r="X324" i="17"/>
  <c r="X326" i="17" s="1"/>
  <c r="V383" i="17"/>
  <c r="W236" i="17"/>
  <c r="W238" i="17" s="1"/>
  <c r="X398" i="17"/>
  <c r="X400" i="17" s="1"/>
  <c r="W347" i="17"/>
  <c r="W349" i="17" s="1"/>
  <c r="U304" i="17"/>
  <c r="U108" i="17" s="1"/>
  <c r="W309" i="17"/>
  <c r="W272" i="17"/>
  <c r="V413" i="17"/>
  <c r="T332" i="17"/>
  <c r="X287" i="17"/>
  <c r="X289" i="17" s="1"/>
  <c r="X427" i="17"/>
  <c r="X391" i="17"/>
  <c r="X393" i="17" s="1"/>
  <c r="V244" i="17"/>
  <c r="V50" i="17" s="1"/>
  <c r="U339" i="17"/>
  <c r="T407" i="17"/>
  <c r="T409" i="17" s="1"/>
  <c r="T371" i="17"/>
  <c r="T167" i="17" s="1"/>
  <c r="G218" i="24" l="1"/>
  <c r="F218" i="24"/>
  <c r="I218" i="24"/>
  <c r="H218" i="24"/>
  <c r="T175" i="17"/>
  <c r="T177" i="17" s="1"/>
  <c r="T178" i="17" s="1"/>
  <c r="H189" i="12"/>
  <c r="H190" i="12" s="1"/>
  <c r="I240" i="12"/>
  <c r="I241" i="12" s="1"/>
  <c r="H243" i="12"/>
  <c r="H230" i="12" s="1"/>
  <c r="K453" i="20"/>
  <c r="J454" i="20"/>
  <c r="J443" i="20" s="1"/>
  <c r="J227" i="20"/>
  <c r="I228" i="20"/>
  <c r="I217" i="20" s="1"/>
  <c r="W281" i="17"/>
  <c r="W80" i="17" s="1"/>
  <c r="X325" i="17"/>
  <c r="X111" i="17" s="1"/>
  <c r="D111" i="17" s="1"/>
  <c r="X288" i="17"/>
  <c r="X81" i="17" s="1"/>
  <c r="D81" i="17" s="1"/>
  <c r="X235" i="17"/>
  <c r="W420" i="17"/>
  <c r="T333" i="17"/>
  <c r="T335" i="17" s="1"/>
  <c r="W273" i="17"/>
  <c r="W275" i="17" s="1"/>
  <c r="W243" i="17"/>
  <c r="W245" i="17" s="1"/>
  <c r="X353" i="17"/>
  <c r="U295" i="17"/>
  <c r="U258" i="17"/>
  <c r="W318" i="17"/>
  <c r="W110" i="17" s="1"/>
  <c r="X279" i="17"/>
  <c r="U266" i="17"/>
  <c r="U268" i="17" s="1"/>
  <c r="V228" i="17"/>
  <c r="X428" i="17"/>
  <c r="X430" i="17" s="1"/>
  <c r="U340" i="17"/>
  <c r="U342" i="17" s="1"/>
  <c r="X346" i="17"/>
  <c r="W237" i="17"/>
  <c r="W49" i="17" s="1"/>
  <c r="X251" i="17"/>
  <c r="X51" i="17" s="1"/>
  <c r="D51" i="17" s="1"/>
  <c r="W355" i="17"/>
  <c r="W140" i="17" s="1"/>
  <c r="T297" i="17"/>
  <c r="T107" i="17" s="1"/>
  <c r="T115" i="17" s="1"/>
  <c r="T117" i="17" s="1"/>
  <c r="T118" i="17" s="1"/>
  <c r="X362" i="17"/>
  <c r="X141" i="17" s="1"/>
  <c r="D141" i="17" s="1"/>
  <c r="U370" i="17"/>
  <c r="U372" i="17" s="1"/>
  <c r="X436" i="17"/>
  <c r="X201" i="17" s="1"/>
  <c r="D201" i="17" s="1"/>
  <c r="V422" i="17"/>
  <c r="V199" i="17" s="1"/>
  <c r="V303" i="17"/>
  <c r="V305" i="17" s="1"/>
  <c r="U406" i="17"/>
  <c r="X316" i="17"/>
  <c r="T408" i="17"/>
  <c r="T197" i="17" s="1"/>
  <c r="T205" i="17" s="1"/>
  <c r="T207" i="17" s="1"/>
  <c r="T208" i="17" s="1"/>
  <c r="X392" i="17"/>
  <c r="X170" i="17" s="1"/>
  <c r="D170" i="17" s="1"/>
  <c r="V414" i="17"/>
  <c r="V416" i="17" s="1"/>
  <c r="W310" i="17"/>
  <c r="W312" i="17" s="1"/>
  <c r="W348" i="17"/>
  <c r="W139" i="17" s="1"/>
  <c r="X399" i="17"/>
  <c r="X171" i="17" s="1"/>
  <c r="D171" i="17" s="1"/>
  <c r="V384" i="17"/>
  <c r="V386" i="17" s="1"/>
  <c r="Y249" i="17"/>
  <c r="T222" i="17"/>
  <c r="T224" i="17" s="1"/>
  <c r="T260" i="17"/>
  <c r="T77" i="17" s="1"/>
  <c r="T85" i="17" s="1"/>
  <c r="T87" i="17" s="1"/>
  <c r="T88" i="17" s="1"/>
  <c r="U377" i="17"/>
  <c r="U379" i="17" s="1"/>
  <c r="U230" i="17"/>
  <c r="U48" i="17" s="1"/>
  <c r="I189" i="12" l="1"/>
  <c r="I190" i="12" s="1"/>
  <c r="J240" i="12"/>
  <c r="J241" i="12" s="1"/>
  <c r="I243" i="12"/>
  <c r="I230" i="12" s="1"/>
  <c r="K227" i="20"/>
  <c r="J228" i="20"/>
  <c r="J217" i="20" s="1"/>
  <c r="L453" i="20"/>
  <c r="K454" i="20"/>
  <c r="K443" i="20" s="1"/>
  <c r="X429" i="17"/>
  <c r="X200" i="17" s="1"/>
  <c r="D200" i="17" s="1"/>
  <c r="U378" i="17"/>
  <c r="U168" i="17" s="1"/>
  <c r="V304" i="17"/>
  <c r="V108" i="17" s="1"/>
  <c r="W244" i="17"/>
  <c r="W50" i="17" s="1"/>
  <c r="W274" i="17"/>
  <c r="W79" i="17" s="1"/>
  <c r="V385" i="17"/>
  <c r="V169" i="17" s="1"/>
  <c r="U267" i="17"/>
  <c r="U78" i="17" s="1"/>
  <c r="T334" i="17"/>
  <c r="T137" i="17" s="1"/>
  <c r="T145" i="17" s="1"/>
  <c r="T147" i="17" s="1"/>
  <c r="T148" i="17" s="1"/>
  <c r="W413" i="17"/>
  <c r="V376" i="17"/>
  <c r="T223" i="17"/>
  <c r="T47" i="17" s="1"/>
  <c r="T55" i="17" s="1"/>
  <c r="T57" i="17" s="1"/>
  <c r="T58" i="17" s="1"/>
  <c r="Y250" i="17"/>
  <c r="Y252" i="17" s="1"/>
  <c r="W311" i="17"/>
  <c r="W109" i="17" s="1"/>
  <c r="W302" i="17"/>
  <c r="V369" i="17"/>
  <c r="X347" i="17"/>
  <c r="X349" i="17" s="1"/>
  <c r="U296" i="17"/>
  <c r="U298" i="17" s="1"/>
  <c r="X354" i="17"/>
  <c r="X356" i="17" s="1"/>
  <c r="V339" i="17"/>
  <c r="X280" i="17"/>
  <c r="X282" i="17" s="1"/>
  <c r="U221" i="17"/>
  <c r="U407" i="17"/>
  <c r="U409" i="17" s="1"/>
  <c r="X272" i="17"/>
  <c r="X236" i="17"/>
  <c r="X238" i="17" s="1"/>
  <c r="X309" i="17"/>
  <c r="X317" i="17"/>
  <c r="X319" i="17" s="1"/>
  <c r="W421" i="17"/>
  <c r="W423" i="17" s="1"/>
  <c r="W383" i="17"/>
  <c r="V415" i="17"/>
  <c r="V198" i="17" s="1"/>
  <c r="U371" i="17"/>
  <c r="U167" i="17" s="1"/>
  <c r="U341" i="17"/>
  <c r="U138" i="17" s="1"/>
  <c r="V229" i="17"/>
  <c r="V231" i="17" s="1"/>
  <c r="V265" i="17"/>
  <c r="U259" i="17"/>
  <c r="U261" i="17" s="1"/>
  <c r="X242" i="17"/>
  <c r="U332" i="17"/>
  <c r="U175" i="17" l="1"/>
  <c r="U177" i="17" s="1"/>
  <c r="U178" i="17" s="1"/>
  <c r="U297" i="17"/>
  <c r="U107" i="17" s="1"/>
  <c r="U115" i="17" s="1"/>
  <c r="U117" i="17" s="1"/>
  <c r="U118" i="17" s="1"/>
  <c r="J189" i="12"/>
  <c r="J190" i="12" s="1"/>
  <c r="K240" i="12"/>
  <c r="K241" i="12" s="1"/>
  <c r="J243" i="12"/>
  <c r="J230" i="12" s="1"/>
  <c r="M453" i="20"/>
  <c r="L454" i="20"/>
  <c r="L443" i="20" s="1"/>
  <c r="L227" i="20"/>
  <c r="K228" i="20"/>
  <c r="K217" i="20" s="1"/>
  <c r="X355" i="17"/>
  <c r="X140" i="17" s="1"/>
  <c r="D140" i="17" s="1"/>
  <c r="V230" i="17"/>
  <c r="V48" i="17" s="1"/>
  <c r="U260" i="17"/>
  <c r="U77" i="17" s="1"/>
  <c r="U85" i="17" s="1"/>
  <c r="U87" i="17" s="1"/>
  <c r="U88" i="17" s="1"/>
  <c r="U408" i="17"/>
  <c r="U197" i="17" s="1"/>
  <c r="U205" i="17" s="1"/>
  <c r="U207" i="17" s="1"/>
  <c r="U208" i="17" s="1"/>
  <c r="X348" i="17"/>
  <c r="X139" i="17" s="1"/>
  <c r="D139" i="17" s="1"/>
  <c r="V258" i="17"/>
  <c r="W384" i="17"/>
  <c r="W386" i="17" s="1"/>
  <c r="X420" i="17"/>
  <c r="Y235" i="17"/>
  <c r="V295" i="17"/>
  <c r="U333" i="17"/>
  <c r="U335" i="17" s="1"/>
  <c r="W303" i="17"/>
  <c r="W305" i="17" s="1"/>
  <c r="W228" i="17"/>
  <c r="W422" i="17"/>
  <c r="W199" i="17" s="1"/>
  <c r="X318" i="17"/>
  <c r="X110" i="17" s="1"/>
  <c r="D110" i="17" s="1"/>
  <c r="U222" i="17"/>
  <c r="U224" i="17" s="1"/>
  <c r="X281" i="17"/>
  <c r="X80" i="17" s="1"/>
  <c r="D80" i="17" s="1"/>
  <c r="V370" i="17"/>
  <c r="V372" i="17" s="1"/>
  <c r="V377" i="17"/>
  <c r="V379" i="17" s="1"/>
  <c r="W414" i="17"/>
  <c r="W416" i="17" s="1"/>
  <c r="X273" i="17"/>
  <c r="X275" i="17" s="1"/>
  <c r="X243" i="17"/>
  <c r="X245" i="17" s="1"/>
  <c r="V266" i="17"/>
  <c r="V268" i="17" s="1"/>
  <c r="X310" i="17"/>
  <c r="X312" i="17" s="1"/>
  <c r="X237" i="17"/>
  <c r="X49" i="17" s="1"/>
  <c r="D49" i="17" s="1"/>
  <c r="V406" i="17"/>
  <c r="V340" i="17"/>
  <c r="V342" i="17" s="1"/>
  <c r="Y251" i="17"/>
  <c r="K189" i="12" l="1"/>
  <c r="K190" i="12" s="1"/>
  <c r="K243" i="12"/>
  <c r="K230" i="12" s="1"/>
  <c r="L240" i="12"/>
  <c r="L241" i="12" s="1"/>
  <c r="N453" i="20"/>
  <c r="M454" i="20"/>
  <c r="M443" i="20" s="1"/>
  <c r="M227" i="20"/>
  <c r="L228" i="20"/>
  <c r="L217" i="20" s="1"/>
  <c r="X311" i="17"/>
  <c r="X109" i="17" s="1"/>
  <c r="D109" i="17" s="1"/>
  <c r="W415" i="17"/>
  <c r="W198" i="17" s="1"/>
  <c r="U223" i="17"/>
  <c r="U47" i="17" s="1"/>
  <c r="U55" i="17" s="1"/>
  <c r="U57" i="17" s="1"/>
  <c r="U58" i="17" s="1"/>
  <c r="X274" i="17"/>
  <c r="X79" i="17" s="1"/>
  <c r="D79" i="17" s="1"/>
  <c r="V267" i="17"/>
  <c r="V78" i="17" s="1"/>
  <c r="X244" i="17"/>
  <c r="X50" i="17" s="1"/>
  <c r="D50" i="17" s="1"/>
  <c r="V407" i="17"/>
  <c r="V409" i="17" s="1"/>
  <c r="X413" i="17"/>
  <c r="W376" i="17"/>
  <c r="W304" i="17"/>
  <c r="W108" i="17" s="1"/>
  <c r="U334" i="17"/>
  <c r="U137" i="17" s="1"/>
  <c r="U145" i="17" s="1"/>
  <c r="U147" i="17" s="1"/>
  <c r="U148" i="17" s="1"/>
  <c r="V296" i="17"/>
  <c r="V298" i="17" s="1"/>
  <c r="X421" i="17"/>
  <c r="X423" i="17" s="1"/>
  <c r="W339" i="17"/>
  <c r="W369" i="17"/>
  <c r="X302" i="17"/>
  <c r="V332" i="17"/>
  <c r="V259" i="17"/>
  <c r="V261" i="17" s="1"/>
  <c r="X383" i="17"/>
  <c r="V341" i="17"/>
  <c r="V138" i="17" s="1"/>
  <c r="W265" i="17"/>
  <c r="Y242" i="17"/>
  <c r="V378" i="17"/>
  <c r="V168" i="17" s="1"/>
  <c r="V371" i="17"/>
  <c r="V167" i="17" s="1"/>
  <c r="V221" i="17"/>
  <c r="W229" i="17"/>
  <c r="W231" i="17" s="1"/>
  <c r="Y236" i="17"/>
  <c r="Y238" i="17" s="1"/>
  <c r="W385" i="17"/>
  <c r="W169" i="17" s="1"/>
  <c r="V175" i="17" l="1"/>
  <c r="V177" i="17" s="1"/>
  <c r="V178" i="17" s="1"/>
  <c r="L189" i="12"/>
  <c r="L190" i="12" s="1"/>
  <c r="L243" i="12"/>
  <c r="L230" i="12" s="1"/>
  <c r="M240" i="12"/>
  <c r="M241" i="12" s="1"/>
  <c r="N227" i="20"/>
  <c r="M228" i="20"/>
  <c r="M217" i="20" s="1"/>
  <c r="N454" i="20"/>
  <c r="N443" i="20" s="1"/>
  <c r="O453" i="20"/>
  <c r="V297" i="17"/>
  <c r="V107" i="17" s="1"/>
  <c r="V115" i="17" s="1"/>
  <c r="V117" i="17" s="1"/>
  <c r="V118" i="17" s="1"/>
  <c r="W230" i="17"/>
  <c r="W48" i="17" s="1"/>
  <c r="W266" i="17"/>
  <c r="W268" i="17" s="1"/>
  <c r="V333" i="17"/>
  <c r="V335" i="17" s="1"/>
  <c r="W370" i="17"/>
  <c r="W372" i="17" s="1"/>
  <c r="X422" i="17"/>
  <c r="X199" i="17" s="1"/>
  <c r="D199" i="17" s="1"/>
  <c r="W295" i="17"/>
  <c r="W377" i="17"/>
  <c r="W379" i="17" s="1"/>
  <c r="V222" i="17"/>
  <c r="V224" i="17" s="1"/>
  <c r="W258" i="17"/>
  <c r="W406" i="17"/>
  <c r="Y237" i="17"/>
  <c r="X228" i="17"/>
  <c r="Y243" i="17"/>
  <c r="Y245" i="17" s="1"/>
  <c r="X384" i="17"/>
  <c r="X386" i="17" s="1"/>
  <c r="V260" i="17"/>
  <c r="V77" i="17" s="1"/>
  <c r="V85" i="17" s="1"/>
  <c r="V87" i="17" s="1"/>
  <c r="V88" i="17" s="1"/>
  <c r="X303" i="17"/>
  <c r="X305" i="17" s="1"/>
  <c r="W340" i="17"/>
  <c r="W342" i="17" s="1"/>
  <c r="X414" i="17"/>
  <c r="X416" i="17" s="1"/>
  <c r="V408" i="17"/>
  <c r="V197" i="17" s="1"/>
  <c r="V205" i="17" s="1"/>
  <c r="V207" i="17" s="1"/>
  <c r="V208" i="17" s="1"/>
  <c r="M189" i="12" l="1"/>
  <c r="M190" i="12" s="1"/>
  <c r="M243" i="12"/>
  <c r="M230" i="12" s="1"/>
  <c r="N240" i="12"/>
  <c r="N241" i="12" s="1"/>
  <c r="O227" i="20"/>
  <c r="N228" i="20"/>
  <c r="N217" i="20" s="1"/>
  <c r="P453" i="20"/>
  <c r="O454" i="20"/>
  <c r="O443" i="20" s="1"/>
  <c r="Y244" i="17"/>
  <c r="X415" i="17"/>
  <c r="X198" i="17" s="1"/>
  <c r="D198" i="17" s="1"/>
  <c r="W341" i="17"/>
  <c r="W138" i="17" s="1"/>
  <c r="X385" i="17"/>
  <c r="X169" i="17" s="1"/>
  <c r="D169" i="17" s="1"/>
  <c r="V223" i="17"/>
  <c r="V47" i="17" s="1"/>
  <c r="V55" i="17" s="1"/>
  <c r="V57" i="17" s="1"/>
  <c r="V58" i="17" s="1"/>
  <c r="W332" i="17"/>
  <c r="X369" i="17"/>
  <c r="X265" i="17"/>
  <c r="W407" i="17"/>
  <c r="W409" i="17" s="1"/>
  <c r="W296" i="17"/>
  <c r="W298" i="17" s="1"/>
  <c r="V334" i="17"/>
  <c r="V137" i="17" s="1"/>
  <c r="V145" i="17" s="1"/>
  <c r="V147" i="17" s="1"/>
  <c r="V148" i="17" s="1"/>
  <c r="W267" i="17"/>
  <c r="W78" i="17" s="1"/>
  <c r="W259" i="17"/>
  <c r="W261" i="17" s="1"/>
  <c r="X376" i="17"/>
  <c r="X339" i="17"/>
  <c r="X304" i="17"/>
  <c r="X108" i="17" s="1"/>
  <c r="D108" i="17" s="1"/>
  <c r="X229" i="17"/>
  <c r="X231" i="17" s="1"/>
  <c r="W221" i="17"/>
  <c r="W378" i="17"/>
  <c r="W168" i="17" s="1"/>
  <c r="W371" i="17"/>
  <c r="W167" i="17" s="1"/>
  <c r="W175" i="17" l="1"/>
  <c r="W177" i="17" s="1"/>
  <c r="W178" i="17" s="1"/>
  <c r="N189" i="12"/>
  <c r="N190" i="12" s="1"/>
  <c r="N243" i="12"/>
  <c r="N230" i="12" s="1"/>
  <c r="O240" i="12"/>
  <c r="O241" i="12" s="1"/>
  <c r="Q453" i="20"/>
  <c r="P454" i="20"/>
  <c r="P443" i="20" s="1"/>
  <c r="O228" i="20"/>
  <c r="O217" i="20" s="1"/>
  <c r="P227" i="20"/>
  <c r="W297" i="17"/>
  <c r="W107" i="17" s="1"/>
  <c r="W115" i="17" s="1"/>
  <c r="W117" i="17" s="1"/>
  <c r="W118" i="17" s="1"/>
  <c r="W260" i="17"/>
  <c r="W77" i="17" s="1"/>
  <c r="W85" i="17" s="1"/>
  <c r="W87" i="17" s="1"/>
  <c r="W88" i="17" s="1"/>
  <c r="Y228" i="17"/>
  <c r="X377" i="17"/>
  <c r="X379" i="17" s="1"/>
  <c r="X230" i="17"/>
  <c r="X48" i="17" s="1"/>
  <c r="D48" i="17" s="1"/>
  <c r="X295" i="17"/>
  <c r="X340" i="17"/>
  <c r="X342" i="17" s="1"/>
  <c r="X406" i="17"/>
  <c r="W222" i="17"/>
  <c r="W224" i="17" s="1"/>
  <c r="X370" i="17"/>
  <c r="X372" i="17" s="1"/>
  <c r="W333" i="17"/>
  <c r="W335" i="17" s="1"/>
  <c r="X266" i="17"/>
  <c r="X268" i="17" s="1"/>
  <c r="X258" i="17"/>
  <c r="W408" i="17"/>
  <c r="W197" i="17" s="1"/>
  <c r="W205" i="17" s="1"/>
  <c r="W207" i="17" s="1"/>
  <c r="W208" i="17" s="1"/>
  <c r="O189" i="12" l="1"/>
  <c r="O190" i="12" s="1"/>
  <c r="O243" i="12"/>
  <c r="O230" i="12" s="1"/>
  <c r="P240" i="12"/>
  <c r="P241" i="12" s="1"/>
  <c r="P228" i="20"/>
  <c r="P217" i="20" s="1"/>
  <c r="Q227" i="20"/>
  <c r="Q454" i="20"/>
  <c r="Q443" i="20" s="1"/>
  <c r="R453" i="20"/>
  <c r="X267" i="17"/>
  <c r="X78" i="17" s="1"/>
  <c r="D78" i="17" s="1"/>
  <c r="W334" i="17"/>
  <c r="W137" i="17" s="1"/>
  <c r="W145" i="17" s="1"/>
  <c r="W147" i="17" s="1"/>
  <c r="W148" i="17" s="1"/>
  <c r="X221" i="17"/>
  <c r="X296" i="17"/>
  <c r="X298" i="17" s="1"/>
  <c r="X259" i="17"/>
  <c r="X261" i="17" s="1"/>
  <c r="X407" i="17"/>
  <c r="X409" i="17" s="1"/>
  <c r="X378" i="17"/>
  <c r="X168" i="17" s="1"/>
  <c r="D168" i="17" s="1"/>
  <c r="X332" i="17"/>
  <c r="X371" i="17"/>
  <c r="X167" i="17" s="1"/>
  <c r="D167" i="17" s="1"/>
  <c r="W223" i="17"/>
  <c r="W47" i="17" s="1"/>
  <c r="W55" i="17" s="1"/>
  <c r="W57" i="17" s="1"/>
  <c r="W58" i="17" s="1"/>
  <c r="X341" i="17"/>
  <c r="X138" i="17" s="1"/>
  <c r="D138" i="17" s="1"/>
  <c r="Y229" i="17"/>
  <c r="Y231" i="17" s="1"/>
  <c r="D175" i="17" l="1"/>
  <c r="D177" i="17" s="1"/>
  <c r="D14" i="17" s="1"/>
  <c r="E14" i="17" s="1"/>
  <c r="I125" i="10" s="1"/>
  <c r="X175" i="17"/>
  <c r="X177" i="17" s="1"/>
  <c r="X178" i="17" s="1"/>
  <c r="D178" i="17" s="1"/>
  <c r="P189" i="12"/>
  <c r="P190" i="12" s="1"/>
  <c r="P243" i="12"/>
  <c r="P230" i="12" s="1"/>
  <c r="Q240" i="12"/>
  <c r="Q241" i="12" s="1"/>
  <c r="R227" i="20"/>
  <c r="Q228" i="20"/>
  <c r="Q217" i="20" s="1"/>
  <c r="S453" i="20"/>
  <c r="R454" i="20"/>
  <c r="R443" i="20" s="1"/>
  <c r="Y230" i="17"/>
  <c r="X333" i="17"/>
  <c r="X335" i="17" s="1"/>
  <c r="X260" i="17"/>
  <c r="X77" i="17" s="1"/>
  <c r="X85" i="17" s="1"/>
  <c r="X87" i="17" s="1"/>
  <c r="X88" i="17" s="1"/>
  <c r="D88" i="17" s="1"/>
  <c r="X408" i="17"/>
  <c r="X197" i="17" s="1"/>
  <c r="X205" i="17" s="1"/>
  <c r="X207" i="17" s="1"/>
  <c r="X208" i="17" s="1"/>
  <c r="D208" i="17" s="1"/>
  <c r="X297" i="17"/>
  <c r="X107" i="17" s="1"/>
  <c r="X115" i="17" s="1"/>
  <c r="X117" i="17" s="1"/>
  <c r="X118" i="17" s="1"/>
  <c r="D118" i="17" s="1"/>
  <c r="X222" i="17"/>
  <c r="X224" i="17" s="1"/>
  <c r="I123" i="10" l="1"/>
  <c r="D197" i="17"/>
  <c r="D205" i="17" s="1"/>
  <c r="D207" i="17" s="1"/>
  <c r="D15" i="17" s="1"/>
  <c r="E15" i="17" s="1"/>
  <c r="J125" i="10" s="1"/>
  <c r="D107" i="17"/>
  <c r="D115" i="17" s="1"/>
  <c r="D117" i="17" s="1"/>
  <c r="D12" i="17" s="1"/>
  <c r="E12" i="17" s="1"/>
  <c r="G125" i="10" s="1"/>
  <c r="D77" i="17"/>
  <c r="D85" i="17" s="1"/>
  <c r="D87" i="17" s="1"/>
  <c r="D11" i="17" s="1"/>
  <c r="F123" i="10" s="1"/>
  <c r="Q189" i="12"/>
  <c r="Q190" i="12" s="1"/>
  <c r="Q243" i="12"/>
  <c r="Q230" i="12" s="1"/>
  <c r="R240" i="12"/>
  <c r="R241" i="12" s="1"/>
  <c r="S454" i="20"/>
  <c r="S443" i="20" s="1"/>
  <c r="T453" i="20"/>
  <c r="S227" i="20"/>
  <c r="R228" i="20"/>
  <c r="R217" i="20" s="1"/>
  <c r="X223" i="17"/>
  <c r="X47" i="17" s="1"/>
  <c r="D47" i="17" s="1"/>
  <c r="D55" i="17" s="1"/>
  <c r="D57" i="17" s="1"/>
  <c r="X334" i="17"/>
  <c r="X137" i="17" s="1"/>
  <c r="X145" i="17" s="1"/>
  <c r="X147" i="17" s="1"/>
  <c r="X148" i="17" s="1"/>
  <c r="D148" i="17" s="1"/>
  <c r="X55" i="17" l="1"/>
  <c r="X57" i="17" s="1"/>
  <c r="X58" i="17" s="1"/>
  <c r="D58" i="17" s="1"/>
  <c r="D10" i="17" s="1"/>
  <c r="E123" i="10" s="1"/>
  <c r="G123" i="10"/>
  <c r="J123" i="10"/>
  <c r="D137" i="17"/>
  <c r="D145" i="17" s="1"/>
  <c r="D147" i="17" s="1"/>
  <c r="D13" i="17" s="1"/>
  <c r="E11" i="17"/>
  <c r="F125" i="10" s="1"/>
  <c r="R189" i="12"/>
  <c r="R190" i="12" s="1"/>
  <c r="R243" i="12"/>
  <c r="R230" i="12" s="1"/>
  <c r="S240" i="12"/>
  <c r="S241" i="12" s="1"/>
  <c r="T454" i="20"/>
  <c r="T443" i="20" s="1"/>
  <c r="U453" i="20"/>
  <c r="S228" i="20"/>
  <c r="S217" i="20" s="1"/>
  <c r="T227" i="20"/>
  <c r="E10" i="17" l="1"/>
  <c r="E125" i="10" s="1"/>
  <c r="E13" i="17"/>
  <c r="H125" i="10" s="1"/>
  <c r="H123" i="10"/>
  <c r="S189" i="12"/>
  <c r="S190" i="12" s="1"/>
  <c r="T240" i="12"/>
  <c r="T241" i="12" s="1"/>
  <c r="S243" i="12"/>
  <c r="S230" i="12" s="1"/>
  <c r="V453" i="20"/>
  <c r="U454" i="20"/>
  <c r="U443" i="20" s="1"/>
  <c r="T228" i="20"/>
  <c r="T217" i="20" s="1"/>
  <c r="U227" i="20"/>
  <c r="T189" i="12" l="1"/>
  <c r="T190" i="12" s="1"/>
  <c r="T243" i="12"/>
  <c r="T230" i="12" s="1"/>
  <c r="U240" i="12"/>
  <c r="U241" i="12" s="1"/>
  <c r="V227" i="20"/>
  <c r="U228" i="20"/>
  <c r="U217" i="20" s="1"/>
  <c r="W453" i="20"/>
  <c r="V454" i="20"/>
  <c r="V443" i="20" s="1"/>
  <c r="U189" i="12" l="1"/>
  <c r="U190" i="12" s="1"/>
  <c r="U243" i="12"/>
  <c r="U230" i="12" s="1"/>
  <c r="V240" i="12"/>
  <c r="V241" i="12" s="1"/>
  <c r="W454" i="20"/>
  <c r="W443" i="20" s="1"/>
  <c r="X453" i="20"/>
  <c r="W227" i="20"/>
  <c r="V228" i="20"/>
  <c r="V217" i="20" s="1"/>
  <c r="V189" i="12" l="1"/>
  <c r="V190" i="12" s="1"/>
  <c r="V243" i="12"/>
  <c r="V230" i="12" s="1"/>
  <c r="W240" i="12"/>
  <c r="W241" i="12" s="1"/>
  <c r="X454" i="20"/>
  <c r="X443" i="20" s="1"/>
  <c r="Y453" i="20"/>
  <c r="Y454" i="20" s="1"/>
  <c r="Y443" i="20" s="1"/>
  <c r="X227" i="20"/>
  <c r="W228" i="20"/>
  <c r="W217" i="20" s="1"/>
  <c r="W189" i="12" l="1"/>
  <c r="W190" i="12" s="1"/>
  <c r="X240" i="12"/>
  <c r="X241" i="12" s="1"/>
  <c r="W243" i="12"/>
  <c r="W230" i="12" s="1"/>
  <c r="X228" i="20"/>
  <c r="X217" i="20" s="1"/>
  <c r="Y227" i="20"/>
  <c r="Y228" i="20" s="1"/>
  <c r="Y217" i="20" s="1"/>
  <c r="X189" i="12" l="1"/>
  <c r="X190" i="12" s="1"/>
  <c r="X243" i="12"/>
  <c r="X230" i="12" s="1"/>
  <c r="Y240" i="12"/>
  <c r="Y241" i="12" l="1"/>
  <c r="Y243" i="12" s="1"/>
  <c r="Y230" i="12" s="1"/>
  <c r="Z240" i="12"/>
  <c r="Y189" i="12"/>
  <c r="Y190" i="12" s="1"/>
  <c r="D199" i="12" s="1"/>
  <c r="F88" i="10" s="1"/>
  <c r="Z189" i="12" l="1"/>
  <c r="Z190" i="12" s="1"/>
  <c r="Z241" i="12"/>
  <c r="Z243" i="12" s="1"/>
  <c r="Z230" i="12" s="1"/>
  <c r="F56" i="24"/>
  <c r="D56" i="24" s="1"/>
  <c r="D38" i="24"/>
  <c r="E206" i="24" s="1"/>
  <c r="E216" i="24" s="1"/>
  <c r="F161" i="24" l="1"/>
  <c r="F57" i="24"/>
  <c r="F170" i="24" l="1"/>
  <c r="D57" i="24"/>
  <c r="E218" i="24" s="1"/>
  <c r="D220" i="24" l="1"/>
  <c r="H220" i="24" l="1"/>
  <c r="G220" i="24"/>
  <c r="F220" i="24"/>
  <c r="D221" i="24"/>
  <c r="I220" i="24"/>
  <c r="C192" i="24" l="1"/>
  <c r="C188" i="24"/>
  <c r="D230" i="24"/>
  <c r="B238" i="24"/>
  <c r="B185" i="24"/>
  <c r="D238" i="24"/>
  <c r="D229" i="24"/>
  <c r="T241" i="24" l="1"/>
  <c r="L241" i="24"/>
  <c r="M241" i="24"/>
  <c r="I230" i="24"/>
  <c r="I192" i="24" s="1"/>
  <c r="I193" i="24" s="1"/>
  <c r="U241" i="24"/>
  <c r="M230" i="24"/>
  <c r="M192" i="24" s="1"/>
  <c r="M193" i="24" s="1"/>
  <c r="P241" i="24"/>
  <c r="H230" i="24"/>
  <c r="H192" i="24" s="1"/>
  <c r="H193" i="24" s="1"/>
  <c r="Y230" i="24"/>
  <c r="Y192" i="24" s="1"/>
  <c r="Y193" i="24" s="1"/>
  <c r="H241" i="24"/>
  <c r="Q230" i="24"/>
  <c r="Q192" i="24" s="1"/>
  <c r="Q193" i="24" s="1"/>
  <c r="O230" i="24"/>
  <c r="O192" i="24" s="1"/>
  <c r="O193" i="24" s="1"/>
  <c r="K230" i="24"/>
  <c r="K192" i="24" s="1"/>
  <c r="K193" i="24" s="1"/>
  <c r="E239" i="24"/>
  <c r="G230" i="24"/>
  <c r="G192" i="24" s="1"/>
  <c r="G193" i="24" s="1"/>
  <c r="S241" i="24"/>
  <c r="F241" i="24"/>
  <c r="S230" i="24"/>
  <c r="S192" i="24" s="1"/>
  <c r="S193" i="24" s="1"/>
  <c r="Q241" i="24"/>
  <c r="J241" i="24"/>
  <c r="F230" i="24"/>
  <c r="F192" i="24" s="1"/>
  <c r="F193" i="24" s="1"/>
  <c r="U230" i="24"/>
  <c r="U192" i="24" s="1"/>
  <c r="U193" i="24" s="1"/>
  <c r="G241" i="24"/>
  <c r="N241" i="24"/>
  <c r="E230" i="24"/>
  <c r="E192" i="24" s="1"/>
  <c r="E193" i="24" s="1"/>
  <c r="X230" i="24"/>
  <c r="X192" i="24" s="1"/>
  <c r="X193" i="24" s="1"/>
  <c r="I241" i="24"/>
  <c r="W230" i="24"/>
  <c r="W192" i="24" s="1"/>
  <c r="W193" i="24" s="1"/>
  <c r="Y241" i="24"/>
  <c r="X241" i="24"/>
  <c r="V230" i="24"/>
  <c r="V192" i="24" s="1"/>
  <c r="V193" i="24" s="1"/>
  <c r="P230" i="24"/>
  <c r="P192" i="24" s="1"/>
  <c r="P193" i="24" s="1"/>
  <c r="W241" i="24"/>
  <c r="E241" i="24"/>
  <c r="O241" i="24"/>
  <c r="V241" i="24"/>
  <c r="R230" i="24"/>
  <c r="R192" i="24" s="1"/>
  <c r="R193" i="24" s="1"/>
  <c r="N230" i="24"/>
  <c r="N192" i="24" s="1"/>
  <c r="N193" i="24" s="1"/>
  <c r="L230" i="24"/>
  <c r="L192" i="24" s="1"/>
  <c r="L193" i="24" s="1"/>
  <c r="K241" i="24"/>
  <c r="J230" i="24"/>
  <c r="J192" i="24" s="1"/>
  <c r="J193" i="24" s="1"/>
  <c r="T230" i="24"/>
  <c r="T192" i="24" s="1"/>
  <c r="T193" i="24" s="1"/>
  <c r="R241" i="24"/>
  <c r="E188" i="24" l="1"/>
  <c r="E189" i="24" s="1"/>
  <c r="F239" i="24"/>
  <c r="E240" i="24"/>
  <c r="E242" i="24" s="1"/>
  <c r="E229" i="24" s="1"/>
  <c r="D197" i="24"/>
  <c r="E194" i="24"/>
  <c r="F194" i="24" s="1"/>
  <c r="G194" i="24" s="1"/>
  <c r="H194" i="24" s="1"/>
  <c r="I194" i="24" s="1"/>
  <c r="J194" i="24" s="1"/>
  <c r="K194" i="24" s="1"/>
  <c r="L194" i="24" s="1"/>
  <c r="M194" i="24" s="1"/>
  <c r="N194" i="24" s="1"/>
  <c r="O194" i="24" s="1"/>
  <c r="P194" i="24" s="1"/>
  <c r="Q194" i="24" s="1"/>
  <c r="R194" i="24" s="1"/>
  <c r="S194" i="24" s="1"/>
  <c r="T194" i="24" s="1"/>
  <c r="U194" i="24" s="1"/>
  <c r="V194" i="24" s="1"/>
  <c r="W194" i="24" s="1"/>
  <c r="X194" i="24" s="1"/>
  <c r="Y194" i="24" s="1"/>
  <c r="D199" i="24" s="1"/>
  <c r="G239" i="24" l="1"/>
  <c r="F240" i="24"/>
  <c r="F242" i="24" s="1"/>
  <c r="F229" i="24" s="1"/>
  <c r="F188" i="24"/>
  <c r="F189" i="24" s="1"/>
  <c r="G188" i="24" l="1"/>
  <c r="G189" i="24" s="1"/>
  <c r="H239" i="24"/>
  <c r="G240" i="24"/>
  <c r="G242" i="24" s="1"/>
  <c r="G229" i="24" s="1"/>
  <c r="I239" i="24" l="1"/>
  <c r="H188" i="24"/>
  <c r="H189" i="24" s="1"/>
  <c r="H240" i="24"/>
  <c r="H242" i="24" s="1"/>
  <c r="H229" i="24" s="1"/>
  <c r="I240" i="24" l="1"/>
  <c r="I242" i="24" s="1"/>
  <c r="I229" i="24" s="1"/>
  <c r="J239" i="24"/>
  <c r="I188" i="24"/>
  <c r="I189" i="24" s="1"/>
  <c r="J240" i="24" l="1"/>
  <c r="J242" i="24" s="1"/>
  <c r="J229" i="24" s="1"/>
  <c r="J188" i="24"/>
  <c r="J189" i="24" s="1"/>
  <c r="K239" i="24"/>
  <c r="L239" i="24" l="1"/>
  <c r="K188" i="24"/>
  <c r="K189" i="24" s="1"/>
  <c r="K240" i="24"/>
  <c r="K242" i="24" s="1"/>
  <c r="K229" i="24" s="1"/>
  <c r="L240" i="24" l="1"/>
  <c r="L242" i="24" s="1"/>
  <c r="L229" i="24" s="1"/>
  <c r="L188" i="24"/>
  <c r="L189" i="24" s="1"/>
  <c r="M239" i="24"/>
  <c r="M240" i="24" l="1"/>
  <c r="M242" i="24" s="1"/>
  <c r="M229" i="24" s="1"/>
  <c r="N239" i="24"/>
  <c r="M188" i="24"/>
  <c r="M189" i="24" s="1"/>
  <c r="N188" i="24" l="1"/>
  <c r="N189" i="24" s="1"/>
  <c r="O239" i="24"/>
  <c r="N240" i="24"/>
  <c r="N242" i="24" s="1"/>
  <c r="N229" i="24" s="1"/>
  <c r="O240" i="24" l="1"/>
  <c r="O242" i="24" s="1"/>
  <c r="O229" i="24" s="1"/>
  <c r="P239" i="24"/>
  <c r="O188" i="24"/>
  <c r="O189" i="24" s="1"/>
  <c r="P240" i="24" l="1"/>
  <c r="P242" i="24" s="1"/>
  <c r="P229" i="24" s="1"/>
  <c r="Q239" i="24"/>
  <c r="P188" i="24"/>
  <c r="P189" i="24" s="1"/>
  <c r="Q240" i="24" l="1"/>
  <c r="Q242" i="24" s="1"/>
  <c r="Q229" i="24" s="1"/>
  <c r="R239" i="24"/>
  <c r="Q188" i="24"/>
  <c r="Q189" i="24" s="1"/>
  <c r="S239" i="24" l="1"/>
  <c r="R240" i="24"/>
  <c r="R242" i="24" s="1"/>
  <c r="R229" i="24" s="1"/>
  <c r="R188" i="24"/>
  <c r="R189" i="24" s="1"/>
  <c r="S240" i="24" l="1"/>
  <c r="S242" i="24" s="1"/>
  <c r="S229" i="24" s="1"/>
  <c r="S188" i="24"/>
  <c r="S189" i="24" s="1"/>
  <c r="T239" i="24"/>
  <c r="U239" i="24" l="1"/>
  <c r="T188" i="24"/>
  <c r="T189" i="24" s="1"/>
  <c r="T240" i="24"/>
  <c r="T242" i="24" s="1"/>
  <c r="T229" i="24" s="1"/>
  <c r="V239" i="24" l="1"/>
  <c r="U188" i="24"/>
  <c r="U189" i="24" s="1"/>
  <c r="U240" i="24"/>
  <c r="U242" i="24" s="1"/>
  <c r="U229" i="24" s="1"/>
  <c r="V188" i="24" l="1"/>
  <c r="V189" i="24" s="1"/>
  <c r="V240" i="24"/>
  <c r="V242" i="24" s="1"/>
  <c r="V229" i="24" s="1"/>
  <c r="W239" i="24"/>
  <c r="W240" i="24" l="1"/>
  <c r="W242" i="24" s="1"/>
  <c r="W229" i="24" s="1"/>
  <c r="W188" i="24"/>
  <c r="W189" i="24" s="1"/>
  <c r="X239" i="24"/>
  <c r="Y239" i="24" l="1"/>
  <c r="X188" i="24"/>
  <c r="X189" i="24" s="1"/>
  <c r="X240" i="24"/>
  <c r="X242" i="24" s="1"/>
  <c r="X229" i="24" s="1"/>
  <c r="Y240" i="24" l="1"/>
  <c r="Y242" i="24" s="1"/>
  <c r="Y229" i="24" s="1"/>
  <c r="Y188" i="24"/>
  <c r="Y189" i="24" s="1"/>
  <c r="D198" i="24" s="1"/>
</calcChain>
</file>

<file path=xl/comments1.xml><?xml version="1.0" encoding="utf-8"?>
<comments xmlns="http://schemas.openxmlformats.org/spreadsheetml/2006/main">
  <authors>
    <author>owner</author>
  </authors>
  <commentList>
    <comment ref="D214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at risk</t>
        </r>
      </text>
    </comment>
    <comment ref="D230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Only the difference in costs are to be included</t>
        </r>
      </text>
    </comment>
    <comment ref="D246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changes in load transfer capacity and the capacity of Embedded Generators to take up load</t>
        </r>
      </text>
    </comment>
    <comment ref="D262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lost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87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PV (Status Quo) / PV (recommended case)</t>
        </r>
      </text>
    </comment>
  </commentList>
</comments>
</file>

<file path=xl/sharedStrings.xml><?xml version="1.0" encoding="utf-8"?>
<sst xmlns="http://schemas.openxmlformats.org/spreadsheetml/2006/main" count="1012" uniqueCount="330">
  <si>
    <t>Project Name :</t>
  </si>
  <si>
    <t>Discount Rate</t>
  </si>
  <si>
    <t>Total Costs</t>
  </si>
  <si>
    <t>Debt</t>
  </si>
  <si>
    <t>Equity</t>
  </si>
  <si>
    <t>Tax Rate</t>
  </si>
  <si>
    <t>10 Yr Bond Rate</t>
  </si>
  <si>
    <t>Margin</t>
  </si>
  <si>
    <t>Market Risk Premium</t>
  </si>
  <si>
    <t>% Franked</t>
  </si>
  <si>
    <t>% Value</t>
  </si>
  <si>
    <t>Beta</t>
  </si>
  <si>
    <t>Discount Rates</t>
  </si>
  <si>
    <t>Description</t>
  </si>
  <si>
    <t>Project Details</t>
  </si>
  <si>
    <t>CAPITAL EXPENDITURE PROPOSAL</t>
  </si>
  <si>
    <t>Inflation (%)</t>
  </si>
  <si>
    <t>Inflation Index</t>
  </si>
  <si>
    <t>Inflation</t>
  </si>
  <si>
    <t>Economic Assessment</t>
  </si>
  <si>
    <t>Internal Rate of Return</t>
  </si>
  <si>
    <t>If yes, how much is allocated?</t>
  </si>
  <si>
    <t>Is the project included in the budget?</t>
  </si>
  <si>
    <t>Project Type :</t>
  </si>
  <si>
    <t>Year in which project will begin :</t>
  </si>
  <si>
    <t>Discount Rate :</t>
  </si>
  <si>
    <t>Budget :</t>
  </si>
  <si>
    <t>Asset</t>
  </si>
  <si>
    <t>Asset :</t>
  </si>
  <si>
    <t>Regulatory Asset Category Proportion (Percentage)</t>
  </si>
  <si>
    <t>Project Type</t>
  </si>
  <si>
    <t>Pay back period (years)</t>
  </si>
  <si>
    <t>Budget Allocation</t>
  </si>
  <si>
    <t>Internal Reference</t>
  </si>
  <si>
    <t>Regulatory Category</t>
  </si>
  <si>
    <t>Non-Standard Control</t>
  </si>
  <si>
    <t>UE</t>
  </si>
  <si>
    <t>REVISION STATUS</t>
  </si>
  <si>
    <t>Date</t>
  </si>
  <si>
    <t>Cell Address</t>
  </si>
  <si>
    <t>Contacts</t>
  </si>
  <si>
    <t>Notes</t>
  </si>
  <si>
    <t xml:space="preserve"> </t>
  </si>
  <si>
    <t>Financial Evaluation Spreadsheet</t>
  </si>
  <si>
    <t xml:space="preserve">      Authorised By GM Asset Management</t>
  </si>
  <si>
    <t>Version</t>
  </si>
  <si>
    <t>becareful</t>
  </si>
  <si>
    <t>t=</t>
  </si>
  <si>
    <t>Cost 4</t>
  </si>
  <si>
    <t>Cost 5</t>
  </si>
  <si>
    <t>Present Value (PV) of Total Costs</t>
  </si>
  <si>
    <t>Option 1</t>
  </si>
  <si>
    <t>Option 2</t>
  </si>
  <si>
    <t>Option 3</t>
  </si>
  <si>
    <t>Option 4</t>
  </si>
  <si>
    <t>Option 5</t>
  </si>
  <si>
    <t>Technical Options</t>
  </si>
  <si>
    <t>Regulatory WACC</t>
  </si>
  <si>
    <t>Business WACC</t>
  </si>
  <si>
    <t>Regulatory WACC (Pre-tax Nominal WACC)</t>
  </si>
  <si>
    <t>Business WACC (Pre-tax Nominal WACC)</t>
  </si>
  <si>
    <t>Equity Beta</t>
  </si>
  <si>
    <t>Utilisation of Imputation (Franking) Credits</t>
  </si>
  <si>
    <t>Effective Tax Rate for Equity (From Relevant Cash flows)</t>
  </si>
  <si>
    <t>Debt Margin</t>
  </si>
  <si>
    <t>Nominal Risk Free Rate (10 Yr Bond Rate)</t>
  </si>
  <si>
    <t>(pretax Nominal WACC)</t>
  </si>
  <si>
    <t>Non-Discretionary (ESMS &amp; other compliance)</t>
  </si>
  <si>
    <t>Non-Discretionary (customer initiated)</t>
  </si>
  <si>
    <t>Discretionary (asset replacement or refurbushment)</t>
  </si>
  <si>
    <t>Discretionary (augmentation and reinforcement)</t>
  </si>
  <si>
    <t>Discretionary (non-network asset)</t>
  </si>
  <si>
    <t>United Energy</t>
  </si>
  <si>
    <t xml:space="preserve">Multinet </t>
  </si>
  <si>
    <t>Results:</t>
  </si>
  <si>
    <t>Options</t>
  </si>
  <si>
    <t>Capital Costs</t>
  </si>
  <si>
    <t>Reference Case</t>
  </si>
  <si>
    <t>$000</t>
  </si>
  <si>
    <t>Summary</t>
  </si>
  <si>
    <t>PV of Total Costs</t>
  </si>
  <si>
    <t>Least Cost Option</t>
  </si>
  <si>
    <t>Difference in Cashflow</t>
  </si>
  <si>
    <t>PV of Difference in Cashflow</t>
  </si>
  <si>
    <t>Present Value of Total Costs</t>
  </si>
  <si>
    <t>Differential Analysis:</t>
  </si>
  <si>
    <t xml:space="preserve">Internal Rate of Return </t>
  </si>
  <si>
    <t>Discounted payback (years)</t>
  </si>
  <si>
    <t xml:space="preserve">Authorisation Date : </t>
  </si>
  <si>
    <t>Difference in PV</t>
  </si>
  <si>
    <t>Analysis</t>
  </si>
  <si>
    <t>Cumulative Table</t>
  </si>
  <si>
    <t>Least Cost (PV)</t>
  </si>
  <si>
    <t>Net Present Value ($000)</t>
  </si>
  <si>
    <t>User Worksheets</t>
  </si>
  <si>
    <t>Worksheet Index</t>
  </si>
  <si>
    <t xml:space="preserve">Administrator Worksheets </t>
  </si>
  <si>
    <t>Version Control</t>
  </si>
  <si>
    <t>Administrator Input</t>
  </si>
  <si>
    <t>User Input</t>
  </si>
  <si>
    <t>Calculations</t>
  </si>
  <si>
    <t>Output</t>
  </si>
  <si>
    <t>Cumulative difference in PV</t>
  </si>
  <si>
    <t>Graph &amp; Working Data</t>
  </si>
  <si>
    <t>($000)</t>
  </si>
  <si>
    <t>$000, nominal</t>
  </si>
  <si>
    <t>Least Cost (Present Value)</t>
  </si>
  <si>
    <t>Go to User Input</t>
  </si>
  <si>
    <t>Go to Calculations</t>
  </si>
  <si>
    <t>Go to Output</t>
  </si>
  <si>
    <t>Hyperlinks</t>
  </si>
  <si>
    <t>Go to Version Control</t>
  </si>
  <si>
    <t>Go to Administrator Input</t>
  </si>
  <si>
    <t>Note:</t>
  </si>
  <si>
    <t>(To use the higher of business WACC or regulatory WACC)</t>
  </si>
  <si>
    <t>Opex</t>
  </si>
  <si>
    <t>Costs</t>
  </si>
  <si>
    <t>NPV</t>
  </si>
  <si>
    <t>Benefits</t>
  </si>
  <si>
    <t>Yes</t>
  </si>
  <si>
    <t>No</t>
  </si>
  <si>
    <t>Status Quo</t>
  </si>
  <si>
    <t>"Status Quo" Reference Case</t>
  </si>
  <si>
    <t>Calculations (RIT-D)</t>
  </si>
  <si>
    <t>Go to Calculations (RIT-D)</t>
  </si>
  <si>
    <t>Blank worksheet for users' other workings</t>
  </si>
  <si>
    <t>Project Ranking</t>
  </si>
  <si>
    <t>Negative Impact on Revenue</t>
  </si>
  <si>
    <t xml:space="preserve">SAIFI sustained </t>
  </si>
  <si>
    <t xml:space="preserve">SAIDI accidental </t>
  </si>
  <si>
    <t xml:space="preserve">MAIFI momentary </t>
  </si>
  <si>
    <t xml:space="preserve">Call centre response </t>
  </si>
  <si>
    <t>SAIFI sustained ($000/interruption)</t>
  </si>
  <si>
    <t>SAIDI accidental ($000/minute)</t>
  </si>
  <si>
    <t>MAIFI momentary ($000/interruption)</t>
  </si>
  <si>
    <t>Call centre response ($000 per 100%)</t>
  </si>
  <si>
    <t>Sensitivity Analysis</t>
  </si>
  <si>
    <t>Costs in response to Network Outages</t>
  </si>
  <si>
    <t>Cost per customer minutes off supply ($000/min)</t>
  </si>
  <si>
    <t>STPIS Period 1</t>
  </si>
  <si>
    <t>STPIS Period 2</t>
  </si>
  <si>
    <t>STPIS Period 3</t>
  </si>
  <si>
    <t>STPIS Period 4</t>
  </si>
  <si>
    <t>Sustained - STPIS Period 1</t>
  </si>
  <si>
    <t>Sustained - STPIS Period 1+2</t>
  </si>
  <si>
    <t>Sustained - STPIS Period 1+2+3</t>
  </si>
  <si>
    <t>Sustained - STPIS Period 1+2+3+4</t>
  </si>
  <si>
    <t>One-off (1 year only)</t>
  </si>
  <si>
    <t>(no. of Interruption)</t>
  </si>
  <si>
    <t>(minutes)</t>
  </si>
  <si>
    <t>(percentage)</t>
  </si>
  <si>
    <t>Unit</t>
  </si>
  <si>
    <t>(Years 2 - 7)</t>
  </si>
  <si>
    <t>(Years 8 - 13)</t>
  </si>
  <si>
    <t>(Years 14 - 19)</t>
  </si>
  <si>
    <t>(Year 20)</t>
  </si>
  <si>
    <t>User Working Sheet</t>
  </si>
  <si>
    <t>Go to User Working Sheet</t>
  </si>
  <si>
    <t>Annual Costs</t>
  </si>
  <si>
    <t>Cumulative Costs</t>
  </si>
  <si>
    <t>Funding Costs</t>
  </si>
  <si>
    <t>Regulatory Investment Test-Distribution (RIT-D)</t>
  </si>
  <si>
    <t>Net Benefit</t>
  </si>
  <si>
    <t>Present Value</t>
  </si>
  <si>
    <t>Annual 'Status Quo' carrying costs</t>
  </si>
  <si>
    <t>Ranking</t>
  </si>
  <si>
    <t>(years)</t>
  </si>
  <si>
    <t>Regulatory Investment Test - Distribution</t>
  </si>
  <si>
    <t>Data for Formatting</t>
  </si>
  <si>
    <t>Assets</t>
  </si>
  <si>
    <t>STPIS</t>
  </si>
  <si>
    <t>Avoided Environmental Impact</t>
  </si>
  <si>
    <t>Community Health and Safety</t>
  </si>
  <si>
    <t>Total Benefits</t>
  </si>
  <si>
    <t>(MWh)</t>
  </si>
  <si>
    <t>Other Benefits</t>
  </si>
  <si>
    <t>Value of Customer Reliability ($/kWh)</t>
  </si>
  <si>
    <t>Avoided Network Losses</t>
  </si>
  <si>
    <t>Avoided Network Losses ($/MWh)</t>
  </si>
  <si>
    <t>- to use the weighted average asset life for the project.</t>
  </si>
  <si>
    <t>- to use the asset life of the biggest capex component as a proxy; or</t>
  </si>
  <si>
    <t>Annualised Costs - Asset Useful Life*</t>
  </si>
  <si>
    <t>* Note (asset useful life):</t>
  </si>
  <si>
    <t>Outstanding Principal</t>
  </si>
  <si>
    <t>Interest Repayment</t>
  </si>
  <si>
    <t>Principal Repayment</t>
  </si>
  <si>
    <t>Total Repayment</t>
  </si>
  <si>
    <t>O&amp;M Costs</t>
  </si>
  <si>
    <t>(% of Capex)</t>
  </si>
  <si>
    <t>Compliance and Admin Costs</t>
  </si>
  <si>
    <t>Other Costs</t>
  </si>
  <si>
    <t>Calculations - capex annualisation</t>
  </si>
  <si>
    <t>Calc (Sensitivities)</t>
  </si>
  <si>
    <t>Go to Calc (Sensitivities)</t>
  </si>
  <si>
    <t>BEST CASE SCENARIO</t>
  </si>
  <si>
    <t>Checklist</t>
  </si>
  <si>
    <t>Does the project contain augmentation component?</t>
  </si>
  <si>
    <t>Sensitivities</t>
  </si>
  <si>
    <t>Best Case Scenario</t>
  </si>
  <si>
    <t>Capex movement</t>
  </si>
  <si>
    <t>Opex movement</t>
  </si>
  <si>
    <t>Capex</t>
  </si>
  <si>
    <t>Worst Case Scenario</t>
  </si>
  <si>
    <t>Sensitivity testing level</t>
  </si>
  <si>
    <t>WORST CASE SCENARIO</t>
  </si>
  <si>
    <t>Go to Best Case Scenario</t>
  </si>
  <si>
    <t>Go to Worst Case Scenario</t>
  </si>
  <si>
    <t>Analysis of difference in cashflow between "Status Quo" and the recommended option</t>
  </si>
  <si>
    <t>Level 1 - lower testing threshold</t>
  </si>
  <si>
    <t>Level 2 - higher testing threshold</t>
  </si>
  <si>
    <t>Note: negative signs for reduction in costs and rates</t>
  </si>
  <si>
    <t>Changes in Voluntary Load Curtailment</t>
  </si>
  <si>
    <t>Changes in Costs to Other Parties</t>
  </si>
  <si>
    <t>Difference in Timing (capex)</t>
  </si>
  <si>
    <t>Rule 5.17.1 (c) 4 (i)</t>
  </si>
  <si>
    <t>Rule 5.17.1 (c) 4 (iii)</t>
  </si>
  <si>
    <t>Rule 5.17.1 (c) 4 (iv)</t>
  </si>
  <si>
    <t>Rule 5.17.1 (c) 4 (ii)</t>
  </si>
  <si>
    <t xml:space="preserve">Changes in Load Transfer Capacity </t>
  </si>
  <si>
    <t>Rule 5.17.1 (c) 4 (v)</t>
  </si>
  <si>
    <t>Value of Voluntary Load Curtailment ($/MWh)</t>
  </si>
  <si>
    <t>Value of Load Transfer Capacity ($/MWh)</t>
  </si>
  <si>
    <t>Rule 5.17.1 (c) 4 (vi)</t>
  </si>
  <si>
    <t>Pending AER guideline</t>
  </si>
  <si>
    <t>Rule 5.17.1 (c) 4 (vii)</t>
  </si>
  <si>
    <t>Rule 5.17.1 (c) 4 (viii)</t>
  </si>
  <si>
    <t>To be determined by the AER</t>
  </si>
  <si>
    <t>Rule 5.17.1 (c) 6 (i)</t>
  </si>
  <si>
    <t>Rule 5.17.1 (c) 6 (ii)</t>
  </si>
  <si>
    <t>Rule 5.17.1 (c) 6 (iii)</t>
  </si>
  <si>
    <t>Rule 5.17.1 (c) 6 (iv)</t>
  </si>
  <si>
    <t>Option Value</t>
  </si>
  <si>
    <t>Calculations based on Approach 6 (levelised costs - period of assessment), guidelines issued by Grid Australia for RIT-Transmission.</t>
  </si>
  <si>
    <t>Present Value Ratio (PVR)</t>
  </si>
  <si>
    <t>Benefit per fire start avoided ($000/fire start)</t>
  </si>
  <si>
    <t>Notes:</t>
  </si>
  <si>
    <t>To update cell link 'User Input') to reflect the latest Version number.</t>
  </si>
  <si>
    <t>Go to Version number in 'User Input'</t>
  </si>
  <si>
    <t>Is this a reliability corrective action?</t>
  </si>
  <si>
    <t>Loss of F-Factor benefit</t>
  </si>
  <si>
    <t>(No. of fire start NOT avoided)</t>
  </si>
  <si>
    <t>Gas reg categories - to be completed</t>
  </si>
  <si>
    <t>Total Capital Costs</t>
  </si>
  <si>
    <t>'Status Quo': annual costs</t>
  </si>
  <si>
    <t>Annualised costs</t>
  </si>
  <si>
    <t>1.0</t>
  </si>
  <si>
    <t>Review Date</t>
  </si>
  <si>
    <t>n/a</t>
  </si>
  <si>
    <t>Firast issue of new Capex evaluation method</t>
  </si>
  <si>
    <t>Shaun Glasson</t>
  </si>
  <si>
    <t>*Reliability Corrective Action: any augmentation work above $5m required to meet the network service standards stipulated  under S5.1 or any other service standards required under the jurisdictional regulatory instruments (the Victorian code).</t>
  </si>
  <si>
    <t>Probability %</t>
  </si>
  <si>
    <r>
      <t xml:space="preserve">Benefits that may be considered if RIT-D is </t>
    </r>
    <r>
      <rPr>
        <b/>
        <sz val="10"/>
        <color indexed="10"/>
        <rFont val="Arial"/>
        <family val="2"/>
      </rPr>
      <t>NOT</t>
    </r>
    <r>
      <rPr>
        <b/>
        <sz val="10"/>
        <rFont val="Arial"/>
        <family val="2"/>
      </rPr>
      <t xml:space="preserve"> compulsory</t>
    </r>
  </si>
  <si>
    <r>
      <t>*(</t>
    </r>
    <r>
      <rPr>
        <b/>
        <i/>
        <sz val="10"/>
        <rFont val="Arial"/>
        <family val="2"/>
      </rPr>
      <t>Not</t>
    </r>
    <r>
      <rPr>
        <i/>
        <sz val="10"/>
        <rFont val="Arial"/>
        <family val="2"/>
      </rPr>
      <t xml:space="preserve"> for the use of regulatory compliance but for internal advisory purposes only)</t>
    </r>
  </si>
  <si>
    <t>PV Total</t>
  </si>
  <si>
    <t>Present Value Output</t>
  </si>
  <si>
    <t>Updated STPIS reliability incentive rates as per UE value of reliability document.</t>
  </si>
  <si>
    <t>Ben Hutchinson</t>
  </si>
  <si>
    <t>Project Name:</t>
  </si>
  <si>
    <t>Financial Summary</t>
  </si>
  <si>
    <t>Net Capex ($)</t>
  </si>
  <si>
    <t>Opex ($)</t>
  </si>
  <si>
    <t>STPIS ($)</t>
  </si>
  <si>
    <t>Risk*** ($)</t>
  </si>
  <si>
    <t>"Status Quo" 
Reference Case</t>
  </si>
  <si>
    <t xml:space="preserve">BUSINESS COSTS </t>
  </si>
  <si>
    <t>Driver</t>
  </si>
  <si>
    <t>Net Capex</t>
  </si>
  <si>
    <t>Maintenance Opex Costs</t>
  </si>
  <si>
    <t>Project Costs: Status Quo</t>
  </si>
  <si>
    <t>SAIDI Costs</t>
  </si>
  <si>
    <t>Opex costs</t>
  </si>
  <si>
    <t>New Business Case Output tab, designed to copy and paste values straight into BC doc</t>
  </si>
  <si>
    <t>Tim Chapman</t>
  </si>
  <si>
    <t>Business Case Output</t>
  </si>
  <si>
    <t>Go to Business Case Output</t>
  </si>
  <si>
    <t>SAIFI Costs</t>
  </si>
  <si>
    <t>MAIFI Costs</t>
  </si>
  <si>
    <t>Risk 1</t>
  </si>
  <si>
    <t>Risk 2</t>
  </si>
  <si>
    <t>Risk 3</t>
  </si>
  <si>
    <t>Risk 4</t>
  </si>
  <si>
    <t>Risk 5</t>
  </si>
  <si>
    <t>ZSS</t>
  </si>
  <si>
    <t>SAIDI</t>
  </si>
  <si>
    <t>SAIFI</t>
  </si>
  <si>
    <t>MAIFI</t>
  </si>
  <si>
    <t>CB</t>
  </si>
  <si>
    <t>1/2 BUS</t>
  </si>
  <si>
    <t>BUS TRIP</t>
  </si>
  <si>
    <t>Update version number and authorisation date</t>
  </si>
  <si>
    <t>Change Other Opex in input sheet to Risk 1 to 5</t>
  </si>
  <si>
    <t>Risk</t>
  </si>
  <si>
    <t>Risks</t>
  </si>
  <si>
    <t>Update Business Case Output to allow risk to flow through</t>
  </si>
  <si>
    <t>Network Outage Costs</t>
  </si>
  <si>
    <t>Loss of F Factor Benefit</t>
  </si>
  <si>
    <t>PV Cost</t>
  </si>
  <si>
    <t>$25,000 per fire start</t>
  </si>
  <si>
    <t>Update Business Case Output to correct Options summary</t>
  </si>
  <si>
    <t>Update Calculations (RIT-D) sheet to remove #NUM</t>
  </si>
  <si>
    <t>Level 3 - User defined</t>
  </si>
  <si>
    <t>User defined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</si>
  <si>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User defined allows the use to determine the most likely uppper and lower bounds of the sensitivity analysis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</si>
  <si>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using the 'User Defined' all variables must be must be over-written (base assumption is zero)</t>
    </r>
  </si>
  <si>
    <t>Correct formulas in the Calc (Sensitivities) sheet</t>
  </si>
  <si>
    <t>Add functionality to Sensitivities Analysis (Sheets: User Input, Calc (Sensitivities), Administrator Input)</t>
  </si>
  <si>
    <t>Years</t>
  </si>
  <si>
    <t>Probability of failure</t>
  </si>
  <si>
    <t>Customer off supply</t>
  </si>
  <si>
    <t>Least Cost (Net Present Cost)</t>
  </si>
  <si>
    <t>Create Optimal Timing Analysis</t>
  </si>
  <si>
    <t>Replace Optimal Timing chart in Output</t>
  </si>
  <si>
    <t>Failure rate over time</t>
  </si>
  <si>
    <t>Go to Failure rate over time</t>
  </si>
  <si>
    <t>Cost 2</t>
  </si>
  <si>
    <t>Cost 3</t>
  </si>
  <si>
    <t>Least Net Cost ($) (PV)</t>
  </si>
  <si>
    <t>Reliability &amp; Power Quality Maintained</t>
  </si>
  <si>
    <t>Maintenance Costs</t>
  </si>
  <si>
    <t>Cost 1</t>
  </si>
  <si>
    <t>Input in real2015$</t>
  </si>
  <si>
    <t>Discount index</t>
  </si>
  <si>
    <t>David Volf</t>
  </si>
  <si>
    <t>Format for Real $2015 assessment</t>
  </si>
  <si>
    <t>Input in Real $2015</t>
  </si>
  <si>
    <t>Year of construction</t>
  </si>
  <si>
    <t>Provide In Meter Capabilities</t>
  </si>
  <si>
    <t>Provide In Meter Capabilities with Near Real-time Centralised Analytics</t>
  </si>
  <si>
    <t>In meter capability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</si>
</sst>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;[Red]\-&quot;$&quot;#,##0.00"/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"/>
    <numFmt numFmtId="169" formatCode="0.0"/>
    <numFmt numFmtId="170" formatCode="_(* #,##0_);_(* \(#,##0\);_(* &quot;-&quot;??_);_(@_)"/>
    <numFmt numFmtId="171" formatCode="0.0000"/>
    <numFmt numFmtId="172" formatCode="0.0%"/>
    <numFmt numFmtId="173" formatCode="#,##0;\(#,##0\)"/>
    <numFmt numFmtId="174" formatCode="_-* #,##0.000_-;\-* #,##0.000_-;_-* &quot;-&quot;??_-;_-@_-"/>
    <numFmt numFmtId="175" formatCode="#,##0.0"/>
    <numFmt numFmtId="176" formatCode="0000"/>
    <numFmt numFmtId="177" formatCode="&quot;$&quot;#,##0"/>
    <numFmt numFmtId="178" formatCode="General_)"/>
    <numFmt numFmtId="179" formatCode="_(* #,##0.0_);_(* \(#,##0.0\);_(* &quot;-&quot;???_);_(@_)"/>
    <numFmt numFmtId="180" formatCode="_(* #,##0.0_);_(* \(#,##0.0\);_(* &quot;-&quot;??_);_(@_)"/>
    <numFmt numFmtId="181" formatCode="_(* #,##0.0_);_(* \(#,##0.0\);_(* &quot;-&quot;?_);_(@_)"/>
    <numFmt numFmtId="182" formatCode="_(* &quot;$&quot;#,##0_);_(* \(&quot;$&quot;#,##0\);_(* &quot;$&quot;0??_);_(@_)"/>
    <numFmt numFmtId="183" formatCode="[$-C09]dd\-mmm\-yy;@"/>
    <numFmt numFmtId="184" formatCode="#,##0.000"/>
    <numFmt numFmtId="185" formatCode="#,##0.0000"/>
    <numFmt numFmtId="186" formatCode="_(* #,##0_);_(* \(#,##0\);_(* &quot;-&quot;???_);_(@_)"/>
    <numFmt numFmtId="187" formatCode="_(* #,##0.000_);_(* \(#,##0.000\);_(* &quot;-&quot;??_);_(@_)"/>
  </numFmts>
  <fonts count="70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Lucida Sans Unicode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color indexed="2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44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u/>
      <sz val="14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b/>
      <u/>
      <sz val="10"/>
      <color indexed="13"/>
      <name val="Arial"/>
      <family val="2"/>
    </font>
    <font>
      <b/>
      <i/>
      <sz val="10"/>
      <color indexed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10"/>
      <color indexed="13"/>
      <name val="Arial"/>
      <family val="2"/>
    </font>
    <font>
      <i/>
      <sz val="8"/>
      <color indexed="22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color indexed="61"/>
      <name val="Arial"/>
      <family val="2"/>
    </font>
    <font>
      <u/>
      <sz val="10"/>
      <color indexed="61"/>
      <name val="Arial"/>
      <family val="2"/>
    </font>
    <font>
      <b/>
      <u/>
      <sz val="10"/>
      <color indexed="12"/>
      <name val="Arial"/>
      <family val="2"/>
    </font>
    <font>
      <sz val="10"/>
      <color indexed="49"/>
      <name val="Arial"/>
      <family val="2"/>
    </font>
    <font>
      <sz val="10"/>
      <color indexed="49"/>
      <name val="Symbol"/>
      <family val="1"/>
      <charset val="2"/>
    </font>
    <font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2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3F3F76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lightGray"/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3"/>
      </bottom>
      <diagonal/>
    </border>
    <border>
      <left/>
      <right/>
      <top style="thin">
        <color theme="0"/>
      </top>
      <bottom style="thick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 style="dotted">
        <color theme="2"/>
      </left>
      <right style="dotted">
        <color theme="2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/>
    <xf numFmtId="9" fontId="2" fillId="0" borderId="0" applyFont="0" applyFill="0" applyBorder="0" applyAlignment="0" applyProtection="0"/>
    <xf numFmtId="0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183" fontId="1" fillId="12" borderId="0" applyNumberFormat="0" applyBorder="0" applyAlignment="0" applyProtection="0"/>
    <xf numFmtId="183" fontId="1" fillId="13" borderId="0" applyNumberFormat="0" applyBorder="0" applyAlignment="0" applyProtection="0"/>
    <xf numFmtId="183" fontId="1" fillId="11" borderId="0" applyNumberFormat="0" applyBorder="0" applyAlignment="0" applyProtection="0"/>
    <xf numFmtId="183" fontId="1" fillId="14" borderId="0" applyNumberFormat="0" applyBorder="0" applyAlignment="0" applyProtection="0"/>
    <xf numFmtId="0" fontId="69" fillId="15" borderId="73" applyNumberFormat="0" applyAlignment="0" applyProtection="0"/>
  </cellStyleXfs>
  <cellXfs count="712">
    <xf numFmtId="0" fontId="0" fillId="0" borderId="0" xfId="0"/>
    <xf numFmtId="0" fontId="0" fillId="0" borderId="0" xfId="0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/>
    <xf numFmtId="0" fontId="8" fillId="0" borderId="0" xfId="0" quotePrefix="1" applyFont="1" applyBorder="1" applyAlignment="1">
      <alignment horizontal="left"/>
    </xf>
    <xf numFmtId="0" fontId="3" fillId="0" borderId="0" xfId="0" applyFont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Border="1"/>
    <xf numFmtId="172" fontId="4" fillId="0" borderId="0" xfId="5" applyNumberFormat="1" applyFont="1" applyFill="1" applyBorder="1"/>
    <xf numFmtId="174" fontId="4" fillId="0" borderId="3" xfId="1" applyNumberFormat="1" applyFont="1" applyFill="1" applyBorder="1"/>
    <xf numFmtId="0" fontId="4" fillId="0" borderId="3" xfId="0" applyFont="1" applyFill="1" applyBorder="1"/>
    <xf numFmtId="173" fontId="4" fillId="0" borderId="0" xfId="1" applyNumberFormat="1" applyFont="1" applyFill="1" applyBorder="1"/>
    <xf numFmtId="37" fontId="3" fillId="0" borderId="0" xfId="0" applyNumberFormat="1" applyFont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 applyFill="1"/>
    <xf numFmtId="0" fontId="15" fillId="0" borderId="0" xfId="0" applyFont="1" applyFill="1"/>
    <xf numFmtId="0" fontId="18" fillId="0" borderId="0" xfId="0" applyFont="1" applyFill="1"/>
    <xf numFmtId="178" fontId="19" fillId="0" borderId="0" xfId="0" applyNumberFormat="1" applyFont="1" applyFill="1" applyBorder="1" applyAlignment="1" applyProtection="1">
      <alignment horizontal="left"/>
    </xf>
    <xf numFmtId="178" fontId="13" fillId="0" borderId="0" xfId="0" applyNumberFormat="1" applyFont="1" applyFill="1" applyBorder="1" applyProtection="1"/>
    <xf numFmtId="0" fontId="2" fillId="0" borderId="0" xfId="0" applyFont="1"/>
    <xf numFmtId="178" fontId="20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Alignment="1" applyProtection="1">
      <alignment horizontal="left"/>
    </xf>
    <xf numFmtId="178" fontId="19" fillId="0" borderId="6" xfId="0" applyNumberFormat="1" applyFont="1" applyFill="1" applyBorder="1" applyAlignment="1" applyProtection="1">
      <alignment horizontal="left"/>
    </xf>
    <xf numFmtId="178" fontId="13" fillId="0" borderId="7" xfId="0" applyNumberFormat="1" applyFont="1" applyFill="1" applyBorder="1" applyProtection="1"/>
    <xf numFmtId="178" fontId="13" fillId="0" borderId="8" xfId="0" applyNumberFormat="1" applyFont="1" applyFill="1" applyBorder="1" applyProtection="1"/>
    <xf numFmtId="178" fontId="3" fillId="0" borderId="0" xfId="0" applyNumberFormat="1" applyFont="1" applyFill="1" applyBorder="1" applyProtection="1"/>
    <xf numFmtId="178" fontId="6" fillId="0" borderId="0" xfId="0" applyNumberFormat="1" applyFont="1" applyFill="1" applyBorder="1" applyAlignment="1" applyProtection="1">
      <alignment horizontal="left"/>
    </xf>
    <xf numFmtId="15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applyNumberFormat="1" applyFont="1" applyFill="1" applyBorder="1" applyProtection="1">
      <protection locked="0"/>
    </xf>
    <xf numFmtId="178" fontId="2" fillId="0" borderId="10" xfId="0" applyNumberFormat="1" applyFont="1" applyFill="1" applyBorder="1" applyProtection="1">
      <protection locked="0"/>
    </xf>
    <xf numFmtId="178" fontId="2" fillId="0" borderId="11" xfId="0" applyNumberFormat="1" applyFont="1" applyFill="1" applyBorder="1" applyProtection="1">
      <protection locked="0"/>
    </xf>
    <xf numFmtId="178" fontId="2" fillId="0" borderId="9" xfId="0" applyNumberFormat="1" applyFont="1" applyFill="1" applyBorder="1" applyAlignment="1" applyProtection="1">
      <alignment wrapText="1"/>
      <protection locked="0"/>
    </xf>
    <xf numFmtId="178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quotePrefix="1" applyNumberFormat="1" applyFont="1" applyFill="1" applyBorder="1" applyProtection="1">
      <protection locked="0"/>
    </xf>
    <xf numFmtId="178" fontId="20" fillId="0" borderId="0" xfId="0" applyNumberFormat="1" applyFont="1" applyFill="1" applyBorder="1" applyProtection="1"/>
    <xf numFmtId="178" fontId="2" fillId="0" borderId="9" xfId="0" applyNumberFormat="1" applyFont="1" applyFill="1" applyBorder="1" applyProtection="1"/>
    <xf numFmtId="178" fontId="2" fillId="0" borderId="10" xfId="0" applyNumberFormat="1" applyFont="1" applyFill="1" applyBorder="1" applyProtection="1"/>
    <xf numFmtId="178" fontId="2" fillId="0" borderId="11" xfId="0" applyNumberFormat="1" applyFont="1" applyFill="1" applyBorder="1" applyProtection="1"/>
    <xf numFmtId="178" fontId="2" fillId="0" borderId="10" xfId="0" applyNumberFormat="1" applyFont="1" applyFill="1" applyBorder="1" applyAlignment="1" applyProtection="1">
      <alignment horizontal="left" wrapText="1"/>
    </xf>
    <xf numFmtId="178" fontId="2" fillId="0" borderId="10" xfId="0" applyNumberFormat="1" applyFont="1" applyFill="1" applyBorder="1" applyAlignment="1" applyProtection="1">
      <alignment wrapText="1"/>
      <protection locked="0"/>
    </xf>
    <xf numFmtId="178" fontId="21" fillId="0" borderId="9" xfId="0" applyNumberFormat="1" applyFont="1" applyFill="1" applyBorder="1" applyProtection="1">
      <protection locked="0"/>
    </xf>
    <xf numFmtId="15" fontId="2" fillId="0" borderId="0" xfId="0" applyNumberFormat="1" applyFont="1"/>
    <xf numFmtId="0" fontId="10" fillId="0" borderId="4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73" fontId="4" fillId="0" borderId="3" xfId="1" applyNumberFormat="1" applyFont="1" applyFill="1" applyBorder="1"/>
    <xf numFmtId="0" fontId="4" fillId="0" borderId="3" xfId="0" quotePrefix="1" applyFont="1" applyBorder="1" applyAlignment="1">
      <alignment horizontal="left"/>
    </xf>
    <xf numFmtId="173" fontId="4" fillId="0" borderId="3" xfId="0" applyNumberFormat="1" applyFont="1" applyFill="1" applyBorder="1"/>
    <xf numFmtId="0" fontId="12" fillId="0" borderId="0" xfId="0" quotePrefix="1" applyFont="1" applyBorder="1" applyAlignment="1">
      <alignment horizontal="left"/>
    </xf>
    <xf numFmtId="0" fontId="7" fillId="0" borderId="0" xfId="0" applyFont="1" applyBorder="1"/>
    <xf numFmtId="0" fontId="4" fillId="0" borderId="12" xfId="0" applyFont="1" applyBorder="1"/>
    <xf numFmtId="0" fontId="4" fillId="0" borderId="5" xfId="0" quotePrefix="1" applyFont="1" applyBorder="1" applyAlignment="1">
      <alignment horizontal="left"/>
    </xf>
    <xf numFmtId="173" fontId="4" fillId="0" borderId="5" xfId="0" applyNumberFormat="1" applyFont="1" applyFill="1" applyBorder="1"/>
    <xf numFmtId="179" fontId="4" fillId="0" borderId="0" xfId="0" applyNumberFormat="1" applyFont="1" applyFill="1" applyBorder="1"/>
    <xf numFmtId="179" fontId="3" fillId="0" borderId="14" xfId="0" applyNumberFormat="1" applyFont="1" applyFill="1" applyBorder="1"/>
    <xf numFmtId="179" fontId="3" fillId="0" borderId="15" xfId="0" applyNumberFormat="1" applyFont="1" applyFill="1" applyBorder="1"/>
    <xf numFmtId="179" fontId="3" fillId="0" borderId="16" xfId="0" applyNumberFormat="1" applyFont="1" applyFill="1" applyBorder="1" applyAlignment="1"/>
    <xf numFmtId="180" fontId="3" fillId="0" borderId="14" xfId="0" applyNumberFormat="1" applyFont="1" applyFill="1" applyBorder="1"/>
    <xf numFmtId="180" fontId="3" fillId="0" borderId="15" xfId="0" applyNumberFormat="1" applyFont="1" applyFill="1" applyBorder="1"/>
    <xf numFmtId="3" fontId="4" fillId="0" borderId="0" xfId="0" applyNumberFormat="1" applyFont="1" applyFill="1" applyAlignment="1">
      <alignment horizontal="right" vertical="top" wrapText="1"/>
    </xf>
    <xf numFmtId="9" fontId="4" fillId="0" borderId="0" xfId="5" applyFont="1" applyFill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10" fontId="2" fillId="0" borderId="0" xfId="5" applyNumberFormat="1" applyFont="1" applyFill="1" applyBorder="1" applyAlignment="1" applyProtection="1">
      <alignment horizontal="center"/>
      <protection locked="0"/>
    </xf>
    <xf numFmtId="10" fontId="23" fillId="0" borderId="0" xfId="5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</xf>
    <xf numFmtId="10" fontId="0" fillId="0" borderId="0" xfId="5" applyNumberFormat="1" applyFont="1" applyFill="1"/>
    <xf numFmtId="179" fontId="3" fillId="0" borderId="0" xfId="0" applyNumberFormat="1" applyFont="1" applyFill="1" applyBorder="1"/>
    <xf numFmtId="0" fontId="3" fillId="0" borderId="17" xfId="0" applyFont="1" applyBorder="1"/>
    <xf numFmtId="0" fontId="24" fillId="0" borderId="0" xfId="0" applyFont="1" applyBorder="1"/>
    <xf numFmtId="0" fontId="2" fillId="0" borderId="0" xfId="0" applyFont="1" applyBorder="1"/>
    <xf numFmtId="179" fontId="4" fillId="0" borderId="0" xfId="0" applyNumberFormat="1" applyFont="1" applyBorder="1"/>
    <xf numFmtId="179" fontId="4" fillId="0" borderId="15" xfId="0" applyNumberFormat="1" applyFont="1" applyBorder="1"/>
    <xf numFmtId="179" fontId="3" fillId="0" borderId="0" xfId="0" applyNumberFormat="1" applyFont="1" applyBorder="1"/>
    <xf numFmtId="180" fontId="4" fillId="0" borderId="0" xfId="0" applyNumberFormat="1" applyFont="1" applyBorder="1"/>
    <xf numFmtId="0" fontId="26" fillId="0" borderId="0" xfId="0" applyFont="1" applyBorder="1"/>
    <xf numFmtId="9" fontId="3" fillId="0" borderId="16" xfId="0" applyNumberFormat="1" applyFont="1" applyBorder="1"/>
    <xf numFmtId="178" fontId="13" fillId="0" borderId="9" xfId="0" applyNumberFormat="1" applyFont="1" applyFill="1" applyBorder="1" applyProtection="1"/>
    <xf numFmtId="178" fontId="13" fillId="0" borderId="10" xfId="0" applyNumberFormat="1" applyFont="1" applyFill="1" applyBorder="1" applyAlignment="1" applyProtection="1">
      <alignment horizontal="left"/>
    </xf>
    <xf numFmtId="178" fontId="13" fillId="0" borderId="10" xfId="0" applyNumberFormat="1" applyFont="1" applyFill="1" applyBorder="1" applyProtection="1"/>
    <xf numFmtId="178" fontId="13" fillId="0" borderId="11" xfId="0" applyNumberFormat="1" applyFont="1" applyFill="1" applyBorder="1" applyProtection="1"/>
    <xf numFmtId="178" fontId="6" fillId="0" borderId="18" xfId="0" applyNumberFormat="1" applyFont="1" applyFill="1" applyBorder="1" applyProtection="1"/>
    <xf numFmtId="178" fontId="6" fillId="0" borderId="18" xfId="0" applyNumberFormat="1" applyFont="1" applyFill="1" applyBorder="1" applyAlignment="1" applyProtection="1">
      <alignment horizontal="left"/>
    </xf>
    <xf numFmtId="178" fontId="6" fillId="0" borderId="19" xfId="0" applyNumberFormat="1" applyFont="1" applyFill="1" applyBorder="1" applyAlignment="1" applyProtection="1">
      <alignment horizontal="left"/>
    </xf>
    <xf numFmtId="178" fontId="13" fillId="0" borderId="20" xfId="0" applyNumberFormat="1" applyFont="1" applyFill="1" applyBorder="1" applyProtection="1"/>
    <xf numFmtId="178" fontId="2" fillId="0" borderId="2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/>
    <xf numFmtId="178" fontId="2" fillId="0" borderId="21" xfId="0" quotePrefix="1" applyNumberFormat="1" applyFont="1" applyFill="1" applyBorder="1" applyProtection="1">
      <protection locked="0"/>
    </xf>
    <xf numFmtId="178" fontId="2" fillId="0" borderId="22" xfId="0" applyNumberFormat="1" applyFont="1" applyFill="1" applyBorder="1" applyProtection="1">
      <protection locked="0"/>
    </xf>
    <xf numFmtId="178" fontId="2" fillId="0" borderId="13" xfId="0" applyNumberFormat="1" applyFont="1" applyFill="1" applyBorder="1" applyProtection="1">
      <protection locked="0"/>
    </xf>
    <xf numFmtId="178" fontId="21" fillId="0" borderId="21" xfId="0" applyNumberFormat="1" applyFont="1" applyFill="1" applyBorder="1" applyProtection="1">
      <protection locked="0"/>
    </xf>
    <xf numFmtId="37" fontId="29" fillId="0" borderId="0" xfId="0" applyNumberFormat="1" applyFont="1" applyAlignment="1" applyProtection="1"/>
    <xf numFmtId="37" fontId="30" fillId="0" borderId="0" xfId="0" applyNumberFormat="1" applyFont="1" applyAlignment="1" applyProtection="1">
      <alignment horizontal="center"/>
    </xf>
    <xf numFmtId="10" fontId="29" fillId="0" borderId="0" xfId="5" applyNumberFormat="1" applyFont="1" applyAlignment="1" applyProtection="1">
      <alignment horizontal="center"/>
    </xf>
    <xf numFmtId="0" fontId="10" fillId="0" borderId="0" xfId="0" applyFont="1" applyBorder="1"/>
    <xf numFmtId="179" fontId="10" fillId="0" borderId="0" xfId="0" applyNumberFormat="1" applyFont="1" applyBorder="1"/>
    <xf numFmtId="0" fontId="3" fillId="0" borderId="16" xfId="0" applyFont="1" applyBorder="1" applyAlignment="1"/>
    <xf numFmtId="0" fontId="2" fillId="0" borderId="4" xfId="0" applyFont="1" applyBorder="1"/>
    <xf numFmtId="0" fontId="2" fillId="0" borderId="12" xfId="0" applyFont="1" applyBorder="1"/>
    <xf numFmtId="0" fontId="4" fillId="0" borderId="5" xfId="0" applyFont="1" applyBorder="1"/>
    <xf numFmtId="173" fontId="4" fillId="0" borderId="5" xfId="1" applyNumberFormat="1" applyFont="1" applyFill="1" applyBorder="1"/>
    <xf numFmtId="173" fontId="26" fillId="0" borderId="0" xfId="1" applyNumberFormat="1" applyFont="1" applyFill="1" applyBorder="1"/>
    <xf numFmtId="0" fontId="4" fillId="0" borderId="10" xfId="0" applyFont="1" applyBorder="1"/>
    <xf numFmtId="173" fontId="3" fillId="0" borderId="11" xfId="1" applyNumberFormat="1" applyFont="1" applyFill="1" applyBorder="1" applyAlignment="1">
      <alignment horizontal="center" wrapText="1"/>
    </xf>
    <xf numFmtId="0" fontId="2" fillId="0" borderId="10" xfId="0" applyFont="1" applyBorder="1"/>
    <xf numFmtId="179" fontId="4" fillId="0" borderId="11" xfId="0" applyNumberFormat="1" applyFont="1" applyBorder="1"/>
    <xf numFmtId="0" fontId="3" fillId="0" borderId="10" xfId="0" applyFont="1" applyBorder="1"/>
    <xf numFmtId="173" fontId="4" fillId="0" borderId="11" xfId="1" applyNumberFormat="1" applyFont="1" applyFill="1" applyBorder="1"/>
    <xf numFmtId="0" fontId="3" fillId="0" borderId="22" xfId="0" applyFont="1" applyBorder="1"/>
    <xf numFmtId="179" fontId="3" fillId="0" borderId="13" xfId="0" applyNumberFormat="1" applyFont="1" applyBorder="1"/>
    <xf numFmtId="0" fontId="3" fillId="0" borderId="10" xfId="0" applyFont="1" applyBorder="1" applyAlignment="1">
      <alignment horizontal="center" wrapText="1"/>
    </xf>
    <xf numFmtId="179" fontId="4" fillId="0" borderId="10" xfId="0" applyNumberFormat="1" applyFont="1" applyBorder="1"/>
    <xf numFmtId="179" fontId="3" fillId="0" borderId="19" xfId="0" applyNumberFormat="1" applyFont="1" applyBorder="1"/>
    <xf numFmtId="179" fontId="3" fillId="0" borderId="22" xfId="0" applyNumberFormat="1" applyFont="1" applyBorder="1"/>
    <xf numFmtId="173" fontId="3" fillId="0" borderId="9" xfId="1" applyNumberFormat="1" applyFont="1" applyFill="1" applyBorder="1" applyAlignment="1">
      <alignment horizontal="center" wrapText="1"/>
    </xf>
    <xf numFmtId="179" fontId="4" fillId="0" borderId="9" xfId="0" applyNumberFormat="1" applyFont="1" applyBorder="1"/>
    <xf numFmtId="179" fontId="3" fillId="0" borderId="18" xfId="0" applyNumberFormat="1" applyFont="1" applyBorder="1"/>
    <xf numFmtId="173" fontId="4" fillId="0" borderId="9" xfId="1" applyNumberFormat="1" applyFont="1" applyFill="1" applyBorder="1"/>
    <xf numFmtId="179" fontId="3" fillId="0" borderId="21" xfId="0" applyNumberFormat="1" applyFont="1" applyBorder="1"/>
    <xf numFmtId="0" fontId="3" fillId="0" borderId="0" xfId="0" applyFont="1"/>
    <xf numFmtId="0" fontId="26" fillId="0" borderId="4" xfId="0" applyFont="1" applyBorder="1"/>
    <xf numFmtId="0" fontId="26" fillId="0" borderId="4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12" fillId="0" borderId="0" xfId="0" applyNumberFormat="1" applyFont="1" applyFill="1" applyBorder="1"/>
    <xf numFmtId="170" fontId="2" fillId="0" borderId="0" xfId="1" applyNumberFormat="1" applyFont="1" applyFill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indent="2"/>
    </xf>
    <xf numFmtId="179" fontId="2" fillId="0" borderId="0" xfId="0" applyNumberFormat="1" applyFont="1" applyFill="1" applyBorder="1"/>
    <xf numFmtId="0" fontId="4" fillId="0" borderId="4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179" fontId="2" fillId="0" borderId="0" xfId="0" applyNumberFormat="1" applyFont="1" applyBorder="1"/>
    <xf numFmtId="179" fontId="12" fillId="0" borderId="0" xfId="1" applyNumberFormat="1" applyFont="1" applyFill="1" applyBorder="1"/>
    <xf numFmtId="179" fontId="3" fillId="0" borderId="0" xfId="1" applyNumberFormat="1" applyFont="1" applyFill="1" applyBorder="1"/>
    <xf numFmtId="179" fontId="3" fillId="0" borderId="15" xfId="1" applyNumberFormat="1" applyFont="1" applyFill="1" applyBorder="1"/>
    <xf numFmtId="179" fontId="3" fillId="0" borderId="23" xfId="0" applyNumberFormat="1" applyFont="1" applyFill="1" applyBorder="1"/>
    <xf numFmtId="180" fontId="3" fillId="0" borderId="15" xfId="1" applyNumberFormat="1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/>
    </xf>
    <xf numFmtId="0" fontId="18" fillId="0" borderId="0" xfId="4" applyFont="1"/>
    <xf numFmtId="0" fontId="18" fillId="0" borderId="0" xfId="4" applyFont="1" applyAlignment="1">
      <alignment horizontal="center"/>
    </xf>
    <xf numFmtId="0" fontId="4" fillId="0" borderId="0" xfId="4" applyFont="1"/>
    <xf numFmtId="0" fontId="37" fillId="0" borderId="0" xfId="4" applyFont="1"/>
    <xf numFmtId="0" fontId="25" fillId="0" borderId="3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7" xfId="0" applyFont="1" applyFill="1" applyBorder="1" applyAlignment="1"/>
    <xf numFmtId="0" fontId="18" fillId="0" borderId="28" xfId="4" applyFont="1" applyBorder="1"/>
    <xf numFmtId="0" fontId="25" fillId="0" borderId="29" xfId="0" applyFont="1" applyBorder="1" applyAlignment="1">
      <alignment horizontal="right"/>
    </xf>
    <xf numFmtId="0" fontId="4" fillId="0" borderId="29" xfId="0" applyFont="1" applyFill="1" applyBorder="1" applyAlignment="1">
      <alignment horizontal="center"/>
    </xf>
    <xf numFmtId="0" fontId="18" fillId="0" borderId="4" xfId="4" applyFont="1" applyBorder="1"/>
    <xf numFmtId="0" fontId="18" fillId="0" borderId="0" xfId="4" applyFont="1" applyBorder="1"/>
    <xf numFmtId="0" fontId="18" fillId="0" borderId="0" xfId="4" applyFont="1" applyBorder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4" xfId="4" applyFont="1" applyBorder="1"/>
    <xf numFmtId="0" fontId="3" fillId="0" borderId="0" xfId="4" applyFont="1" applyBorder="1"/>
    <xf numFmtId="0" fontId="18" fillId="0" borderId="12" xfId="4" applyFont="1" applyBorder="1"/>
    <xf numFmtId="0" fontId="18" fillId="0" borderId="5" xfId="4" applyFont="1" applyBorder="1"/>
    <xf numFmtId="0" fontId="18" fillId="0" borderId="25" xfId="4" applyFont="1" applyBorder="1"/>
    <xf numFmtId="37" fontId="6" fillId="0" borderId="0" xfId="0" applyNumberFormat="1" applyFont="1" applyAlignment="1" applyProtection="1"/>
    <xf numFmtId="0" fontId="27" fillId="0" borderId="0" xfId="0" applyFont="1"/>
    <xf numFmtId="37" fontId="6" fillId="0" borderId="0" xfId="0" applyNumberFormat="1" applyFont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37" fontId="3" fillId="0" borderId="0" xfId="0" applyNumberFormat="1" applyFont="1" applyAlignment="1" applyProtection="1"/>
    <xf numFmtId="37" fontId="3" fillId="0" borderId="0" xfId="0" applyNumberFormat="1" applyFont="1" applyAlignment="1" applyProtection="1">
      <alignment horizontal="centerContinuous"/>
    </xf>
    <xf numFmtId="173" fontId="4" fillId="0" borderId="26" xfId="0" applyNumberFormat="1" applyFont="1" applyFill="1" applyBorder="1" applyAlignment="1">
      <alignment horizontal="center"/>
    </xf>
    <xf numFmtId="173" fontId="2" fillId="0" borderId="0" xfId="1" applyNumberFormat="1" applyFont="1" applyFill="1" applyBorder="1"/>
    <xf numFmtId="0" fontId="2" fillId="0" borderId="0" xfId="0" applyFont="1" applyBorder="1" applyAlignment="1">
      <alignment horizontal="right"/>
    </xf>
    <xf numFmtId="0" fontId="24" fillId="0" borderId="30" xfId="0" applyFont="1" applyBorder="1"/>
    <xf numFmtId="0" fontId="26" fillId="0" borderId="31" xfId="0" applyFont="1" applyBorder="1"/>
    <xf numFmtId="173" fontId="26" fillId="0" borderId="31" xfId="1" applyNumberFormat="1" applyFont="1" applyFill="1" applyBorder="1"/>
    <xf numFmtId="0" fontId="4" fillId="0" borderId="32" xfId="0" applyFont="1" applyFill="1" applyBorder="1"/>
    <xf numFmtId="0" fontId="26" fillId="0" borderId="33" xfId="0" applyFont="1" applyBorder="1"/>
    <xf numFmtId="0" fontId="4" fillId="0" borderId="34" xfId="0" applyFont="1" applyFill="1" applyBorder="1"/>
    <xf numFmtId="0" fontId="2" fillId="0" borderId="33" xfId="0" applyFont="1" applyBorder="1"/>
    <xf numFmtId="0" fontId="24" fillId="0" borderId="0" xfId="0" applyFont="1" applyBorder="1" applyAlignment="1">
      <alignment horizontal="right"/>
    </xf>
    <xf numFmtId="179" fontId="3" fillId="0" borderId="7" xfId="0" applyNumberFormat="1" applyFont="1" applyFill="1" applyBorder="1" applyAlignment="1"/>
    <xf numFmtId="0" fontId="18" fillId="0" borderId="17" xfId="4" applyFont="1" applyBorder="1"/>
    <xf numFmtId="0" fontId="18" fillId="0" borderId="1" xfId="4" applyFont="1" applyBorder="1"/>
    <xf numFmtId="0" fontId="3" fillId="0" borderId="12" xfId="4" applyFont="1" applyBorder="1"/>
    <xf numFmtId="0" fontId="18" fillId="0" borderId="38" xfId="4" applyFont="1" applyBorder="1"/>
    <xf numFmtId="0" fontId="25" fillId="0" borderId="39" xfId="4" applyFont="1" applyBorder="1" applyAlignment="1">
      <alignment horizontal="center"/>
    </xf>
    <xf numFmtId="0" fontId="10" fillId="0" borderId="38" xfId="4" quotePrefix="1" applyFont="1" applyBorder="1" applyAlignment="1">
      <alignment horizontal="center"/>
    </xf>
    <xf numFmtId="0" fontId="18" fillId="0" borderId="39" xfId="4" applyFont="1" applyBorder="1"/>
    <xf numFmtId="0" fontId="18" fillId="0" borderId="40" xfId="4" applyFont="1" applyBorder="1"/>
    <xf numFmtId="0" fontId="18" fillId="0" borderId="41" xfId="4" applyFont="1" applyBorder="1"/>
    <xf numFmtId="0" fontId="25" fillId="0" borderId="41" xfId="4" applyFont="1" applyBorder="1" applyAlignment="1">
      <alignment horizontal="center"/>
    </xf>
    <xf numFmtId="0" fontId="18" fillId="0" borderId="42" xfId="4" applyFont="1" applyBorder="1" applyAlignment="1">
      <alignment horizontal="center"/>
    </xf>
    <xf numFmtId="0" fontId="22" fillId="0" borderId="0" xfId="0" applyFont="1" applyFill="1"/>
    <xf numFmtId="0" fontId="43" fillId="0" borderId="0" xfId="0" applyFont="1" applyFill="1"/>
    <xf numFmtId="0" fontId="0" fillId="0" borderId="0" xfId="0" applyBorder="1"/>
    <xf numFmtId="0" fontId="22" fillId="0" borderId="0" xfId="0" applyFont="1" applyBorder="1"/>
    <xf numFmtId="0" fontId="34" fillId="0" borderId="0" xfId="0" applyFont="1" applyBorder="1"/>
    <xf numFmtId="0" fontId="42" fillId="0" borderId="0" xfId="0" applyFont="1" applyFill="1" applyBorder="1"/>
    <xf numFmtId="0" fontId="43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7" fillId="0" borderId="43" xfId="0" applyFont="1" applyBorder="1" applyAlignment="1"/>
    <xf numFmtId="0" fontId="0" fillId="0" borderId="44" xfId="0" applyBorder="1"/>
    <xf numFmtId="0" fontId="0" fillId="0" borderId="45" xfId="0" applyBorder="1"/>
    <xf numFmtId="0" fontId="3" fillId="0" borderId="46" xfId="0" applyFont="1" applyBorder="1" applyAlignment="1">
      <alignment horizontal="center"/>
    </xf>
    <xf numFmtId="0" fontId="0" fillId="0" borderId="47" xfId="0" applyBorder="1"/>
    <xf numFmtId="0" fontId="42" fillId="0" borderId="46" xfId="0" applyFont="1" applyFill="1" applyBorder="1" applyAlignment="1">
      <alignment horizontal="center"/>
    </xf>
    <xf numFmtId="0" fontId="43" fillId="0" borderId="47" xfId="0" applyFont="1" applyFill="1" applyBorder="1"/>
    <xf numFmtId="0" fontId="3" fillId="0" borderId="48" xfId="0" applyFont="1" applyBorder="1" applyAlignment="1">
      <alignment horizontal="center"/>
    </xf>
    <xf numFmtId="0" fontId="0" fillId="0" borderId="49" xfId="0" applyBorder="1"/>
    <xf numFmtId="0" fontId="0" fillId="0" borderId="50" xfId="0" applyBorder="1"/>
    <xf numFmtId="172" fontId="2" fillId="0" borderId="0" xfId="5" applyNumberFormat="1" applyFont="1" applyFill="1" applyBorder="1"/>
    <xf numFmtId="0" fontId="2" fillId="0" borderId="2" xfId="0" applyFont="1" applyBorder="1"/>
    <xf numFmtId="174" fontId="2" fillId="0" borderId="3" xfId="1" applyNumberFormat="1" applyFont="1" applyFill="1" applyBorder="1"/>
    <xf numFmtId="0" fontId="18" fillId="0" borderId="0" xfId="4" applyFont="1" applyFill="1" applyBorder="1"/>
    <xf numFmtId="0" fontId="18" fillId="0" borderId="0" xfId="4" applyFont="1" applyFill="1"/>
    <xf numFmtId="0" fontId="18" fillId="0" borderId="4" xfId="4" applyFont="1" applyFill="1" applyBorder="1"/>
    <xf numFmtId="0" fontId="18" fillId="0" borderId="24" xfId="4" applyFont="1" applyFill="1" applyBorder="1"/>
    <xf numFmtId="0" fontId="18" fillId="0" borderId="0" xfId="4" applyFont="1" applyFill="1" applyBorder="1" applyAlignment="1">
      <alignment horizontal="left" indent="1"/>
    </xf>
    <xf numFmtId="0" fontId="18" fillId="0" borderId="0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 indent="2"/>
    </xf>
    <xf numFmtId="0" fontId="18" fillId="0" borderId="0" xfId="4" applyFont="1" applyBorder="1" applyAlignment="1">
      <alignment horizontal="left" indent="2"/>
    </xf>
    <xf numFmtId="174" fontId="2" fillId="0" borderId="26" xfId="1" applyNumberFormat="1" applyFont="1" applyFill="1" applyBorder="1"/>
    <xf numFmtId="172" fontId="2" fillId="0" borderId="24" xfId="5" applyNumberFormat="1" applyFont="1" applyFill="1" applyBorder="1"/>
    <xf numFmtId="0" fontId="18" fillId="0" borderId="51" xfId="4" applyFont="1" applyBorder="1"/>
    <xf numFmtId="168" fontId="2" fillId="0" borderId="3" xfId="0" applyNumberFormat="1" applyFont="1" applyBorder="1"/>
    <xf numFmtId="169" fontId="18" fillId="0" borderId="0" xfId="4" applyNumberFormat="1" applyFont="1" applyFill="1" applyBorder="1"/>
    <xf numFmtId="169" fontId="18" fillId="0" borderId="3" xfId="4" applyNumberFormat="1" applyFont="1" applyBorder="1"/>
    <xf numFmtId="180" fontId="18" fillId="0" borderId="52" xfId="4" applyNumberFormat="1" applyFont="1" applyFill="1" applyBorder="1"/>
    <xf numFmtId="180" fontId="18" fillId="0" borderId="0" xfId="4" applyNumberFormat="1" applyFont="1" applyFill="1" applyBorder="1"/>
    <xf numFmtId="180" fontId="18" fillId="0" borderId="18" xfId="4" applyNumberFormat="1" applyFont="1" applyFill="1" applyBorder="1"/>
    <xf numFmtId="180" fontId="25" fillId="0" borderId="0" xfId="4" applyNumberFormat="1" applyFont="1" applyFill="1" applyBorder="1"/>
    <xf numFmtId="180" fontId="18" fillId="0" borderId="18" xfId="4" applyNumberFormat="1" applyFont="1" applyBorder="1"/>
    <xf numFmtId="180" fontId="18" fillId="0" borderId="0" xfId="4" applyNumberFormat="1" applyFont="1" applyFill="1" applyBorder="1" applyAlignment="1">
      <alignment horizontal="left" indent="1"/>
    </xf>
    <xf numFmtId="180" fontId="18" fillId="0" borderId="52" xfId="4" applyNumberFormat="1" applyFont="1" applyBorder="1"/>
    <xf numFmtId="180" fontId="18" fillId="0" borderId="0" xfId="4" applyNumberFormat="1" applyFont="1" applyBorder="1"/>
    <xf numFmtId="180" fontId="3" fillId="0" borderId="16" xfId="4" applyNumberFormat="1" applyFont="1" applyBorder="1"/>
    <xf numFmtId="180" fontId="18" fillId="0" borderId="3" xfId="4" applyNumberFormat="1" applyFont="1" applyBorder="1"/>
    <xf numFmtId="0" fontId="25" fillId="0" borderId="5" xfId="4" applyFont="1" applyBorder="1"/>
    <xf numFmtId="180" fontId="18" fillId="0" borderId="9" xfId="4" applyNumberFormat="1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81" fontId="0" fillId="0" borderId="0" xfId="0" applyNumberFormat="1" applyBorder="1" applyAlignment="1"/>
    <xf numFmtId="181" fontId="0" fillId="1" borderId="0" xfId="0" applyNumberFormat="1" applyFill="1" applyBorder="1" applyAlignment="1"/>
    <xf numFmtId="179" fontId="3" fillId="2" borderId="0" xfId="0" applyNumberFormat="1" applyFont="1" applyFill="1" applyBorder="1"/>
    <xf numFmtId="180" fontId="18" fillId="1" borderId="0" xfId="4" applyNumberFormat="1" applyFont="1" applyFill="1" applyBorder="1"/>
    <xf numFmtId="0" fontId="4" fillId="0" borderId="3" xfId="4" applyFont="1" applyBorder="1"/>
    <xf numFmtId="0" fontId="4" fillId="0" borderId="0" xfId="4" applyFont="1" applyBorder="1"/>
    <xf numFmtId="164" fontId="4" fillId="0" borderId="0" xfId="4" applyNumberFormat="1" applyFont="1" applyBorder="1"/>
    <xf numFmtId="181" fontId="4" fillId="0" borderId="0" xfId="4" applyNumberFormat="1" applyFont="1" applyBorder="1"/>
    <xf numFmtId="181" fontId="3" fillId="0" borderId="0" xfId="4" applyNumberFormat="1" applyFont="1" applyBorder="1"/>
    <xf numFmtId="0" fontId="4" fillId="1" borderId="0" xfId="4" applyFont="1" applyFill="1" applyBorder="1"/>
    <xf numFmtId="0" fontId="4" fillId="0" borderId="53" xfId="4" applyFont="1" applyBorder="1"/>
    <xf numFmtId="0" fontId="4" fillId="0" borderId="23" xfId="4" applyFont="1" applyBorder="1"/>
    <xf numFmtId="0" fontId="4" fillId="0" borderId="54" xfId="4" applyFont="1" applyBorder="1"/>
    <xf numFmtId="0" fontId="4" fillId="0" borderId="10" xfId="4" applyFont="1" applyBorder="1"/>
    <xf numFmtId="0" fontId="4" fillId="0" borderId="11" xfId="4" applyFont="1" applyBorder="1"/>
    <xf numFmtId="0" fontId="7" fillId="0" borderId="10" xfId="4" applyFont="1" applyBorder="1"/>
    <xf numFmtId="0" fontId="18" fillId="0" borderId="10" xfId="4" applyFont="1" applyBorder="1" applyAlignment="1">
      <alignment horizontal="left"/>
    </xf>
    <xf numFmtId="0" fontId="18" fillId="0" borderId="10" xfId="4" applyFont="1" applyBorder="1" applyAlignment="1">
      <alignment horizontal="left" indent="2"/>
    </xf>
    <xf numFmtId="181" fontId="0" fillId="0" borderId="11" xfId="0" applyNumberFormat="1" applyBorder="1" applyAlignment="1"/>
    <xf numFmtId="181" fontId="4" fillId="0" borderId="11" xfId="4" applyNumberFormat="1" applyFont="1" applyBorder="1"/>
    <xf numFmtId="181" fontId="3" fillId="0" borderId="11" xfId="4" applyNumberFormat="1" applyFont="1" applyBorder="1"/>
    <xf numFmtId="0" fontId="18" fillId="0" borderId="22" xfId="4" applyFont="1" applyBorder="1" applyAlignment="1">
      <alignment horizontal="left"/>
    </xf>
    <xf numFmtId="0" fontId="4" fillId="0" borderId="13" xfId="4" applyFont="1" applyBorder="1"/>
    <xf numFmtId="0" fontId="4" fillId="0" borderId="22" xfId="4" applyFont="1" applyBorder="1"/>
    <xf numFmtId="0" fontId="0" fillId="0" borderId="18" xfId="0" applyFill="1" applyBorder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8" xfId="0" applyFont="1" applyFill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centerContinuous"/>
    </xf>
    <xf numFmtId="0" fontId="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left"/>
    </xf>
    <xf numFmtId="173" fontId="2" fillId="0" borderId="3" xfId="1" applyNumberFormat="1" applyFont="1" applyFill="1" applyBorder="1"/>
    <xf numFmtId="0" fontId="2" fillId="0" borderId="3" xfId="0" quotePrefix="1" applyFont="1" applyBorder="1" applyAlignment="1">
      <alignment horizontal="left"/>
    </xf>
    <xf numFmtId="173" fontId="2" fillId="0" borderId="3" xfId="0" applyNumberFormat="1" applyFont="1" applyFill="1" applyBorder="1"/>
    <xf numFmtId="173" fontId="2" fillId="0" borderId="26" xfId="0" applyNumberFormat="1" applyFont="1" applyFill="1" applyBorder="1" applyAlignment="1">
      <alignment horizontal="center"/>
    </xf>
    <xf numFmtId="0" fontId="2" fillId="0" borderId="5" xfId="0" quotePrefix="1" applyFont="1" applyBorder="1" applyAlignment="1">
      <alignment horizontal="left"/>
    </xf>
    <xf numFmtId="173" fontId="2" fillId="0" borderId="5" xfId="0" applyNumberFormat="1" applyFont="1" applyFill="1" applyBorder="1"/>
    <xf numFmtId="173" fontId="2" fillId="0" borderId="5" xfId="1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4" xfId="0" applyFont="1" applyFill="1" applyBorder="1"/>
    <xf numFmtId="180" fontId="2" fillId="0" borderId="0" xfId="0" applyNumberFormat="1" applyFont="1" applyBorder="1"/>
    <xf numFmtId="0" fontId="2" fillId="0" borderId="26" xfId="0" applyFont="1" applyFill="1" applyBorder="1"/>
    <xf numFmtId="179" fontId="2" fillId="0" borderId="10" xfId="0" applyNumberFormat="1" applyFont="1" applyBorder="1"/>
    <xf numFmtId="179" fontId="2" fillId="0" borderId="9" xfId="0" applyNumberFormat="1" applyFont="1" applyBorder="1"/>
    <xf numFmtId="179" fontId="2" fillId="0" borderId="11" xfId="0" applyNumberFormat="1" applyFont="1" applyBorder="1"/>
    <xf numFmtId="173" fontId="2" fillId="0" borderId="9" xfId="1" applyNumberFormat="1" applyFont="1" applyFill="1" applyBorder="1"/>
    <xf numFmtId="173" fontId="2" fillId="0" borderId="11" xfId="1" applyNumberFormat="1" applyFont="1" applyFill="1" applyBorder="1"/>
    <xf numFmtId="0" fontId="2" fillId="0" borderId="5" xfId="0" applyFont="1" applyBorder="1"/>
    <xf numFmtId="0" fontId="2" fillId="0" borderId="25" xfId="0" applyFont="1" applyFill="1" applyBorder="1"/>
    <xf numFmtId="0" fontId="2" fillId="2" borderId="0" xfId="0" applyFont="1" applyFill="1" applyBorder="1"/>
    <xf numFmtId="173" fontId="2" fillId="2" borderId="0" xfId="1" applyNumberFormat="1" applyFont="1" applyFill="1" applyBorder="1"/>
    <xf numFmtId="179" fontId="2" fillId="2" borderId="0" xfId="0" applyNumberFormat="1" applyFont="1" applyFill="1" applyBorder="1"/>
    <xf numFmtId="0" fontId="24" fillId="2" borderId="30" xfId="0" applyFont="1" applyFill="1" applyBorder="1"/>
    <xf numFmtId="0" fontId="26" fillId="2" borderId="31" xfId="0" applyFont="1" applyFill="1" applyBorder="1"/>
    <xf numFmtId="173" fontId="26" fillId="2" borderId="31" xfId="1" applyNumberFormat="1" applyFont="1" applyFill="1" applyBorder="1"/>
    <xf numFmtId="0" fontId="2" fillId="2" borderId="32" xfId="0" applyFont="1" applyFill="1" applyBorder="1"/>
    <xf numFmtId="0" fontId="26" fillId="2" borderId="33" xfId="0" applyFont="1" applyFill="1" applyBorder="1"/>
    <xf numFmtId="0" fontId="26" fillId="2" borderId="0" xfId="0" applyFont="1" applyFill="1" applyBorder="1"/>
    <xf numFmtId="173" fontId="26" fillId="2" borderId="0" xfId="1" applyNumberFormat="1" applyFont="1" applyFill="1" applyBorder="1"/>
    <xf numFmtId="0" fontId="2" fillId="2" borderId="34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33" xfId="0" applyFont="1" applyFill="1" applyBorder="1"/>
    <xf numFmtId="0" fontId="2" fillId="2" borderId="0" xfId="0" applyFont="1" applyFill="1"/>
    <xf numFmtId="0" fontId="24" fillId="2" borderId="0" xfId="0" applyFont="1" applyFill="1" applyBorder="1" applyAlignment="1">
      <alignment horizontal="right"/>
    </xf>
    <xf numFmtId="169" fontId="2" fillId="2" borderId="0" xfId="0" applyNumberFormat="1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169" fontId="2" fillId="0" borderId="0" xfId="0" applyNumberFormat="1" applyFont="1" applyFill="1"/>
    <xf numFmtId="9" fontId="0" fillId="0" borderId="18" xfId="0" applyNumberFormat="1" applyFill="1" applyBorder="1"/>
    <xf numFmtId="0" fontId="2" fillId="0" borderId="5" xfId="0" applyFont="1" applyBorder="1" applyAlignment="1"/>
    <xf numFmtId="0" fontId="46" fillId="0" borderId="0" xfId="0" applyFont="1" applyAlignment="1">
      <alignment horizontal="left"/>
    </xf>
    <xf numFmtId="172" fontId="0" fillId="0" borderId="18" xfId="0" applyNumberFormat="1" applyFill="1" applyBorder="1"/>
    <xf numFmtId="9" fontId="10" fillId="0" borderId="0" xfId="5" applyFont="1" applyBorder="1" applyAlignment="1">
      <alignment horizontal="center"/>
    </xf>
    <xf numFmtId="172" fontId="10" fillId="0" borderId="0" xfId="5" applyNumberFormat="1" applyFont="1" applyBorder="1" applyAlignment="1">
      <alignment horizontal="center"/>
    </xf>
    <xf numFmtId="0" fontId="33" fillId="0" borderId="0" xfId="3" applyAlignment="1" applyProtection="1"/>
    <xf numFmtId="0" fontId="33" fillId="0" borderId="0" xfId="3" applyFont="1" applyAlignment="1" applyProtection="1"/>
    <xf numFmtId="169" fontId="4" fillId="0" borderId="0" xfId="4" applyNumberFormat="1" applyFont="1"/>
    <xf numFmtId="9" fontId="18" fillId="0" borderId="0" xfId="5" applyFont="1"/>
    <xf numFmtId="10" fontId="18" fillId="0" borderId="0" xfId="5" applyNumberFormat="1" applyFont="1"/>
    <xf numFmtId="0" fontId="2" fillId="0" borderId="0" xfId="0" applyFont="1" applyFill="1" applyBorder="1" applyAlignment="1"/>
    <xf numFmtId="0" fontId="18" fillId="0" borderId="0" xfId="0" applyFont="1" applyFill="1" applyAlignment="1"/>
    <xf numFmtId="0" fontId="2" fillId="0" borderId="0" xfId="4" applyFont="1" applyFill="1"/>
    <xf numFmtId="0" fontId="2" fillId="0" borderId="4" xfId="4" applyFont="1" applyFill="1" applyBorder="1"/>
    <xf numFmtId="0" fontId="2" fillId="0" borderId="0" xfId="4" applyFont="1" applyFill="1" applyBorder="1" applyAlignment="1">
      <alignment horizontal="left" indent="2"/>
    </xf>
    <xf numFmtId="0" fontId="2" fillId="0" borderId="0" xfId="4" applyFont="1" applyFill="1" applyBorder="1"/>
    <xf numFmtId="0" fontId="2" fillId="0" borderId="24" xfId="4" applyFont="1" applyFill="1" applyBorder="1"/>
    <xf numFmtId="180" fontId="2" fillId="0" borderId="18" xfId="4" applyNumberFormat="1" applyFont="1" applyFill="1" applyBorder="1"/>
    <xf numFmtId="180" fontId="2" fillId="0" borderId="0" xfId="4" applyNumberFormat="1" applyFont="1" applyFill="1" applyBorder="1"/>
    <xf numFmtId="180" fontId="2" fillId="1" borderId="0" xfId="4" applyNumberFormat="1" applyFont="1" applyFill="1" applyBorder="1"/>
    <xf numFmtId="180" fontId="2" fillId="0" borderId="0" xfId="4" applyNumberFormat="1" applyFont="1" applyFill="1" applyBorder="1" applyAlignment="1">
      <alignment horizontal="left" indent="2"/>
    </xf>
    <xf numFmtId="170" fontId="2" fillId="0" borderId="0" xfId="4" applyNumberFormat="1" applyFont="1" applyFill="1" applyBorder="1" applyAlignment="1">
      <alignment horizontal="left" indent="2"/>
    </xf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/>
    <xf numFmtId="0" fontId="10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right"/>
    </xf>
    <xf numFmtId="0" fontId="41" fillId="5" borderId="55" xfId="0" applyFont="1" applyFill="1" applyBorder="1"/>
    <xf numFmtId="0" fontId="39" fillId="5" borderId="0" xfId="0" applyFont="1" applyFill="1"/>
    <xf numFmtId="0" fontId="38" fillId="5" borderId="0" xfId="0" applyFont="1" applyFill="1"/>
    <xf numFmtId="0" fontId="39" fillId="5" borderId="0" xfId="0" applyFont="1" applyFill="1" applyBorder="1"/>
    <xf numFmtId="0" fontId="39" fillId="5" borderId="24" xfId="0" applyFont="1" applyFill="1" applyBorder="1" applyAlignment="1">
      <alignment horizontal="center"/>
    </xf>
    <xf numFmtId="0" fontId="41" fillId="5" borderId="4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173" fontId="39" fillId="5" borderId="0" xfId="1" applyNumberFormat="1" applyFont="1" applyFill="1" applyBorder="1"/>
    <xf numFmtId="0" fontId="40" fillId="5" borderId="17" xfId="0" applyFont="1" applyFill="1" applyBorder="1"/>
    <xf numFmtId="0" fontId="39" fillId="5" borderId="1" xfId="0" applyFont="1" applyFill="1" applyBorder="1"/>
    <xf numFmtId="173" fontId="39" fillId="5" borderId="1" xfId="1" applyNumberFormat="1" applyFont="1" applyFill="1" applyBorder="1"/>
    <xf numFmtId="0" fontId="39" fillId="5" borderId="27" xfId="0" applyFont="1" applyFill="1" applyBorder="1"/>
    <xf numFmtId="0" fontId="40" fillId="5" borderId="55" xfId="0" applyFont="1" applyFill="1" applyBorder="1"/>
    <xf numFmtId="173" fontId="4" fillId="5" borderId="0" xfId="1" applyNumberFormat="1" applyFont="1" applyFill="1" applyBorder="1"/>
    <xf numFmtId="0" fontId="4" fillId="5" borderId="0" xfId="0" applyFont="1" applyFill="1" applyBorder="1"/>
    <xf numFmtId="0" fontId="4" fillId="5" borderId="24" xfId="0" applyFont="1" applyFill="1" applyBorder="1"/>
    <xf numFmtId="0" fontId="39" fillId="5" borderId="23" xfId="0" applyFont="1" applyFill="1" applyBorder="1"/>
    <xf numFmtId="173" fontId="39" fillId="5" borderId="23" xfId="1" applyNumberFormat="1" applyFont="1" applyFill="1" applyBorder="1"/>
    <xf numFmtId="0" fontId="39" fillId="5" borderId="24" xfId="0" applyFont="1" applyFill="1" applyBorder="1"/>
    <xf numFmtId="0" fontId="21" fillId="6" borderId="19" xfId="0" applyFont="1" applyFill="1" applyBorder="1"/>
    <xf numFmtId="0" fontId="3" fillId="6" borderId="19" xfId="0" applyFont="1" applyFill="1" applyBorder="1" applyAlignment="1">
      <alignment horizontal="center" wrapText="1"/>
    </xf>
    <xf numFmtId="173" fontId="3" fillId="6" borderId="18" xfId="1" applyNumberFormat="1" applyFont="1" applyFill="1" applyBorder="1" applyAlignment="1">
      <alignment horizontal="center" wrapText="1"/>
    </xf>
    <xf numFmtId="173" fontId="3" fillId="6" borderId="20" xfId="1" applyNumberFormat="1" applyFont="1" applyFill="1" applyBorder="1" applyAlignment="1">
      <alignment horizontal="center" wrapText="1"/>
    </xf>
    <xf numFmtId="0" fontId="17" fillId="3" borderId="4" xfId="0" applyFont="1" applyFill="1" applyBorder="1"/>
    <xf numFmtId="0" fontId="21" fillId="3" borderId="0" xfId="0" applyFont="1" applyFill="1" applyBorder="1"/>
    <xf numFmtId="0" fontId="21" fillId="3" borderId="24" xfId="0" applyFont="1" applyFill="1" applyBorder="1" applyAlignment="1">
      <alignment horizontal="center"/>
    </xf>
    <xf numFmtId="0" fontId="41" fillId="5" borderId="4" xfId="4" applyFont="1" applyFill="1" applyBorder="1"/>
    <xf numFmtId="0" fontId="39" fillId="5" borderId="0" xfId="4" applyFont="1" applyFill="1" applyBorder="1"/>
    <xf numFmtId="0" fontId="39" fillId="5" borderId="24" xfId="4" applyFont="1" applyFill="1" applyBorder="1"/>
    <xf numFmtId="0" fontId="38" fillId="5" borderId="0" xfId="4" applyFont="1" applyFill="1" applyBorder="1"/>
    <xf numFmtId="0" fontId="38" fillId="5" borderId="24" xfId="4" applyFont="1" applyFill="1" applyBorder="1"/>
    <xf numFmtId="180" fontId="38" fillId="5" borderId="0" xfId="4" applyNumberFormat="1" applyFont="1" applyFill="1" applyBorder="1"/>
    <xf numFmtId="180" fontId="39" fillId="5" borderId="0" xfId="4" applyNumberFormat="1" applyFont="1" applyFill="1" applyBorder="1"/>
    <xf numFmtId="0" fontId="45" fillId="5" borderId="10" xfId="4" applyFont="1" applyFill="1" applyBorder="1"/>
    <xf numFmtId="0" fontId="41" fillId="5" borderId="0" xfId="4" applyFont="1" applyFill="1" applyBorder="1"/>
    <xf numFmtId="0" fontId="41" fillId="5" borderId="11" xfId="4" applyFont="1" applyFill="1" applyBorder="1"/>
    <xf numFmtId="0" fontId="45" fillId="5" borderId="10" xfId="4" applyFont="1" applyFill="1" applyBorder="1" applyAlignment="1">
      <alignment horizontal="left"/>
    </xf>
    <xf numFmtId="180" fontId="41" fillId="5" borderId="0" xfId="4" applyNumberFormat="1" applyFont="1" applyFill="1" applyBorder="1"/>
    <xf numFmtId="0" fontId="45" fillId="5" borderId="0" xfId="4" applyFont="1" applyFill="1" applyBorder="1"/>
    <xf numFmtId="180" fontId="45" fillId="5" borderId="0" xfId="4" applyNumberFormat="1" applyFont="1" applyFill="1" applyBorder="1"/>
    <xf numFmtId="0" fontId="45" fillId="5" borderId="11" xfId="4" applyFont="1" applyFill="1" applyBorder="1"/>
    <xf numFmtId="0" fontId="2" fillId="0" borderId="0" xfId="0" quotePrefix="1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0" fillId="4" borderId="0" xfId="0" applyFill="1" applyBorder="1" applyAlignment="1">
      <alignment horizontal="right" vertical="center"/>
    </xf>
    <xf numFmtId="0" fontId="2" fillId="4" borderId="0" xfId="0" applyFont="1" applyFill="1" applyAlignment="1" applyProtection="1">
      <alignment horizontal="right"/>
      <protection locked="0"/>
    </xf>
    <xf numFmtId="0" fontId="3" fillId="4" borderId="0" xfId="0" applyFont="1" applyFill="1" applyBorder="1" applyAlignment="1">
      <alignment horizontal="left"/>
    </xf>
    <xf numFmtId="0" fontId="48" fillId="4" borderId="0" xfId="0" applyFont="1" applyFill="1"/>
    <xf numFmtId="0" fontId="47" fillId="4" borderId="0" xfId="0" applyFont="1" applyFill="1"/>
    <xf numFmtId="0" fontId="25" fillId="4" borderId="0" xfId="0" applyFont="1" applyFill="1" applyAlignment="1">
      <alignment horizontal="left"/>
    </xf>
    <xf numFmtId="0" fontId="54" fillId="4" borderId="0" xfId="0" applyFont="1" applyFill="1" applyAlignment="1">
      <alignment horizontal="center"/>
    </xf>
    <xf numFmtId="0" fontId="55" fillId="4" borderId="0" xfId="0" applyFont="1" applyFill="1" applyAlignment="1">
      <alignment horizontal="center"/>
    </xf>
    <xf numFmtId="0" fontId="25" fillId="4" borderId="0" xfId="0" applyFont="1" applyFill="1" applyAlignment="1">
      <alignment horizontal="right"/>
    </xf>
    <xf numFmtId="0" fontId="47" fillId="4" borderId="0" xfId="0" applyFont="1" applyFill="1" applyAlignment="1">
      <alignment horizontal="center"/>
    </xf>
    <xf numFmtId="0" fontId="2" fillId="4" borderId="0" xfId="0" applyFont="1" applyFill="1" applyAlignment="1"/>
    <xf numFmtId="169" fontId="0" fillId="7" borderId="0" xfId="0" applyNumberFormat="1" applyFill="1"/>
    <xf numFmtId="172" fontId="0" fillId="7" borderId="0" xfId="5" applyNumberFormat="1" applyFont="1" applyFill="1"/>
    <xf numFmtId="172" fontId="2" fillId="7" borderId="0" xfId="5" applyNumberFormat="1" applyFont="1" applyFill="1" applyAlignment="1"/>
    <xf numFmtId="169" fontId="8" fillId="0" borderId="0" xfId="0" applyNumberFormat="1" applyFont="1" applyFill="1"/>
    <xf numFmtId="172" fontId="2" fillId="0" borderId="0" xfId="5" applyNumberFormat="1" applyFont="1" applyFill="1" applyAlignment="1">
      <alignment horizontal="right" vertical="top" wrapText="1"/>
    </xf>
    <xf numFmtId="0" fontId="2" fillId="0" borderId="34" xfId="0" applyFont="1" applyFill="1" applyBorder="1"/>
    <xf numFmtId="0" fontId="2" fillId="0" borderId="33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Fill="1" applyBorder="1"/>
    <xf numFmtId="169" fontId="2" fillId="0" borderId="9" xfId="0" applyNumberFormat="1" applyFont="1" applyFill="1" applyBorder="1" applyAlignment="1" applyProtection="1">
      <alignment horizontal="right"/>
    </xf>
    <xf numFmtId="169" fontId="2" fillId="0" borderId="9" xfId="0" quotePrefix="1" applyNumberFormat="1" applyFont="1" applyFill="1" applyBorder="1" applyAlignment="1" applyProtection="1">
      <alignment horizontal="right"/>
    </xf>
    <xf numFmtId="15" fontId="19" fillId="0" borderId="5" xfId="0" applyNumberFormat="1" applyFont="1" applyFill="1" applyBorder="1" applyAlignment="1" applyProtection="1">
      <alignment horizontal="center"/>
      <protection locked="0"/>
    </xf>
    <xf numFmtId="0" fontId="0" fillId="8" borderId="0" xfId="0" applyFill="1"/>
    <xf numFmtId="0" fontId="13" fillId="8" borderId="0" xfId="0" applyFont="1" applyFill="1"/>
    <xf numFmtId="0" fontId="15" fillId="8" borderId="0" xfId="0" applyFont="1" applyFill="1"/>
    <xf numFmtId="0" fontId="18" fillId="8" borderId="0" xfId="0" applyFont="1" applyFill="1"/>
    <xf numFmtId="0" fontId="0" fillId="9" borderId="17" xfId="0" applyFill="1" applyBorder="1"/>
    <xf numFmtId="0" fontId="0" fillId="9" borderId="1" xfId="0" applyFill="1" applyBorder="1"/>
    <xf numFmtId="0" fontId="0" fillId="9" borderId="27" xfId="0" applyFill="1" applyBorder="1"/>
    <xf numFmtId="0" fontId="13" fillId="9" borderId="4" xfId="0" applyFont="1" applyFill="1" applyBorder="1"/>
    <xf numFmtId="0" fontId="13" fillId="9" borderId="24" xfId="0" applyFont="1" applyFill="1" applyBorder="1"/>
    <xf numFmtId="0" fontId="13" fillId="9" borderId="58" xfId="0" applyFont="1" applyFill="1" applyBorder="1"/>
    <xf numFmtId="0" fontId="13" fillId="9" borderId="59" xfId="0" applyFont="1" applyFill="1" applyBorder="1"/>
    <xf numFmtId="0" fontId="13" fillId="9" borderId="60" xfId="0" applyFont="1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24" xfId="0" applyFill="1" applyBorder="1"/>
    <xf numFmtId="0" fontId="7" fillId="9" borderId="0" xfId="0" applyFont="1" applyFill="1" applyBorder="1" applyAlignment="1">
      <alignment horizontal="left"/>
    </xf>
    <xf numFmtId="0" fontId="25" fillId="9" borderId="57" xfId="0" applyFont="1" applyFill="1" applyBorder="1"/>
    <xf numFmtId="0" fontId="0" fillId="9" borderId="57" xfId="0" applyFill="1" applyBorder="1"/>
    <xf numFmtId="0" fontId="32" fillId="9" borderId="0" xfId="0" applyFont="1" applyFill="1" applyBorder="1"/>
    <xf numFmtId="0" fontId="53" fillId="9" borderId="0" xfId="3" applyFont="1" applyFill="1" applyBorder="1" applyAlignment="1" applyProtection="1"/>
    <xf numFmtId="0" fontId="10" fillId="9" borderId="57" xfId="0" applyFont="1" applyFill="1" applyBorder="1"/>
    <xf numFmtId="0" fontId="0" fillId="9" borderId="59" xfId="0" applyFill="1" applyBorder="1"/>
    <xf numFmtId="0" fontId="0" fillId="9" borderId="60" xfId="0" applyFill="1" applyBorder="1"/>
    <xf numFmtId="0" fontId="15" fillId="9" borderId="4" xfId="0" applyFont="1" applyFill="1" applyBorder="1"/>
    <xf numFmtId="0" fontId="15" fillId="9" borderId="24" xfId="0" applyFont="1" applyFill="1" applyBorder="1"/>
    <xf numFmtId="0" fontId="2" fillId="9" borderId="12" xfId="0" applyFont="1" applyFill="1" applyBorder="1"/>
    <xf numFmtId="0" fontId="2" fillId="9" borderId="5" xfId="0" applyFont="1" applyFill="1" applyBorder="1"/>
    <xf numFmtId="0" fontId="18" fillId="9" borderId="25" xfId="0" applyFont="1" applyFill="1" applyBorder="1"/>
    <xf numFmtId="0" fontId="2" fillId="9" borderId="4" xfId="0" applyFont="1" applyFill="1" applyBorder="1"/>
    <xf numFmtId="0" fontId="6" fillId="9" borderId="0" xfId="0" applyFont="1" applyFill="1" applyBorder="1"/>
    <xf numFmtId="0" fontId="2" fillId="9" borderId="0" xfId="0" applyFont="1" applyFill="1" applyBorder="1"/>
    <xf numFmtId="0" fontId="2" fillId="9" borderId="56" xfId="0" applyFont="1" applyFill="1" applyBorder="1"/>
    <xf numFmtId="0" fontId="2" fillId="9" borderId="58" xfId="0" applyFont="1" applyFill="1" applyBorder="1"/>
    <xf numFmtId="0" fontId="2" fillId="9" borderId="59" xfId="0" applyFont="1" applyFill="1" applyBorder="1"/>
    <xf numFmtId="0" fontId="2" fillId="9" borderId="25" xfId="0" applyFont="1" applyFill="1" applyBorder="1"/>
    <xf numFmtId="0" fontId="13" fillId="9" borderId="56" xfId="0" applyFont="1" applyFill="1" applyBorder="1"/>
    <xf numFmtId="0" fontId="13" fillId="9" borderId="0" xfId="0" applyFont="1" applyFill="1" applyBorder="1"/>
    <xf numFmtId="0" fontId="13" fillId="9" borderId="57" xfId="0" applyFont="1" applyFill="1" applyBorder="1"/>
    <xf numFmtId="0" fontId="6" fillId="9" borderId="61" xfId="0" applyFont="1" applyFill="1" applyBorder="1"/>
    <xf numFmtId="0" fontId="2" fillId="9" borderId="61" xfId="0" applyFont="1" applyFill="1" applyBorder="1"/>
    <xf numFmtId="0" fontId="0" fillId="9" borderId="61" xfId="0" applyFill="1" applyBorder="1"/>
    <xf numFmtId="0" fontId="6" fillId="9" borderId="62" xfId="0" applyFont="1" applyFill="1" applyBorder="1"/>
    <xf numFmtId="0" fontId="2" fillId="9" borderId="62" xfId="0" applyFont="1" applyFill="1" applyBorder="1"/>
    <xf numFmtId="0" fontId="0" fillId="9" borderId="62" xfId="0" applyFill="1" applyBorder="1"/>
    <xf numFmtId="0" fontId="6" fillId="9" borderId="64" xfId="0" applyFont="1" applyFill="1" applyBorder="1"/>
    <xf numFmtId="0" fontId="2" fillId="9" borderId="64" xfId="0" applyFont="1" applyFill="1" applyBorder="1"/>
    <xf numFmtId="0" fontId="0" fillId="9" borderId="64" xfId="0" applyFill="1" applyBorder="1"/>
    <xf numFmtId="0" fontId="2" fillId="9" borderId="65" xfId="0" applyFont="1" applyFill="1" applyBorder="1"/>
    <xf numFmtId="0" fontId="0" fillId="0" borderId="17" xfId="0" applyFill="1" applyBorder="1"/>
    <xf numFmtId="0" fontId="0" fillId="0" borderId="1" xfId="0" applyBorder="1"/>
    <xf numFmtId="0" fontId="0" fillId="0" borderId="27" xfId="0" applyFill="1" applyBorder="1"/>
    <xf numFmtId="0" fontId="0" fillId="0" borderId="4" xfId="0" applyFill="1" applyBorder="1"/>
    <xf numFmtId="0" fontId="0" fillId="0" borderId="24" xfId="0" applyFill="1" applyBorder="1"/>
    <xf numFmtId="0" fontId="13" fillId="9" borderId="66" xfId="0" applyFont="1" applyFill="1" applyBorder="1"/>
    <xf numFmtId="0" fontId="3" fillId="9" borderId="0" xfId="0" applyFont="1" applyFill="1" applyBorder="1"/>
    <xf numFmtId="0" fontId="3" fillId="9" borderId="0" xfId="0" applyFont="1" applyFill="1" applyBorder="1" applyAlignment="1">
      <alignment horizontal="right"/>
    </xf>
    <xf numFmtId="0" fontId="3" fillId="9" borderId="64" xfId="0" applyFont="1" applyFill="1" applyBorder="1"/>
    <xf numFmtId="0" fontId="3" fillId="9" borderId="65" xfId="0" applyFont="1" applyFill="1" applyBorder="1" applyAlignment="1"/>
    <xf numFmtId="176" fontId="2" fillId="9" borderId="65" xfId="0" applyNumberFormat="1" applyFont="1" applyFill="1" applyBorder="1" applyAlignment="1">
      <alignment horizontal="center"/>
    </xf>
    <xf numFmtId="0" fontId="3" fillId="9" borderId="65" xfId="0" applyFont="1" applyFill="1" applyBorder="1"/>
    <xf numFmtId="49" fontId="4" fillId="9" borderId="65" xfId="0" applyNumberFormat="1" applyFont="1" applyFill="1" applyBorder="1"/>
    <xf numFmtId="0" fontId="0" fillId="9" borderId="65" xfId="0" applyFill="1" applyBorder="1"/>
    <xf numFmtId="0" fontId="3" fillId="9" borderId="65" xfId="0" applyFont="1" applyFill="1" applyBorder="1" applyAlignment="1">
      <alignment horizontal="right"/>
    </xf>
    <xf numFmtId="177" fontId="0" fillId="9" borderId="65" xfId="2" applyNumberFormat="1" applyFont="1" applyFill="1" applyBorder="1" applyAlignment="1">
      <alignment horizontal="center"/>
    </xf>
    <xf numFmtId="164" fontId="10" fillId="9" borderId="65" xfId="0" quotePrefix="1" applyNumberFormat="1" applyFont="1" applyFill="1" applyBorder="1"/>
    <xf numFmtId="0" fontId="14" fillId="9" borderId="61" xfId="0" applyFont="1" applyFill="1" applyBorder="1"/>
    <xf numFmtId="0" fontId="14" fillId="9" borderId="0" xfId="0" applyFont="1" applyFill="1" applyBorder="1"/>
    <xf numFmtId="0" fontId="14" fillId="9" borderId="64" xfId="0" applyFont="1" applyFill="1" applyBorder="1"/>
    <xf numFmtId="0" fontId="57" fillId="10" borderId="67" xfId="0" applyFont="1" applyFill="1" applyBorder="1"/>
    <xf numFmtId="0" fontId="59" fillId="10" borderId="67" xfId="0" quotePrefix="1" applyFont="1" applyFill="1" applyBorder="1" applyAlignment="1">
      <alignment horizontal="center"/>
    </xf>
    <xf numFmtId="0" fontId="57" fillId="10" borderId="67" xfId="0" applyFont="1" applyFill="1" applyBorder="1" applyAlignment="1">
      <alignment horizontal="right"/>
    </xf>
    <xf numFmtId="0" fontId="57" fillId="10" borderId="67" xfId="0" applyFont="1" applyFill="1" applyBorder="1" applyAlignment="1">
      <alignment horizontal="center"/>
    </xf>
    <xf numFmtId="0" fontId="58" fillId="10" borderId="67" xfId="0" applyFont="1" applyFill="1" applyBorder="1"/>
    <xf numFmtId="0" fontId="59" fillId="10" borderId="67" xfId="0" applyFont="1" applyFill="1" applyBorder="1" applyAlignment="1">
      <alignment horizontal="center"/>
    </xf>
    <xf numFmtId="0" fontId="60" fillId="10" borderId="67" xfId="0" quotePrefix="1" applyFont="1" applyFill="1" applyBorder="1" applyAlignment="1">
      <alignment horizontal="center"/>
    </xf>
    <xf numFmtId="164" fontId="60" fillId="9" borderId="67" xfId="0" quotePrefix="1" applyNumberFormat="1" applyFont="1" applyFill="1" applyBorder="1" applyAlignment="1">
      <alignment horizontal="center"/>
    </xf>
    <xf numFmtId="0" fontId="58" fillId="9" borderId="67" xfId="0" applyFont="1" applyFill="1" applyBorder="1"/>
    <xf numFmtId="3" fontId="2" fillId="9" borderId="67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5" fillId="9" borderId="0" xfId="0" applyFont="1" applyFill="1" applyBorder="1" applyAlignment="1">
      <alignment horizontal="right"/>
    </xf>
    <xf numFmtId="0" fontId="0" fillId="9" borderId="0" xfId="0" applyFill="1"/>
    <xf numFmtId="14" fontId="0" fillId="8" borderId="0" xfId="0" applyNumberFormat="1" applyFill="1"/>
    <xf numFmtId="0" fontId="18" fillId="8" borderId="0" xfId="0" applyFont="1" applyFill="1" applyAlignment="1"/>
    <xf numFmtId="0" fontId="10" fillId="9" borderId="0" xfId="0" applyFont="1" applyFill="1" applyBorder="1"/>
    <xf numFmtId="0" fontId="44" fillId="9" borderId="0" xfId="3" applyFont="1" applyFill="1" applyBorder="1" applyAlignment="1" applyProtection="1"/>
    <xf numFmtId="0" fontId="3" fillId="8" borderId="67" xfId="0" applyFont="1" applyFill="1" applyBorder="1" applyAlignment="1">
      <alignment horizontal="center"/>
    </xf>
    <xf numFmtId="164" fontId="10" fillId="8" borderId="18" xfId="0" quotePrefix="1" applyNumberFormat="1" applyFont="1" applyFill="1" applyBorder="1"/>
    <xf numFmtId="0" fontId="59" fillId="10" borderId="18" xfId="0" quotePrefix="1" applyFont="1" applyFill="1" applyBorder="1"/>
    <xf numFmtId="0" fontId="61" fillId="10" borderId="18" xfId="0" applyFont="1" applyFill="1" applyBorder="1"/>
    <xf numFmtId="0" fontId="59" fillId="10" borderId="18" xfId="0" applyNumberFormat="1" applyFont="1" applyFill="1" applyBorder="1" applyAlignment="1">
      <alignment horizontal="center"/>
    </xf>
    <xf numFmtId="0" fontId="59" fillId="10" borderId="18" xfId="0" applyFont="1" applyFill="1" applyBorder="1" applyAlignment="1">
      <alignment horizontal="center"/>
    </xf>
    <xf numFmtId="4" fontId="0" fillId="0" borderId="18" xfId="0" applyNumberFormat="1" applyFill="1" applyBorder="1"/>
    <xf numFmtId="175" fontId="0" fillId="0" borderId="18" xfId="0" applyNumberFormat="1" applyFill="1" applyBorder="1"/>
    <xf numFmtId="9" fontId="0" fillId="0" borderId="18" xfId="5" applyFont="1" applyFill="1" applyBorder="1"/>
    <xf numFmtId="0" fontId="10" fillId="10" borderId="18" xfId="0" applyFont="1" applyFill="1" applyBorder="1" applyAlignment="1">
      <alignment horizontal="center"/>
    </xf>
    <xf numFmtId="0" fontId="60" fillId="10" borderId="18" xfId="0" applyFont="1" applyFill="1" applyBorder="1" applyAlignment="1">
      <alignment horizontal="center"/>
    </xf>
    <xf numFmtId="0" fontId="10" fillId="8" borderId="18" xfId="0" applyFont="1" applyFill="1" applyBorder="1" applyAlignment="1"/>
    <xf numFmtId="175" fontId="0" fillId="8" borderId="18" xfId="0" applyNumberFormat="1" applyFill="1" applyBorder="1"/>
    <xf numFmtId="9" fontId="0" fillId="8" borderId="18" xfId="5" applyFont="1" applyFill="1" applyBorder="1"/>
    <xf numFmtId="0" fontId="4" fillId="9" borderId="0" xfId="0" applyFont="1" applyFill="1" applyBorder="1" applyAlignment="1">
      <alignment horizontal="left"/>
    </xf>
    <xf numFmtId="0" fontId="25" fillId="9" borderId="0" xfId="0" applyFont="1" applyFill="1" applyBorder="1"/>
    <xf numFmtId="0" fontId="10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9" fontId="0" fillId="9" borderId="0" xfId="5" applyFont="1" applyFill="1" applyBorder="1"/>
    <xf numFmtId="3" fontId="0" fillId="0" borderId="18" xfId="0" applyNumberFormat="1" applyFill="1" applyBorder="1"/>
    <xf numFmtId="0" fontId="2" fillId="9" borderId="0" xfId="0" applyFont="1" applyFill="1" applyBorder="1" applyAlignment="1">
      <alignment horizontal="left"/>
    </xf>
    <xf numFmtId="175" fontId="0" fillId="9" borderId="0" xfId="0" applyNumberFormat="1" applyFill="1" applyBorder="1"/>
    <xf numFmtId="169" fontId="4" fillId="0" borderId="18" xfId="0" applyNumberFormat="1" applyFont="1" applyFill="1" applyBorder="1"/>
    <xf numFmtId="164" fontId="10" fillId="8" borderId="18" xfId="0" applyNumberFormat="1" applyFont="1" applyFill="1" applyBorder="1"/>
    <xf numFmtId="0" fontId="57" fillId="10" borderId="18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57" fillId="10" borderId="18" xfId="0" applyFont="1" applyFill="1" applyBorder="1" applyAlignment="1">
      <alignment horizontal="left" indent="2"/>
    </xf>
    <xf numFmtId="0" fontId="12" fillId="9" borderId="0" xfId="0" applyFont="1" applyFill="1" applyBorder="1" applyAlignment="1">
      <alignment horizontal="left" indent="2"/>
    </xf>
    <xf numFmtId="0" fontId="62" fillId="10" borderId="18" xfId="0" applyFont="1" applyFill="1" applyBorder="1" applyAlignment="1">
      <alignment horizontal="left"/>
    </xf>
    <xf numFmtId="0" fontId="2" fillId="8" borderId="67" xfId="0" applyFont="1" applyFill="1" applyBorder="1" applyAlignment="1">
      <alignment horizontal="center"/>
    </xf>
    <xf numFmtId="2" fontId="4" fillId="0" borderId="18" xfId="0" applyNumberFormat="1" applyFont="1" applyFill="1" applyBorder="1"/>
    <xf numFmtId="171" fontId="4" fillId="0" borderId="18" xfId="0" applyNumberFormat="1" applyFont="1" applyFill="1" applyBorder="1"/>
    <xf numFmtId="10" fontId="0" fillId="0" borderId="18" xfId="5" applyNumberFormat="1" applyFont="1" applyFill="1" applyBorder="1" applyAlignment="1">
      <alignment horizontal="center"/>
    </xf>
    <xf numFmtId="170" fontId="10" fillId="9" borderId="0" xfId="1" applyNumberFormat="1" applyFont="1" applyFill="1" applyBorder="1"/>
    <xf numFmtId="170" fontId="0" fillId="9" borderId="0" xfId="1" applyNumberFormat="1" applyFont="1" applyFill="1" applyBorder="1"/>
    <xf numFmtId="0" fontId="10" fillId="9" borderId="0" xfId="0" applyNumberFormat="1" applyFont="1" applyFill="1" applyBorder="1"/>
    <xf numFmtId="165" fontId="2" fillId="9" borderId="65" xfId="0" applyNumberFormat="1" applyFont="1" applyFill="1" applyBorder="1"/>
    <xf numFmtId="0" fontId="10" fillId="9" borderId="65" xfId="0" applyFont="1" applyFill="1" applyBorder="1"/>
    <xf numFmtId="0" fontId="0" fillId="9" borderId="65" xfId="0" applyFill="1" applyBorder="1" applyAlignment="1">
      <alignment horizontal="left"/>
    </xf>
    <xf numFmtId="165" fontId="12" fillId="9" borderId="0" xfId="0" applyNumberFormat="1" applyFont="1" applyFill="1" applyBorder="1"/>
    <xf numFmtId="165" fontId="3" fillId="9" borderId="65" xfId="0" applyNumberFormat="1" applyFont="1" applyFill="1" applyBorder="1"/>
    <xf numFmtId="0" fontId="57" fillId="10" borderId="18" xfId="0" applyFont="1" applyFill="1" applyBorder="1"/>
    <xf numFmtId="0" fontId="10" fillId="8" borderId="18" xfId="0" applyFont="1" applyFill="1" applyBorder="1"/>
    <xf numFmtId="0" fontId="0" fillId="9" borderId="18" xfId="0" applyFill="1" applyBorder="1"/>
    <xf numFmtId="0" fontId="60" fillId="10" borderId="18" xfId="0" applyFont="1" applyFill="1" applyBorder="1"/>
    <xf numFmtId="0" fontId="57" fillId="10" borderId="18" xfId="0" applyFont="1" applyFill="1" applyBorder="1" applyAlignment="1">
      <alignment horizontal="center"/>
    </xf>
    <xf numFmtId="0" fontId="18" fillId="9" borderId="0" xfId="0" applyFont="1" applyFill="1" applyBorder="1" applyAlignment="1"/>
    <xf numFmtId="0" fontId="18" fillId="9" borderId="24" xfId="0" applyFont="1" applyFill="1" applyBorder="1" applyAlignment="1"/>
    <xf numFmtId="0" fontId="3" fillId="9" borderId="0" xfId="0" applyFont="1" applyFill="1" applyBorder="1" applyAlignment="1">
      <alignment horizontal="center"/>
    </xf>
    <xf numFmtId="0" fontId="10" fillId="9" borderId="0" xfId="0" applyNumberFormat="1" applyFont="1" applyFill="1" applyBorder="1" applyAlignment="1"/>
    <xf numFmtId="0" fontId="0" fillId="9" borderId="0" xfId="0" applyFill="1" applyBorder="1" applyAlignment="1">
      <alignment horizontal="left" indent="2"/>
    </xf>
    <xf numFmtId="0" fontId="18" fillId="9" borderId="4" xfId="0" applyFont="1" applyFill="1" applyBorder="1" applyAlignment="1"/>
    <xf numFmtId="0" fontId="10" fillId="9" borderId="0" xfId="0" applyFont="1" applyFill="1" applyBorder="1" applyAlignment="1"/>
    <xf numFmtId="0" fontId="51" fillId="9" borderId="0" xfId="0" applyFont="1" applyFill="1" applyBorder="1" applyAlignment="1">
      <alignment horizontal="center"/>
    </xf>
    <xf numFmtId="0" fontId="52" fillId="9" borderId="0" xfId="0" applyFont="1" applyFill="1" applyBorder="1"/>
    <xf numFmtId="0" fontId="51" fillId="9" borderId="0" xfId="0" applyFont="1" applyFill="1" applyBorder="1"/>
    <xf numFmtId="0" fontId="51" fillId="9" borderId="64" xfId="0" applyFont="1" applyFill="1" applyBorder="1" applyAlignment="1">
      <alignment horizontal="center"/>
    </xf>
    <xf numFmtId="0" fontId="52" fillId="9" borderId="64" xfId="0" applyFont="1" applyFill="1" applyBorder="1"/>
    <xf numFmtId="0" fontId="51" fillId="9" borderId="64" xfId="0" applyFont="1" applyFill="1" applyBorder="1"/>
    <xf numFmtId="0" fontId="51" fillId="9" borderId="65" xfId="0" applyFont="1" applyFill="1" applyBorder="1"/>
    <xf numFmtId="171" fontId="4" fillId="9" borderId="18" xfId="0" applyNumberFormat="1" applyFont="1" applyFill="1" applyBorder="1"/>
    <xf numFmtId="10" fontId="0" fillId="9" borderId="18" xfId="5" applyNumberFormat="1" applyFont="1" applyFill="1" applyBorder="1" applyAlignment="1">
      <alignment horizontal="center"/>
    </xf>
    <xf numFmtId="0" fontId="0" fillId="8" borderId="18" xfId="0" applyFill="1" applyBorder="1"/>
    <xf numFmtId="171" fontId="4" fillId="8" borderId="18" xfId="0" applyNumberFormat="1" applyFont="1" applyFill="1" applyBorder="1"/>
    <xf numFmtId="10" fontId="0" fillId="8" borderId="18" xfId="5" applyNumberFormat="1" applyFont="1" applyFill="1" applyBorder="1" applyAlignment="1">
      <alignment horizontal="center"/>
    </xf>
    <xf numFmtId="0" fontId="10" fillId="9" borderId="0" xfId="0" quotePrefix="1" applyFont="1" applyFill="1" applyBorder="1" applyAlignment="1">
      <alignment horizontal="left" indent="1"/>
    </xf>
    <xf numFmtId="0" fontId="7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172" fontId="10" fillId="9" borderId="0" xfId="5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right"/>
    </xf>
    <xf numFmtId="0" fontId="14" fillId="9" borderId="5" xfId="0" applyFont="1" applyFill="1" applyBorder="1"/>
    <xf numFmtId="0" fontId="14" fillId="9" borderId="5" xfId="0" applyFont="1" applyFill="1" applyBorder="1" applyAlignment="1">
      <alignment horizontal="right"/>
    </xf>
    <xf numFmtId="15" fontId="14" fillId="9" borderId="5" xfId="0" applyNumberFormat="1" applyFont="1" applyFill="1" applyBorder="1"/>
    <xf numFmtId="0" fontId="3" fillId="9" borderId="5" xfId="0" applyFont="1" applyFill="1" applyBorder="1"/>
    <xf numFmtId="0" fontId="14" fillId="9" borderId="65" xfId="0" applyFont="1" applyFill="1" applyBorder="1"/>
    <xf numFmtId="0" fontId="13" fillId="9" borderId="65" xfId="0" applyFont="1" applyFill="1" applyBorder="1"/>
    <xf numFmtId="0" fontId="14" fillId="9" borderId="68" xfId="0" applyFont="1" applyFill="1" applyBorder="1" applyAlignment="1">
      <alignment horizontal="right"/>
    </xf>
    <xf numFmtId="0" fontId="13" fillId="9" borderId="68" xfId="0" applyFont="1" applyFill="1" applyBorder="1"/>
    <xf numFmtId="0" fontId="13" fillId="9" borderId="65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10" fontId="13" fillId="9" borderId="65" xfId="5" applyNumberFormat="1" applyFont="1" applyFill="1" applyBorder="1" applyAlignment="1">
      <alignment horizontal="center"/>
    </xf>
    <xf numFmtId="0" fontId="28" fillId="9" borderId="0" xfId="0" applyFont="1" applyFill="1" applyBorder="1"/>
    <xf numFmtId="10" fontId="13" fillId="9" borderId="0" xfId="5" applyNumberFormat="1" applyFont="1" applyFill="1" applyBorder="1"/>
    <xf numFmtId="0" fontId="56" fillId="9" borderId="0" xfId="0" applyFont="1" applyFill="1" applyBorder="1"/>
    <xf numFmtId="10" fontId="0" fillId="9" borderId="64" xfId="5" applyNumberFormat="1" applyFont="1" applyFill="1" applyBorder="1"/>
    <xf numFmtId="0" fontId="63" fillId="10" borderId="18" xfId="0" applyFont="1" applyFill="1" applyBorder="1"/>
    <xf numFmtId="9" fontId="16" fillId="8" borderId="18" xfId="5" applyFont="1" applyFill="1" applyBorder="1" applyAlignment="1">
      <alignment horizontal="center"/>
    </xf>
    <xf numFmtId="0" fontId="13" fillId="10" borderId="19" xfId="0" applyFont="1" applyFill="1" applyBorder="1"/>
    <xf numFmtId="0" fontId="13" fillId="10" borderId="20" xfId="0" applyFont="1" applyFill="1" applyBorder="1"/>
    <xf numFmtId="0" fontId="64" fillId="10" borderId="19" xfId="0" applyFont="1" applyFill="1" applyBorder="1"/>
    <xf numFmtId="0" fontId="63" fillId="10" borderId="20" xfId="0" applyFont="1" applyFill="1" applyBorder="1"/>
    <xf numFmtId="0" fontId="64" fillId="10" borderId="20" xfId="0" applyFont="1" applyFill="1" applyBorder="1"/>
    <xf numFmtId="0" fontId="15" fillId="9" borderId="64" xfId="0" applyFont="1" applyFill="1" applyBorder="1"/>
    <xf numFmtId="0" fontId="13" fillId="8" borderId="18" xfId="0" applyFont="1" applyFill="1" applyBorder="1" applyAlignment="1">
      <alignment horizontal="center"/>
    </xf>
    <xf numFmtId="166" fontId="13" fillId="8" borderId="18" xfId="2" applyFont="1" applyFill="1" applyBorder="1" applyAlignment="1">
      <alignment horizontal="center"/>
    </xf>
    <xf numFmtId="0" fontId="27" fillId="9" borderId="0" xfId="0" quotePrefix="1" applyFont="1" applyFill="1" applyBorder="1"/>
    <xf numFmtId="0" fontId="14" fillId="9" borderId="63" xfId="0" applyFont="1" applyFill="1" applyBorder="1"/>
    <xf numFmtId="3" fontId="14" fillId="9" borderId="63" xfId="0" applyNumberFormat="1" applyFont="1" applyFill="1" applyBorder="1"/>
    <xf numFmtId="0" fontId="65" fillId="10" borderId="18" xfId="0" applyFont="1" applyFill="1" applyBorder="1"/>
    <xf numFmtId="0" fontId="65" fillId="10" borderId="71" xfId="0" applyFont="1" applyFill="1" applyBorder="1"/>
    <xf numFmtId="0" fontId="63" fillId="10" borderId="70" xfId="0" applyFont="1" applyFill="1" applyBorder="1"/>
    <xf numFmtId="0" fontId="63" fillId="10" borderId="18" xfId="0" applyFont="1" applyFill="1" applyBorder="1" applyAlignment="1">
      <alignment horizontal="center" wrapText="1"/>
    </xf>
    <xf numFmtId="0" fontId="65" fillId="10" borderId="18" xfId="0" applyFont="1" applyFill="1" applyBorder="1" applyAlignment="1">
      <alignment horizontal="center" vertical="center"/>
    </xf>
    <xf numFmtId="180" fontId="13" fillId="8" borderId="18" xfId="0" applyNumberFormat="1" applyFont="1" applyFill="1" applyBorder="1"/>
    <xf numFmtId="180" fontId="13" fillId="8" borderId="70" xfId="0" applyNumberFormat="1" applyFont="1" applyFill="1" applyBorder="1"/>
    <xf numFmtId="180" fontId="14" fillId="8" borderId="71" xfId="0" applyNumberFormat="1" applyFont="1" applyFill="1" applyBorder="1"/>
    <xf numFmtId="0" fontId="13" fillId="9" borderId="19" xfId="0" applyFont="1" applyFill="1" applyBorder="1"/>
    <xf numFmtId="0" fontId="13" fillId="9" borderId="15" xfId="0" applyFont="1" applyFill="1" applyBorder="1"/>
    <xf numFmtId="0" fontId="13" fillId="9" borderId="20" xfId="0" applyFont="1" applyFill="1" applyBorder="1"/>
    <xf numFmtId="0" fontId="13" fillId="9" borderId="22" xfId="0" applyFont="1" applyFill="1" applyBorder="1"/>
    <xf numFmtId="0" fontId="13" fillId="9" borderId="3" xfId="0" applyFont="1" applyFill="1" applyBorder="1"/>
    <xf numFmtId="0" fontId="13" fillId="9" borderId="13" xfId="0" applyFont="1" applyFill="1" applyBorder="1"/>
    <xf numFmtId="0" fontId="13" fillId="10" borderId="15" xfId="0" applyFont="1" applyFill="1" applyBorder="1"/>
    <xf numFmtId="175" fontId="13" fillId="9" borderId="0" xfId="0" applyNumberFormat="1" applyFont="1" applyFill="1" applyBorder="1" applyAlignment="1">
      <alignment horizontal="center"/>
    </xf>
    <xf numFmtId="9" fontId="13" fillId="9" borderId="0" xfId="5" applyFont="1" applyFill="1" applyBorder="1" applyAlignment="1">
      <alignment horizontal="center"/>
    </xf>
    <xf numFmtId="180" fontId="14" fillId="8" borderId="18" xfId="0" applyNumberFormat="1" applyFont="1" applyFill="1" applyBorder="1" applyAlignment="1"/>
    <xf numFmtId="170" fontId="27" fillId="8" borderId="18" xfId="0" applyNumberFormat="1" applyFont="1" applyFill="1" applyBorder="1" applyAlignment="1"/>
    <xf numFmtId="175" fontId="14" fillId="8" borderId="18" xfId="0" applyNumberFormat="1" applyFont="1" applyFill="1" applyBorder="1"/>
    <xf numFmtId="180" fontId="14" fillId="8" borderId="72" xfId="0" applyNumberFormat="1" applyFont="1" applyFill="1" applyBorder="1"/>
    <xf numFmtId="172" fontId="28" fillId="9" borderId="65" xfId="5" applyNumberFormat="1" applyFont="1" applyFill="1" applyBorder="1"/>
    <xf numFmtId="172" fontId="28" fillId="9" borderId="0" xfId="5" applyNumberFormat="1" applyFont="1" applyFill="1" applyBorder="1"/>
    <xf numFmtId="0" fontId="63" fillId="10" borderId="72" xfId="0" applyFont="1" applyFill="1" applyBorder="1"/>
    <xf numFmtId="0" fontId="59" fillId="10" borderId="19" xfId="0" applyFont="1" applyFill="1" applyBorder="1"/>
    <xf numFmtId="0" fontId="57" fillId="10" borderId="19" xfId="0" applyFont="1" applyFill="1" applyBorder="1"/>
    <xf numFmtId="165" fontId="14" fillId="9" borderId="0" xfId="0" applyNumberFormat="1" applyFont="1" applyFill="1" applyBorder="1"/>
    <xf numFmtId="180" fontId="14" fillId="8" borderId="18" xfId="0" applyNumberFormat="1" applyFont="1" applyFill="1" applyBorder="1"/>
    <xf numFmtId="0" fontId="27" fillId="9" borderId="0" xfId="0" applyFont="1" applyFill="1" applyBorder="1"/>
    <xf numFmtId="170" fontId="27" fillId="9" borderId="0" xfId="0" applyNumberFormat="1" applyFont="1" applyFill="1" applyBorder="1" applyAlignment="1"/>
    <xf numFmtId="0" fontId="13" fillId="9" borderId="64" xfId="0" applyFont="1" applyFill="1" applyBorder="1"/>
    <xf numFmtId="0" fontId="17" fillId="9" borderId="5" xfId="0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15" fontId="3" fillId="9" borderId="5" xfId="0" applyNumberFormat="1" applyFont="1" applyFill="1" applyBorder="1" applyAlignment="1">
      <alignment horizontal="left"/>
    </xf>
    <xf numFmtId="15" fontId="3" fillId="9" borderId="5" xfId="0" applyNumberFormat="1" applyFont="1" applyFill="1" applyBorder="1"/>
    <xf numFmtId="0" fontId="14" fillId="9" borderId="0" xfId="0" applyFont="1" applyFill="1"/>
    <xf numFmtId="0" fontId="3" fillId="9" borderId="0" xfId="0" applyFont="1" applyFill="1"/>
    <xf numFmtId="179" fontId="3" fillId="9" borderId="0" xfId="0" applyNumberFormat="1" applyFont="1" applyFill="1" applyBorder="1"/>
    <xf numFmtId="0" fontId="14" fillId="10" borderId="18" xfId="0" applyFont="1" applyFill="1" applyBorder="1"/>
    <xf numFmtId="0" fontId="3" fillId="10" borderId="18" xfId="0" applyFont="1" applyFill="1" applyBorder="1"/>
    <xf numFmtId="179" fontId="3" fillId="10" borderId="18" xfId="0" applyNumberFormat="1" applyFont="1" applyFill="1" applyBorder="1"/>
    <xf numFmtId="179" fontId="3" fillId="8" borderId="18" xfId="0" applyNumberFormat="1" applyFont="1" applyFill="1" applyBorder="1"/>
    <xf numFmtId="0" fontId="3" fillId="8" borderId="0" xfId="0" applyFont="1" applyFill="1"/>
    <xf numFmtId="179" fontId="2" fillId="9" borderId="18" xfId="6" applyNumberFormat="1" applyFont="1" applyFill="1" applyBorder="1"/>
    <xf numFmtId="179" fontId="3" fillId="10" borderId="18" xfId="0" applyNumberFormat="1" applyFont="1" applyFill="1" applyBorder="1" applyAlignment="1">
      <alignment horizontal="left" indent="1"/>
    </xf>
    <xf numFmtId="166" fontId="4" fillId="0" borderId="18" xfId="2" applyFont="1" applyFill="1" applyBorder="1"/>
    <xf numFmtId="166" fontId="0" fillId="0" borderId="18" xfId="2" applyFont="1" applyFill="1" applyBorder="1" applyAlignment="1">
      <alignment horizontal="center"/>
    </xf>
    <xf numFmtId="0" fontId="13" fillId="9" borderId="17" xfId="0" applyFont="1" applyFill="1" applyBorder="1"/>
    <xf numFmtId="0" fontId="13" fillId="9" borderId="27" xfId="0" applyFont="1" applyFill="1" applyBorder="1"/>
    <xf numFmtId="0" fontId="13" fillId="9" borderId="12" xfId="0" applyFont="1" applyFill="1" applyBorder="1"/>
    <xf numFmtId="0" fontId="13" fillId="9" borderId="5" xfId="0" applyFont="1" applyFill="1" applyBorder="1"/>
    <xf numFmtId="0" fontId="13" fillId="9" borderId="25" xfId="0" applyFont="1" applyFill="1" applyBorder="1"/>
    <xf numFmtId="0" fontId="6" fillId="9" borderId="1" xfId="0" applyFont="1" applyFill="1" applyBorder="1"/>
    <xf numFmtId="0" fontId="63" fillId="10" borderId="18" xfId="0" applyFont="1" applyFill="1" applyBorder="1" applyAlignment="1">
      <alignment horizontal="left" vertical="center"/>
    </xf>
    <xf numFmtId="0" fontId="63" fillId="10" borderId="18" xfId="0" applyFont="1" applyFill="1" applyBorder="1" applyAlignment="1">
      <alignment horizontal="center" vertical="center"/>
    </xf>
    <xf numFmtId="182" fontId="13" fillId="8" borderId="18" xfId="0" applyNumberFormat="1" applyFont="1" applyFill="1" applyBorder="1"/>
    <xf numFmtId="0" fontId="65" fillId="10" borderId="18" xfId="0" applyFont="1" applyFill="1" applyBorder="1" applyAlignment="1">
      <alignment horizontal="left" vertical="center"/>
    </xf>
    <xf numFmtId="0" fontId="13" fillId="8" borderId="18" xfId="0" applyNumberFormat="1" applyFont="1" applyFill="1" applyBorder="1"/>
    <xf numFmtId="0" fontId="13" fillId="9" borderId="0" xfId="0" applyNumberFormat="1" applyFont="1" applyFill="1" applyBorder="1"/>
    <xf numFmtId="184" fontId="0" fillId="0" borderId="18" xfId="0" applyNumberFormat="1" applyFill="1" applyBorder="1"/>
    <xf numFmtId="2" fontId="0" fillId="0" borderId="18" xfId="0" applyNumberFormat="1" applyFill="1" applyBorder="1"/>
    <xf numFmtId="168" fontId="0" fillId="0" borderId="18" xfId="0" applyNumberFormat="1" applyFill="1" applyBorder="1"/>
    <xf numFmtId="182" fontId="13" fillId="9" borderId="0" xfId="0" applyNumberFormat="1" applyFont="1" applyFill="1" applyBorder="1"/>
    <xf numFmtId="0" fontId="63" fillId="10" borderId="18" xfId="0" applyFont="1" applyFill="1" applyBorder="1" applyAlignment="1">
      <alignment horizontal="center" vertical="center"/>
    </xf>
    <xf numFmtId="8" fontId="4" fillId="0" borderId="0" xfId="4" applyNumberFormat="1" applyFont="1"/>
    <xf numFmtId="9" fontId="3" fillId="9" borderId="0" xfId="5" applyFont="1" applyFill="1" applyBorder="1" applyAlignment="1">
      <alignment horizontal="center"/>
    </xf>
    <xf numFmtId="0" fontId="2" fillId="4" borderId="0" xfId="0" applyFont="1" applyFill="1"/>
    <xf numFmtId="49" fontId="2" fillId="0" borderId="18" xfId="0" applyNumberFormat="1" applyFont="1" applyFill="1" applyBorder="1" applyAlignment="1">
      <alignment horizontal="right"/>
    </xf>
    <xf numFmtId="185" fontId="0" fillId="0" borderId="18" xfId="0" applyNumberFormat="1" applyFill="1" applyBorder="1"/>
    <xf numFmtId="0" fontId="67" fillId="9" borderId="69" xfId="0" applyFont="1" applyFill="1" applyBorder="1"/>
    <xf numFmtId="9" fontId="0" fillId="0" borderId="0" xfId="0" applyNumberFormat="1"/>
    <xf numFmtId="9" fontId="0" fillId="0" borderId="0" xfId="5" applyNumberFormat="1" applyFont="1"/>
    <xf numFmtId="43" fontId="13" fillId="9" borderId="0" xfId="0" applyNumberFormat="1" applyFont="1" applyFill="1" applyBorder="1"/>
    <xf numFmtId="0" fontId="58" fillId="9" borderId="0" xfId="0" applyFont="1" applyFill="1" applyBorder="1"/>
    <xf numFmtId="43" fontId="4" fillId="0" borderId="3" xfId="0" applyNumberFormat="1" applyFont="1" applyFill="1" applyBorder="1"/>
    <xf numFmtId="186" fontId="3" fillId="0" borderId="22" xfId="0" applyNumberFormat="1" applyFont="1" applyBorder="1"/>
    <xf numFmtId="186" fontId="3" fillId="0" borderId="21" xfId="0" applyNumberFormat="1" applyFont="1" applyBorder="1"/>
    <xf numFmtId="186" fontId="3" fillId="0" borderId="13" xfId="0" applyNumberFormat="1" applyFont="1" applyBorder="1"/>
    <xf numFmtId="0" fontId="3" fillId="8" borderId="67" xfId="0" applyFont="1" applyFill="1" applyBorder="1" applyAlignment="1">
      <alignment horizontal="center" wrapText="1"/>
    </xf>
    <xf numFmtId="0" fontId="57" fillId="10" borderId="18" xfId="0" applyFont="1" applyFill="1" applyBorder="1" applyAlignment="1">
      <alignment horizontal="left" wrapText="1"/>
    </xf>
    <xf numFmtId="10" fontId="2" fillId="7" borderId="0" xfId="5" applyNumberFormat="1" applyFont="1" applyFill="1" applyBorder="1" applyAlignment="1">
      <alignment horizontal="right" vertical="top" wrapText="1"/>
    </xf>
    <xf numFmtId="179" fontId="3" fillId="2" borderId="0" xfId="0" applyNumberFormat="1" applyFont="1" applyFill="1" applyBorder="1" applyProtection="1"/>
    <xf numFmtId="0" fontId="57" fillId="9" borderId="0" xfId="0" applyFont="1" applyFill="1" applyBorder="1"/>
    <xf numFmtId="0" fontId="68" fillId="9" borderId="0" xfId="0" applyFont="1" applyFill="1" applyBorder="1" applyAlignment="1">
      <alignment horizontal="center"/>
    </xf>
    <xf numFmtId="187" fontId="4" fillId="0" borderId="0" xfId="1" applyNumberFormat="1" applyFont="1" applyFill="1" applyBorder="1"/>
    <xf numFmtId="10" fontId="69" fillId="15" borderId="73" xfId="12" applyNumberFormat="1" applyAlignment="1" applyProtection="1">
      <alignment horizontal="center"/>
    </xf>
    <xf numFmtId="10" fontId="69" fillId="15" borderId="73" xfId="12" applyNumberFormat="1" applyAlignment="1">
      <alignment horizontal="center"/>
    </xf>
    <xf numFmtId="10" fontId="4" fillId="0" borderId="0" xfId="5" applyNumberFormat="1" applyFont="1" applyFill="1" applyBorder="1"/>
    <xf numFmtId="3" fontId="2" fillId="0" borderId="67" xfId="0" applyNumberFormat="1" applyFont="1" applyFill="1" applyBorder="1" applyAlignment="1">
      <alignment horizontal="center"/>
    </xf>
    <xf numFmtId="180" fontId="13" fillId="8" borderId="18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right"/>
    </xf>
    <xf numFmtId="180" fontId="13" fillId="8" borderId="20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center"/>
    </xf>
    <xf numFmtId="180" fontId="13" fillId="8" borderId="20" xfId="0" applyNumberFormat="1" applyFont="1" applyFill="1" applyBorder="1" applyAlignment="1">
      <alignment horizontal="center"/>
    </xf>
    <xf numFmtId="0" fontId="63" fillId="10" borderId="18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/>
    </xf>
  </cellXfs>
  <cellStyles count="13">
    <cellStyle name="20% - Accent6 3" xfId="11"/>
    <cellStyle name="40% - Accent1 2" xfId="10"/>
    <cellStyle name="40% - Accent3 6" xfId="8"/>
    <cellStyle name="40% - Accent5 2" xfId="9"/>
    <cellStyle name="Comma" xfId="1" builtinId="3"/>
    <cellStyle name="Currency" xfId="2" builtinId="4"/>
    <cellStyle name="Hyperlink" xfId="3" builtinId="8"/>
    <cellStyle name="Hyperlink 2" xfId="7"/>
    <cellStyle name="Input" xfId="12" builtinId="20"/>
    <cellStyle name="Normal" xfId="0" builtinId="0"/>
    <cellStyle name="Normal 2" xfId="6"/>
    <cellStyle name="Normal_Copy of Copy of Example of Modelling Approaches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8025"/>
      <rgbColor rgb="00F15D22"/>
      <rgbColor rgb="00FDB714"/>
      <rgbColor rgb="0071BECD"/>
      <rgbColor rgb="00FABA8A"/>
      <rgbColor rgb="00AFDAE3"/>
      <rgbColor rgb="0000AE66"/>
      <rgbColor rgb="00798AB9"/>
      <rgbColor rgb="00C1E2E9"/>
      <rgbColor rgb="00FEE09C"/>
      <rgbColor rgb="00DCDEE0"/>
      <rgbColor rgb="00D92632"/>
      <rgbColor rgb="00800080"/>
      <rgbColor rgb="00800000"/>
      <rgbColor rgb="00008080"/>
      <rgbColor rgb="000000FF"/>
      <rgbColor rgb="0000CCFF"/>
      <rgbColor rgb="00D1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2326.3152163706636</c:v>
                </c:pt>
                <c:pt idx="1">
                  <c:v>2182.2450828823544</c:v>
                </c:pt>
                <c:pt idx="2">
                  <c:v>2164.355974501033</c:v>
                </c:pt>
                <c:pt idx="3">
                  <c:v>2257.571520852398</c:v>
                </c:pt>
                <c:pt idx="4">
                  <c:v>2345.0141710323751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251287808"/>
        <c:axId val="251288368"/>
      </c:lineChart>
      <c:catAx>
        <c:axId val="25128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288368"/>
        <c:crosses val="autoZero"/>
        <c:auto val="1"/>
        <c:lblAlgn val="ctr"/>
        <c:lblOffset val="100"/>
        <c:noMultiLvlLbl val="0"/>
      </c:catAx>
      <c:valAx>
        <c:axId val="25128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28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paperSize="14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459903481979"/>
          <c:y val="8.1325301204819359E-2"/>
          <c:w val="0.8854814567770809"/>
          <c:h val="0.68072289156626509"/>
        </c:manualLayout>
      </c:layout>
      <c:lineChart>
        <c:grouping val="standard"/>
        <c:varyColors val="0"/>
        <c:ser>
          <c:idx val="0"/>
          <c:order val="0"/>
          <c:tx>
            <c:strRef>
              <c:f>Calculations!$D$229</c:f>
              <c:strCache>
                <c:ptCount val="1"/>
                <c:pt idx="0">
                  <c:v>'Status Quo':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Calculations!$E$229:$J$229</c:f>
              <c:numCache>
                <c:formatCode>_(* #,##0.0_);_(* \(#,##0.0\);_(* "-"???_);_(@_)</c:formatCode>
                <c:ptCount val="6"/>
                <c:pt idx="0">
                  <c:v>0</c:v>
                </c:pt>
                <c:pt idx="1">
                  <c:v>11.930324507760561</c:v>
                </c:pt>
                <c:pt idx="2">
                  <c:v>36.253870114182796</c:v>
                </c:pt>
                <c:pt idx="3">
                  <c:v>61.049292505369628</c:v>
                </c:pt>
                <c:pt idx="4">
                  <c:v>86.325746090945472</c:v>
                </c:pt>
                <c:pt idx="5">
                  <c:v>112.0925628760815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Calculations!$D$230</c:f>
              <c:strCache>
                <c:ptCount val="1"/>
                <c:pt idx="0">
                  <c:v>Option 1: Provide In Meter Capabilities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Calculations!$E$230:$J$230</c:f>
              <c:numCache>
                <c:formatCode>_(* #,##0.0_);_(* \(#,##0.0\);_(* "-"???_);_(@_)</c:formatCode>
                <c:ptCount val="6"/>
                <c:pt idx="0">
                  <c:v>125.52310817347855</c:v>
                </c:pt>
                <c:pt idx="1">
                  <c:v>225.80493018369893</c:v>
                </c:pt>
                <c:pt idx="2">
                  <c:v>225.80493018369893</c:v>
                </c:pt>
                <c:pt idx="3">
                  <c:v>225.80493018369893</c:v>
                </c:pt>
                <c:pt idx="4">
                  <c:v>225.80493018369893</c:v>
                </c:pt>
                <c:pt idx="5">
                  <c:v>225.80493018369893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517024"/>
        <c:axId val="357517584"/>
      </c:lineChart>
      <c:catAx>
        <c:axId val="3575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5751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517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Carrying Costs $000</a:t>
                </a:r>
              </a:p>
            </c:rich>
          </c:tx>
          <c:layout>
            <c:manualLayout>
              <c:xMode val="edge"/>
              <c:yMode val="edge"/>
              <c:x val="1.6359934536297107E-2"/>
              <c:y val="0.13253012048192783"/>
            </c:manualLayout>
          </c:layout>
          <c:overlay val="0"/>
        </c:title>
        <c:numFmt formatCode="_(* #,##0.0_);_(* \(#,##0.0\);_(* &quot;-&quot;?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5751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711675125889821"/>
          <c:y val="0.89759036144578308"/>
          <c:w val="0.74028703776744409"/>
          <c:h val="7.8313253012048292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44" r="0.75000000000000044" t="1" header="0.5" footer="0.5"/>
    <c:pageSetup orientation="landscape" horizontalDpi="200" verticalDpi="20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707697252129205E-2"/>
          <c:y val="0.14497987383237729"/>
          <c:w val="0.88939364722266856"/>
          <c:h val="0.68441777047788932"/>
        </c:manualLayout>
      </c:layout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2326.3152163706636</c:v>
                </c:pt>
                <c:pt idx="1">
                  <c:v>2182.2450828823544</c:v>
                </c:pt>
                <c:pt idx="2">
                  <c:v>2164.355974501033</c:v>
                </c:pt>
                <c:pt idx="3">
                  <c:v>2257.571520852398</c:v>
                </c:pt>
                <c:pt idx="4">
                  <c:v>2345.0141710323751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870392080"/>
        <c:axId val="870392640"/>
      </c:lineChart>
      <c:catAx>
        <c:axId val="87039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392640"/>
        <c:crosses val="autoZero"/>
        <c:auto val="1"/>
        <c:lblAlgn val="ctr"/>
        <c:lblOffset val="100"/>
        <c:noMultiLvlLbl val="0"/>
      </c:catAx>
      <c:valAx>
        <c:axId val="8703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39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65916760405006"/>
          <c:y val="4.4479004370551689E-2"/>
          <c:w val="0.20412994804220899"/>
          <c:h val="6.4054307290798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paperSize="140" orientation="landscape"/>
  </c:printSettings>
</c:chartSpace>
</file>

<file path=xl/ctrlProps/ctrlProp1.xml><?xml version="1.0" encoding="utf-8"?>
<formControlPr xmlns="http://schemas.microsoft.com/office/spreadsheetml/2009/9/main" objectType="Drop" dropLines="5" dropStyle="combo" dx="16" fmlaLink="$E$8" fmlaRange="'Administrator Input'!$D$92:$D$96" sel="3" val="0"/>
</file>

<file path=xl/ctrlProps/ctrlProp10.xml><?xml version="1.0" encoding="utf-8"?>
<formControlPr xmlns="http://schemas.microsoft.com/office/spreadsheetml/2009/9/main" objectType="Drop" dropLines="2" dropStyle="combo" dx="16" fmlaLink="$F$204" fmlaRange="'Administrator Input'!$G$92:$G$93" sel="2" val="0"/>
</file>

<file path=xl/ctrlProps/ctrlProp11.xml><?xml version="1.0" encoding="utf-8"?>
<formControlPr xmlns="http://schemas.microsoft.com/office/spreadsheetml/2009/9/main" objectType="Drop" dropLines="3" dropStyle="combo" dx="16" fmlaLink="$E$348" fmlaRange="'Administrator Input'!$D$70:$D$72" sel="2" val="0"/>
</file>

<file path=xl/ctrlProps/ctrlProp12.xml><?xml version="1.0" encoding="utf-8"?>
<formControlPr xmlns="http://schemas.microsoft.com/office/spreadsheetml/2009/9/main" objectType="Drop" dropLines="2" dropStyle="combo" dx="16" fmlaLink="$F$206" fmlaRange="'Administrator Input'!$G$92:$G$93" sel="2" val="0"/>
</file>

<file path=xl/ctrlProps/ctrlProp13.xml><?xml version="1.0" encoding="utf-8"?>
<formControlPr xmlns="http://schemas.microsoft.com/office/spreadsheetml/2009/9/main" objectType="Drop" dropLines="2" dropStyle="combo" dx="16" fmlaLink="$D$6" fmlaRange="'Administrator Input'!$C$88:$C$89" noThreeD="1" sel="2" val="0"/>
</file>

<file path=xl/ctrlProps/ctrlProp14.xml><?xml version="1.0" encoding="utf-8"?>
<formControlPr xmlns="http://schemas.microsoft.com/office/spreadsheetml/2009/9/main" objectType="Drop" dropLines="2" dropStyle="combo" dx="16" fmlaLink="$E$64" fmlaRange="$G$95:$G$96" noThreeD="1" val="0"/>
</file>

<file path=xl/ctrlProps/ctrlProp2.xml><?xml version="1.0" encoding="utf-8"?>
<formControlPr xmlns="http://schemas.microsoft.com/office/spreadsheetml/2009/9/main" objectType="Drop" dropLines="2" dropStyle="combo" dx="16" fmlaLink="$I$8" fmlaRange="'Administrator Input'!$D$85:$D$86" val="0"/>
</file>

<file path=xl/ctrlProps/ctrlProp3.xml><?xml version="1.0" encoding="utf-8"?>
<formControlPr xmlns="http://schemas.microsoft.com/office/spreadsheetml/2009/9/main" objectType="Drop" dropLines="5" dropStyle="combo" dx="16" fmlaLink="$E$29" fmlaRange="'Administrator Input'!$F$85:$F$89" sel="4" val="0"/>
</file>

<file path=xl/ctrlProps/ctrlProp4.xml><?xml version="1.0" encoding="utf-8"?>
<formControlPr xmlns="http://schemas.microsoft.com/office/spreadsheetml/2009/9/main" objectType="Drop" dropLines="5" dropStyle="combo" dx="16" fmlaLink="$E$58" fmlaRange="'Administrator Input'!$F$85:$F$89" sel="5" val="0"/>
</file>

<file path=xl/ctrlProps/ctrlProp5.xml><?xml version="1.0" encoding="utf-8"?>
<formControlPr xmlns="http://schemas.microsoft.com/office/spreadsheetml/2009/9/main" objectType="Drop" dropLines="5" dropStyle="combo" dx="16" fmlaLink="$E$87" fmlaRange="'Administrator Input'!$F$85:$F$89" sel="5" val="0"/>
</file>

<file path=xl/ctrlProps/ctrlProp6.xml><?xml version="1.0" encoding="utf-8"?>
<formControlPr xmlns="http://schemas.microsoft.com/office/spreadsheetml/2009/9/main" objectType="Drop" dropLines="5" dropStyle="combo" dx="16" fmlaLink="$E$116" fmlaRange="'Administrator Input'!$F$85:$F$89" sel="5" val="0"/>
</file>

<file path=xl/ctrlProps/ctrlProp7.xml><?xml version="1.0" encoding="utf-8"?>
<formControlPr xmlns="http://schemas.microsoft.com/office/spreadsheetml/2009/9/main" objectType="Drop" dropLines="5" dropStyle="combo" dx="16" fmlaLink="$E$145" fmlaRange="'Administrator Input'!$F$85:$F$89" sel="5" val="0"/>
</file>

<file path=xl/ctrlProps/ctrlProp8.xml><?xml version="1.0" encoding="utf-8"?>
<formControlPr xmlns="http://schemas.microsoft.com/office/spreadsheetml/2009/9/main" objectType="Drop" dropLines="5" dropStyle="combo" dx="16" fmlaLink="$E$174" fmlaRange="'Administrator Input'!$F$85:$F$89" sel="5" val="0"/>
</file>

<file path=xl/ctrlProps/ctrlProp9.xml><?xml version="1.0" encoding="utf-8"?>
<formControlPr xmlns="http://schemas.microsoft.com/office/spreadsheetml/2009/9/main" objectType="Drop" dropLines="2" dropStyle="combo" dx="16" fmlaLink="$F$202" fmlaRange="'Administrator Input'!$G$92:$G$9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76200</xdr:rowOff>
    </xdr:from>
    <xdr:to>
      <xdr:col>6</xdr:col>
      <xdr:colOff>2286000</xdr:colOff>
      <xdr:row>6</xdr:row>
      <xdr:rowOff>123825</xdr:rowOff>
    </xdr:to>
    <xdr:pic>
      <xdr:nvPicPr>
        <xdr:cNvPr id="21505" name="Picture 8" descr="logos-inside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47650"/>
          <a:ext cx="21431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1895475</xdr:colOff>
          <xdr:row>6</xdr:row>
          <xdr:rowOff>114300</xdr:rowOff>
        </xdr:from>
        <xdr:to>
          <xdr:col>4</xdr:col>
          <xdr:colOff>533400</xdr:colOff>
          <xdr:row>7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104775</xdr:rowOff>
        </xdr:from>
        <xdr:to>
          <xdr:col>9</xdr:col>
          <xdr:colOff>238125</xdr:colOff>
          <xdr:row>7</xdr:row>
          <xdr:rowOff>142875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9525</xdr:rowOff>
        </xdr:from>
        <xdr:to>
          <xdr:col>4</xdr:col>
          <xdr:colOff>1895475</xdr:colOff>
          <xdr:row>28</xdr:row>
          <xdr:rowOff>152400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57</xdr:row>
          <xdr:rowOff>9525</xdr:rowOff>
        </xdr:from>
        <xdr:to>
          <xdr:col>4</xdr:col>
          <xdr:colOff>1895475</xdr:colOff>
          <xdr:row>57</xdr:row>
          <xdr:rowOff>152400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86</xdr:row>
          <xdr:rowOff>9525</xdr:rowOff>
        </xdr:from>
        <xdr:to>
          <xdr:col>4</xdr:col>
          <xdr:colOff>1895475</xdr:colOff>
          <xdr:row>86</xdr:row>
          <xdr:rowOff>152400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115</xdr:row>
          <xdr:rowOff>9525</xdr:rowOff>
        </xdr:from>
        <xdr:to>
          <xdr:col>4</xdr:col>
          <xdr:colOff>1895475</xdr:colOff>
          <xdr:row>115</xdr:row>
          <xdr:rowOff>152400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144</xdr:row>
          <xdr:rowOff>9525</xdr:rowOff>
        </xdr:from>
        <xdr:to>
          <xdr:col>4</xdr:col>
          <xdr:colOff>1895475</xdr:colOff>
          <xdr:row>144</xdr:row>
          <xdr:rowOff>152400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173</xdr:row>
          <xdr:rowOff>9525</xdr:rowOff>
        </xdr:from>
        <xdr:to>
          <xdr:col>4</xdr:col>
          <xdr:colOff>1895475</xdr:colOff>
          <xdr:row>173</xdr:row>
          <xdr:rowOff>152400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200</xdr:row>
          <xdr:rowOff>114300</xdr:rowOff>
        </xdr:from>
        <xdr:to>
          <xdr:col>5</xdr:col>
          <xdr:colOff>266700</xdr:colOff>
          <xdr:row>201</xdr:row>
          <xdr:rowOff>152400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202</xdr:row>
          <xdr:rowOff>114300</xdr:rowOff>
        </xdr:from>
        <xdr:to>
          <xdr:col>5</xdr:col>
          <xdr:colOff>266700</xdr:colOff>
          <xdr:row>203</xdr:row>
          <xdr:rowOff>152400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346</xdr:row>
          <xdr:rowOff>114300</xdr:rowOff>
        </xdr:from>
        <xdr:to>
          <xdr:col>4</xdr:col>
          <xdr:colOff>1895475</xdr:colOff>
          <xdr:row>347</xdr:row>
          <xdr:rowOff>142875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204</xdr:row>
          <xdr:rowOff>104775</xdr:rowOff>
        </xdr:from>
        <xdr:to>
          <xdr:col>5</xdr:col>
          <xdr:colOff>266700</xdr:colOff>
          <xdr:row>205</xdr:row>
          <xdr:rowOff>142875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202</xdr:row>
      <xdr:rowOff>576262</xdr:rowOff>
    </xdr:from>
    <xdr:to>
      <xdr:col>15</xdr:col>
      <xdr:colOff>266700</xdr:colOff>
      <xdr:row>216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55</xdr:row>
      <xdr:rowOff>123825</xdr:rowOff>
    </xdr:from>
    <xdr:to>
      <xdr:col>32</xdr:col>
      <xdr:colOff>219075</xdr:colOff>
      <xdr:row>72</xdr:row>
      <xdr:rowOff>28575</xdr:rowOff>
    </xdr:to>
    <xdr:graphicFrame macro="">
      <xdr:nvGraphicFramePr>
        <xdr:cNvPr id="61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314325</xdr:colOff>
      <xdr:row>64</xdr:row>
      <xdr:rowOff>76199</xdr:rowOff>
    </xdr:from>
    <xdr:to>
      <xdr:col>9</xdr:col>
      <xdr:colOff>942975</xdr:colOff>
      <xdr:row>81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4</xdr:row>
          <xdr:rowOff>85725</xdr:rowOff>
        </xdr:from>
        <xdr:to>
          <xdr:col>4</xdr:col>
          <xdr:colOff>19050</xdr:colOff>
          <xdr:row>5</xdr:row>
          <xdr:rowOff>123825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62</xdr:row>
          <xdr:rowOff>133350</xdr:rowOff>
        </xdr:from>
        <xdr:to>
          <xdr:col>5</xdr:col>
          <xdr:colOff>19050</xdr:colOff>
          <xdr:row>64</xdr:row>
          <xdr:rowOff>9525</xdr:rowOff>
        </xdr:to>
        <xdr:sp macro="" textlink="">
          <xdr:nvSpPr>
            <xdr:cNvPr id="14474" name="Drop Down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UE">
  <a:themeElements>
    <a:clrScheme name="Custom 1">
      <a:dk1>
        <a:sysClr val="windowText" lastClr="000000"/>
      </a:dk1>
      <a:lt1>
        <a:sysClr val="window" lastClr="FFFFFF"/>
      </a:lt1>
      <a:dk2>
        <a:srgbClr val="E58426"/>
      </a:dk2>
      <a:lt2>
        <a:srgbClr val="EEECE1"/>
      </a:lt2>
      <a:accent1>
        <a:srgbClr val="E58426"/>
      </a:accent1>
      <a:accent2>
        <a:srgbClr val="B4BFDD"/>
      </a:accent2>
      <a:accent3>
        <a:srgbClr val="FDB714"/>
      </a:accent3>
      <a:accent4>
        <a:srgbClr val="798AB9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24"/>
  </sheetPr>
  <dimension ref="A1:AO250"/>
  <sheetViews>
    <sheetView showGridLines="0" workbookViewId="0"/>
  </sheetViews>
  <sheetFormatPr defaultRowHeight="12.75" x14ac:dyDescent="0.2"/>
  <cols>
    <col min="1" max="1" width="3.140625" style="433" customWidth="1"/>
    <col min="2" max="2" width="3.7109375" style="1" customWidth="1"/>
    <col min="3" max="3" width="5.7109375" customWidth="1"/>
    <col min="4" max="4" width="24.42578125" customWidth="1"/>
    <col min="5" max="5" width="6.7109375" customWidth="1"/>
    <col min="6" max="6" width="25.7109375" customWidth="1"/>
    <col min="7" max="7" width="36.42578125" customWidth="1"/>
    <col min="8" max="8" width="3.7109375" style="1" customWidth="1"/>
    <col min="9" max="41" width="9.140625" style="433"/>
  </cols>
  <sheetData>
    <row r="1" spans="1:41" s="433" customFormat="1" ht="13.5" thickBot="1" x14ac:dyDescent="0.25"/>
    <row r="2" spans="1:41" x14ac:dyDescent="0.2">
      <c r="B2" s="481"/>
      <c r="C2" s="482"/>
      <c r="D2" s="482"/>
      <c r="E2" s="482"/>
      <c r="F2" s="482"/>
      <c r="G2" s="482"/>
      <c r="H2" s="483"/>
    </row>
    <row r="3" spans="1:41" x14ac:dyDescent="0.2">
      <c r="B3" s="484"/>
      <c r="C3" s="209"/>
      <c r="D3" s="209"/>
      <c r="E3" s="209"/>
      <c r="F3" s="209"/>
      <c r="G3" s="209"/>
      <c r="H3" s="485"/>
    </row>
    <row r="4" spans="1:41" x14ac:dyDescent="0.2">
      <c r="B4" s="484"/>
      <c r="C4" s="209"/>
      <c r="D4" s="209"/>
      <c r="E4" s="209"/>
      <c r="F4" s="209"/>
      <c r="G4" s="209"/>
      <c r="H4" s="485"/>
    </row>
    <row r="5" spans="1:41" x14ac:dyDescent="0.2">
      <c r="B5" s="484"/>
      <c r="C5" s="209"/>
      <c r="D5" s="209"/>
      <c r="E5" s="209"/>
      <c r="F5" s="209"/>
      <c r="G5" s="209"/>
      <c r="H5" s="485"/>
    </row>
    <row r="6" spans="1:41" x14ac:dyDescent="0.2">
      <c r="B6" s="484"/>
      <c r="C6" s="209"/>
      <c r="D6" s="209"/>
      <c r="E6" s="209"/>
      <c r="F6" s="209"/>
      <c r="G6" s="209"/>
      <c r="H6" s="485"/>
    </row>
    <row r="7" spans="1:41" s="1" customFormat="1" ht="18.75" thickBot="1" x14ac:dyDescent="0.3">
      <c r="A7" s="433"/>
      <c r="B7" s="461"/>
      <c r="C7" s="477" t="s">
        <v>95</v>
      </c>
      <c r="D7" s="478"/>
      <c r="E7" s="478"/>
      <c r="F7" s="479"/>
      <c r="G7" s="479"/>
      <c r="H7" s="447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</row>
    <row r="8" spans="1:41" ht="15.75" thickTop="1" x14ac:dyDescent="0.2">
      <c r="B8" s="440"/>
      <c r="C8" s="468"/>
      <c r="D8" s="469"/>
      <c r="E8" s="469"/>
      <c r="F8" s="469"/>
      <c r="G8" s="470"/>
      <c r="H8" s="441"/>
    </row>
    <row r="9" spans="1:41" ht="15" x14ac:dyDescent="0.2">
      <c r="B9" s="440"/>
      <c r="C9" s="442"/>
      <c r="D9" s="443"/>
      <c r="E9" s="443"/>
      <c r="F9" s="443"/>
      <c r="G9" s="444"/>
      <c r="H9" s="441"/>
    </row>
    <row r="10" spans="1:41" s="1" customFormat="1" ht="18.75" thickBot="1" x14ac:dyDescent="0.3">
      <c r="A10" s="433"/>
      <c r="B10" s="461"/>
      <c r="C10" s="474" t="s">
        <v>94</v>
      </c>
      <c r="D10" s="475"/>
      <c r="E10" s="475"/>
      <c r="F10" s="476"/>
      <c r="G10" s="476"/>
      <c r="H10" s="447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</row>
    <row r="11" spans="1:41" ht="13.5" customHeight="1" thickTop="1" x14ac:dyDescent="0.2">
      <c r="B11" s="440"/>
      <c r="C11" s="464"/>
      <c r="D11" s="463"/>
      <c r="E11" s="463"/>
      <c r="F11" s="446"/>
      <c r="G11" s="450"/>
      <c r="H11" s="441"/>
    </row>
    <row r="12" spans="1:41" ht="13.5" customHeight="1" x14ac:dyDescent="0.2">
      <c r="B12" s="440"/>
      <c r="C12" s="464"/>
      <c r="D12" s="463"/>
      <c r="E12" s="463"/>
      <c r="F12" s="448" t="s">
        <v>110</v>
      </c>
      <c r="G12" s="449" t="s">
        <v>41</v>
      </c>
      <c r="H12" s="441"/>
    </row>
    <row r="13" spans="1:41" ht="13.5" customHeight="1" x14ac:dyDescent="0.2">
      <c r="B13" s="440"/>
      <c r="C13" s="464"/>
      <c r="D13" s="463"/>
      <c r="E13" s="463"/>
      <c r="F13" s="446"/>
      <c r="G13" s="450"/>
      <c r="H13" s="441"/>
    </row>
    <row r="14" spans="1:41" ht="13.5" customHeight="1" x14ac:dyDescent="0.25">
      <c r="B14" s="440"/>
      <c r="C14" s="464"/>
      <c r="D14" s="451" t="s">
        <v>99</v>
      </c>
      <c r="E14" s="463"/>
      <c r="F14" s="452" t="s">
        <v>107</v>
      </c>
      <c r="G14" s="450"/>
      <c r="H14" s="441"/>
    </row>
    <row r="15" spans="1:41" ht="13.5" customHeight="1" x14ac:dyDescent="0.25">
      <c r="B15" s="440"/>
      <c r="C15" s="464"/>
      <c r="D15" s="451" t="s">
        <v>156</v>
      </c>
      <c r="E15" s="463"/>
      <c r="F15" s="452" t="s">
        <v>157</v>
      </c>
      <c r="G15" s="453" t="s">
        <v>125</v>
      </c>
      <c r="H15" s="441"/>
    </row>
    <row r="16" spans="1:41" ht="13.5" customHeight="1" x14ac:dyDescent="0.25">
      <c r="B16" s="440"/>
      <c r="C16" s="464"/>
      <c r="D16" s="451" t="s">
        <v>313</v>
      </c>
      <c r="E16" s="463"/>
      <c r="F16" s="452" t="s">
        <v>314</v>
      </c>
      <c r="G16" s="453"/>
      <c r="H16" s="441"/>
    </row>
    <row r="17" spans="1:41" ht="13.5" customHeight="1" x14ac:dyDescent="0.25">
      <c r="B17" s="440"/>
      <c r="C17" s="464"/>
      <c r="D17" s="451" t="s">
        <v>100</v>
      </c>
      <c r="E17" s="463"/>
      <c r="F17" s="452" t="s">
        <v>108</v>
      </c>
      <c r="G17" s="450"/>
      <c r="H17" s="441"/>
    </row>
    <row r="18" spans="1:41" ht="13.5" customHeight="1" x14ac:dyDescent="0.25">
      <c r="B18" s="440"/>
      <c r="C18" s="464"/>
      <c r="D18" s="451" t="s">
        <v>123</v>
      </c>
      <c r="E18" s="463"/>
      <c r="F18" s="452" t="s">
        <v>124</v>
      </c>
      <c r="G18" s="450"/>
      <c r="H18" s="441"/>
    </row>
    <row r="19" spans="1:41" ht="13.5" customHeight="1" x14ac:dyDescent="0.25">
      <c r="B19" s="440"/>
      <c r="C19" s="464"/>
      <c r="D19" s="451" t="s">
        <v>192</v>
      </c>
      <c r="E19" s="463"/>
      <c r="F19" s="452" t="s">
        <v>193</v>
      </c>
      <c r="G19" s="450"/>
      <c r="H19" s="441"/>
    </row>
    <row r="20" spans="1:41" ht="13.5" customHeight="1" x14ac:dyDescent="0.25">
      <c r="B20" s="440"/>
      <c r="C20" s="464"/>
      <c r="D20" s="451" t="s">
        <v>101</v>
      </c>
      <c r="E20" s="463"/>
      <c r="F20" s="452" t="s">
        <v>109</v>
      </c>
      <c r="G20" s="450"/>
      <c r="H20" s="441"/>
    </row>
    <row r="21" spans="1:41" ht="13.5" customHeight="1" x14ac:dyDescent="0.25">
      <c r="B21" s="461"/>
      <c r="C21" s="464"/>
      <c r="D21" s="451" t="s">
        <v>274</v>
      </c>
      <c r="E21" s="463"/>
      <c r="F21" s="452" t="s">
        <v>275</v>
      </c>
      <c r="G21" s="450"/>
      <c r="H21" s="447"/>
    </row>
    <row r="22" spans="1:41" ht="13.5" customHeight="1" x14ac:dyDescent="0.2">
      <c r="B22" s="440"/>
      <c r="C22" s="465"/>
      <c r="D22" s="466"/>
      <c r="E22" s="466"/>
      <c r="F22" s="454"/>
      <c r="G22" s="455"/>
      <c r="H22" s="441"/>
    </row>
    <row r="23" spans="1:41" s="1" customFormat="1" ht="18.75" thickBot="1" x14ac:dyDescent="0.3">
      <c r="A23" s="433"/>
      <c r="B23" s="461"/>
      <c r="C23" s="474" t="s">
        <v>96</v>
      </c>
      <c r="D23" s="475"/>
      <c r="E23" s="475"/>
      <c r="F23" s="476"/>
      <c r="G23" s="476"/>
      <c r="H23" s="447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33"/>
      <c r="AL23" s="433"/>
      <c r="AM23" s="433"/>
      <c r="AN23" s="433"/>
      <c r="AO23" s="433"/>
    </row>
    <row r="24" spans="1:41" ht="13.5" customHeight="1" thickTop="1" x14ac:dyDescent="0.2">
      <c r="B24" s="440"/>
      <c r="C24" s="464"/>
      <c r="D24" s="463"/>
      <c r="E24" s="463"/>
      <c r="F24" s="446"/>
      <c r="G24" s="450"/>
      <c r="H24" s="441"/>
    </row>
    <row r="25" spans="1:41" ht="13.5" customHeight="1" x14ac:dyDescent="0.2">
      <c r="B25" s="440"/>
      <c r="C25" s="464"/>
      <c r="D25" s="463"/>
      <c r="E25" s="463"/>
      <c r="F25" s="448" t="s">
        <v>110</v>
      </c>
      <c r="G25" s="450"/>
      <c r="H25" s="441"/>
    </row>
    <row r="26" spans="1:41" ht="13.5" customHeight="1" x14ac:dyDescent="0.2">
      <c r="B26" s="440"/>
      <c r="C26" s="464"/>
      <c r="D26" s="463"/>
      <c r="E26" s="463"/>
      <c r="F26" s="446"/>
      <c r="G26" s="450"/>
      <c r="H26" s="486"/>
    </row>
    <row r="27" spans="1:41" ht="13.5" customHeight="1" x14ac:dyDescent="0.25">
      <c r="B27" s="456"/>
      <c r="C27" s="464"/>
      <c r="D27" s="451" t="s">
        <v>97</v>
      </c>
      <c r="E27" s="463"/>
      <c r="F27" s="452" t="s">
        <v>111</v>
      </c>
      <c r="G27" s="450"/>
      <c r="H27" s="457"/>
    </row>
    <row r="28" spans="1:41" ht="13.5" customHeight="1" x14ac:dyDescent="0.25">
      <c r="B28" s="440"/>
      <c r="C28" s="464"/>
      <c r="D28" s="451" t="s">
        <v>98</v>
      </c>
      <c r="E28" s="463"/>
      <c r="F28" s="452" t="s">
        <v>112</v>
      </c>
      <c r="G28" s="450"/>
      <c r="H28" s="441"/>
    </row>
    <row r="29" spans="1:41" ht="13.5" customHeight="1" x14ac:dyDescent="0.2">
      <c r="B29" s="440"/>
      <c r="C29" s="464"/>
      <c r="D29" s="463"/>
      <c r="E29" s="463"/>
      <c r="F29" s="446"/>
      <c r="G29" s="450"/>
      <c r="H29" s="441"/>
    </row>
    <row r="30" spans="1:41" ht="13.5" customHeight="1" x14ac:dyDescent="0.2">
      <c r="B30" s="440"/>
      <c r="C30" s="465"/>
      <c r="D30" s="466"/>
      <c r="E30" s="466"/>
      <c r="F30" s="454"/>
      <c r="G30" s="455"/>
      <c r="H30" s="441"/>
    </row>
    <row r="31" spans="1:41" ht="13.5" thickBot="1" x14ac:dyDescent="0.25">
      <c r="B31" s="458"/>
      <c r="C31" s="459"/>
      <c r="D31" s="459"/>
      <c r="E31" s="459"/>
      <c r="F31" s="459"/>
      <c r="G31" s="459"/>
      <c r="H31" s="460"/>
    </row>
    <row r="32" spans="1:41" s="433" customFormat="1" x14ac:dyDescent="0.2"/>
    <row r="33" spans="8:8" s="433" customFormat="1" x14ac:dyDescent="0.2"/>
    <row r="34" spans="8:8" s="433" customFormat="1" x14ac:dyDescent="0.2">
      <c r="H34" s="514"/>
    </row>
    <row r="35" spans="8:8" s="433" customFormat="1" x14ac:dyDescent="0.2"/>
    <row r="36" spans="8:8" s="433" customFormat="1" x14ac:dyDescent="0.2"/>
    <row r="37" spans="8:8" s="433" customFormat="1" x14ac:dyDescent="0.2"/>
    <row r="38" spans="8:8" s="433" customFormat="1" x14ac:dyDescent="0.2"/>
    <row r="39" spans="8:8" s="433" customFormat="1" x14ac:dyDescent="0.2"/>
    <row r="40" spans="8:8" s="433" customFormat="1" x14ac:dyDescent="0.2"/>
    <row r="41" spans="8:8" s="433" customFormat="1" x14ac:dyDescent="0.2"/>
    <row r="42" spans="8:8" s="433" customFormat="1" x14ac:dyDescent="0.2"/>
    <row r="43" spans="8:8" s="433" customFormat="1" x14ac:dyDescent="0.2"/>
    <row r="44" spans="8:8" s="433" customFormat="1" x14ac:dyDescent="0.2"/>
    <row r="45" spans="8:8" s="433" customFormat="1" x14ac:dyDescent="0.2"/>
    <row r="46" spans="8:8" s="433" customFormat="1" x14ac:dyDescent="0.2"/>
    <row r="47" spans="8:8" s="433" customFormat="1" x14ac:dyDescent="0.2"/>
    <row r="48" spans="8:8" s="433" customFormat="1" x14ac:dyDescent="0.2"/>
    <row r="49" s="433" customFormat="1" x14ac:dyDescent="0.2"/>
    <row r="50" s="433" customFormat="1" x14ac:dyDescent="0.2"/>
    <row r="51" s="433" customFormat="1" x14ac:dyDescent="0.2"/>
    <row r="52" s="433" customFormat="1" x14ac:dyDescent="0.2"/>
    <row r="53" s="433" customFormat="1" x14ac:dyDescent="0.2"/>
    <row r="54" s="433" customFormat="1" x14ac:dyDescent="0.2"/>
    <row r="55" s="433" customFormat="1" x14ac:dyDescent="0.2"/>
    <row r="56" s="433" customFormat="1" x14ac:dyDescent="0.2"/>
    <row r="57" s="433" customFormat="1" x14ac:dyDescent="0.2"/>
    <row r="58" s="433" customFormat="1" x14ac:dyDescent="0.2"/>
    <row r="59" s="433" customFormat="1" x14ac:dyDescent="0.2"/>
    <row r="60" s="433" customFormat="1" x14ac:dyDescent="0.2"/>
    <row r="61" s="433" customFormat="1" x14ac:dyDescent="0.2"/>
    <row r="62" s="433" customFormat="1" x14ac:dyDescent="0.2"/>
    <row r="63" s="433" customFormat="1" x14ac:dyDescent="0.2"/>
    <row r="64" s="433" customFormat="1" x14ac:dyDescent="0.2"/>
    <row r="65" s="433" customFormat="1" x14ac:dyDescent="0.2"/>
    <row r="66" s="433" customFormat="1" x14ac:dyDescent="0.2"/>
    <row r="67" s="433" customFormat="1" x14ac:dyDescent="0.2"/>
    <row r="68" s="433" customFormat="1" x14ac:dyDescent="0.2"/>
    <row r="69" s="433" customFormat="1" x14ac:dyDescent="0.2"/>
    <row r="70" s="433" customFormat="1" x14ac:dyDescent="0.2"/>
    <row r="71" s="433" customFormat="1" x14ac:dyDescent="0.2"/>
    <row r="72" s="433" customFormat="1" x14ac:dyDescent="0.2"/>
    <row r="73" s="433" customFormat="1" x14ac:dyDescent="0.2"/>
    <row r="74" s="433" customFormat="1" x14ac:dyDescent="0.2"/>
    <row r="75" s="433" customFormat="1" x14ac:dyDescent="0.2"/>
    <row r="76" s="433" customFormat="1" x14ac:dyDescent="0.2"/>
    <row r="77" s="433" customFormat="1" x14ac:dyDescent="0.2"/>
    <row r="78" s="433" customFormat="1" x14ac:dyDescent="0.2"/>
    <row r="79" s="433" customFormat="1" x14ac:dyDescent="0.2"/>
    <row r="80" s="433" customFormat="1" x14ac:dyDescent="0.2"/>
    <row r="81" s="433" customFormat="1" x14ac:dyDescent="0.2"/>
    <row r="82" s="433" customFormat="1" x14ac:dyDescent="0.2"/>
    <row r="83" s="433" customFormat="1" x14ac:dyDescent="0.2"/>
    <row r="84" s="433" customFormat="1" x14ac:dyDescent="0.2"/>
    <row r="85" s="433" customFormat="1" x14ac:dyDescent="0.2"/>
    <row r="86" s="433" customFormat="1" x14ac:dyDescent="0.2"/>
    <row r="87" s="433" customFormat="1" x14ac:dyDescent="0.2"/>
    <row r="88" s="433" customFormat="1" x14ac:dyDescent="0.2"/>
    <row r="89" s="433" customFormat="1" x14ac:dyDescent="0.2"/>
    <row r="90" s="433" customFormat="1" x14ac:dyDescent="0.2"/>
    <row r="91" s="433" customFormat="1" x14ac:dyDescent="0.2"/>
    <row r="92" s="433" customFormat="1" x14ac:dyDescent="0.2"/>
    <row r="93" s="433" customFormat="1" x14ac:dyDescent="0.2"/>
    <row r="94" s="433" customFormat="1" x14ac:dyDescent="0.2"/>
    <row r="95" s="433" customFormat="1" x14ac:dyDescent="0.2"/>
    <row r="96" s="433" customFormat="1" x14ac:dyDescent="0.2"/>
    <row r="97" s="433" customFormat="1" x14ac:dyDescent="0.2"/>
    <row r="98" s="433" customFormat="1" x14ac:dyDescent="0.2"/>
    <row r="99" s="433" customFormat="1" x14ac:dyDescent="0.2"/>
    <row r="100" s="433" customFormat="1" x14ac:dyDescent="0.2"/>
    <row r="101" s="433" customFormat="1" x14ac:dyDescent="0.2"/>
    <row r="102" s="433" customFormat="1" x14ac:dyDescent="0.2"/>
    <row r="103" s="433" customFormat="1" x14ac:dyDescent="0.2"/>
    <row r="104" s="433" customFormat="1" x14ac:dyDescent="0.2"/>
    <row r="105" s="433" customFormat="1" x14ac:dyDescent="0.2"/>
    <row r="106" s="433" customFormat="1" x14ac:dyDescent="0.2"/>
    <row r="107" s="433" customFormat="1" x14ac:dyDescent="0.2"/>
    <row r="108" s="433" customFormat="1" x14ac:dyDescent="0.2"/>
    <row r="109" s="433" customFormat="1" x14ac:dyDescent="0.2"/>
    <row r="110" s="433" customFormat="1" x14ac:dyDescent="0.2"/>
    <row r="111" s="433" customFormat="1" x14ac:dyDescent="0.2"/>
    <row r="112" s="433" customFormat="1" x14ac:dyDescent="0.2"/>
    <row r="113" s="433" customFormat="1" x14ac:dyDescent="0.2"/>
    <row r="114" s="433" customFormat="1" x14ac:dyDescent="0.2"/>
    <row r="115" s="433" customFormat="1" x14ac:dyDescent="0.2"/>
    <row r="116" s="433" customFormat="1" x14ac:dyDescent="0.2"/>
    <row r="117" s="433" customFormat="1" x14ac:dyDescent="0.2"/>
    <row r="118" s="433" customFormat="1" x14ac:dyDescent="0.2"/>
    <row r="119" s="433" customFormat="1" x14ac:dyDescent="0.2"/>
    <row r="120" s="433" customFormat="1" x14ac:dyDescent="0.2"/>
    <row r="121" s="433" customFormat="1" x14ac:dyDescent="0.2"/>
    <row r="122" s="433" customFormat="1" x14ac:dyDescent="0.2"/>
    <row r="123" s="433" customFormat="1" x14ac:dyDescent="0.2"/>
    <row r="124" s="433" customFormat="1" x14ac:dyDescent="0.2"/>
    <row r="125" s="433" customFormat="1" x14ac:dyDescent="0.2"/>
    <row r="126" s="433" customFormat="1" x14ac:dyDescent="0.2"/>
    <row r="127" s="433" customFormat="1" x14ac:dyDescent="0.2"/>
    <row r="128" s="433" customFormat="1" x14ac:dyDescent="0.2"/>
    <row r="129" s="433" customFormat="1" x14ac:dyDescent="0.2"/>
    <row r="130" s="433" customFormat="1" x14ac:dyDescent="0.2"/>
    <row r="131" s="433" customFormat="1" x14ac:dyDescent="0.2"/>
    <row r="132" s="433" customFormat="1" x14ac:dyDescent="0.2"/>
    <row r="133" s="433" customFormat="1" x14ac:dyDescent="0.2"/>
    <row r="134" s="433" customFormat="1" x14ac:dyDescent="0.2"/>
    <row r="135" s="433" customFormat="1" x14ac:dyDescent="0.2"/>
    <row r="136" s="433" customFormat="1" x14ac:dyDescent="0.2"/>
    <row r="137" s="433" customFormat="1" x14ac:dyDescent="0.2"/>
    <row r="138" s="433" customFormat="1" x14ac:dyDescent="0.2"/>
    <row r="139" s="433" customFormat="1" x14ac:dyDescent="0.2"/>
    <row r="140" s="433" customFormat="1" x14ac:dyDescent="0.2"/>
    <row r="141" s="433" customFormat="1" x14ac:dyDescent="0.2"/>
    <row r="142" s="433" customFormat="1" x14ac:dyDescent="0.2"/>
    <row r="143" s="433" customFormat="1" x14ac:dyDescent="0.2"/>
    <row r="144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</sheetData>
  <phoneticPr fontId="31" type="noConversion"/>
  <hyperlinks>
    <hyperlink ref="F17" location="Calculations!A1" display="Go to Calculations"/>
    <hyperlink ref="F14" location="'User Input'!A1" display="Go to User Input"/>
    <hyperlink ref="F20" location="Output!A1" display="Go to Output"/>
    <hyperlink ref="F27" location="'Version Control'!A1" display="Go to Version Control"/>
    <hyperlink ref="F28" location="'Administrator Input'!A1" display="Go to Administrator Input"/>
    <hyperlink ref="F15" location="'User Working Sheet'!A1" display="Go to User Working Sheet"/>
    <hyperlink ref="F18" location="'Calculations (RIT-D)'!A1" display="Go to Calculations (RIT-D)"/>
    <hyperlink ref="F19" location="'Calc (Sensitivities)'!A1" display="Go to Calc (Sensitivities)"/>
    <hyperlink ref="F21" location="'Business Case Output'!A1" display="Go to Business Case Output"/>
    <hyperlink ref="F16" location="'Failure over time'!A1" display="Go to User Input"/>
  </hyperlinks>
  <pageMargins left="0.75" right="0.75" top="1" bottom="1" header="0.5" footer="0.5"/>
  <pageSetup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O401"/>
  <sheetViews>
    <sheetView topLeftCell="A133" workbookViewId="0">
      <selection activeCell="G113" sqref="G113"/>
    </sheetView>
  </sheetViews>
  <sheetFormatPr defaultRowHeight="12.75" x14ac:dyDescent="0.2"/>
  <cols>
    <col min="1" max="1" width="3.140625" style="433" customWidth="1"/>
    <col min="2" max="2" width="3.140625" style="513" customWidth="1"/>
    <col min="3" max="3" width="3.140625" customWidth="1"/>
    <col min="4" max="4" width="36.7109375" customWidth="1"/>
    <col min="5" max="26" width="14.28515625" customWidth="1"/>
    <col min="27" max="28" width="3.140625" style="513" customWidth="1"/>
    <col min="29" max="535" width="9.140625" style="433"/>
  </cols>
  <sheetData>
    <row r="1" spans="3:45" s="433" customFormat="1" x14ac:dyDescent="0.2"/>
    <row r="2" spans="3:45" ht="16.5" customHeight="1" x14ac:dyDescent="0.2"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</row>
    <row r="3" spans="3:45" ht="16.5" customHeight="1" x14ac:dyDescent="0.25">
      <c r="C3" s="513"/>
      <c r="D3" s="651" t="s">
        <v>255</v>
      </c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</row>
    <row r="4" spans="3:45" ht="16.5" customHeight="1" x14ac:dyDescent="0.2"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</row>
    <row r="5" spans="3:45" ht="16.5" customHeight="1" x14ac:dyDescent="0.25">
      <c r="C5" s="513"/>
      <c r="D5" s="651" t="str">
        <f>'User Input'!D24</f>
        <v>"Status Quo" Reference Case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</row>
    <row r="6" spans="3:45" ht="16.5" customHeight="1" x14ac:dyDescent="0.25">
      <c r="C6" s="513"/>
      <c r="D6" s="499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</row>
    <row r="7" spans="3:45" ht="16.5" customHeight="1" x14ac:dyDescent="0.25">
      <c r="C7" s="513"/>
      <c r="D7" s="654"/>
      <c r="E7" s="711"/>
      <c r="F7" s="711"/>
      <c r="G7" s="711"/>
      <c r="H7" s="711"/>
      <c r="I7" s="711"/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11"/>
      <c r="U7" s="711"/>
      <c r="V7" s="711"/>
      <c r="W7" s="711"/>
      <c r="X7" s="711"/>
      <c r="Y7" s="711"/>
      <c r="Z7" s="711"/>
    </row>
    <row r="8" spans="3:45" ht="16.5" customHeight="1" x14ac:dyDescent="0.25">
      <c r="C8" s="513"/>
      <c r="D8" s="654"/>
      <c r="E8" s="655" t="s">
        <v>254</v>
      </c>
      <c r="F8" s="655">
        <f>'User Input'!$E$6</f>
        <v>2019</v>
      </c>
      <c r="G8" s="655">
        <f>F8+1</f>
        <v>2020</v>
      </c>
      <c r="H8" s="655">
        <f t="shared" ref="H8:Z8" si="0">G8+1</f>
        <v>2021</v>
      </c>
      <c r="I8" s="655">
        <f t="shared" si="0"/>
        <v>2022</v>
      </c>
      <c r="J8" s="655">
        <f t="shared" si="0"/>
        <v>2023</v>
      </c>
      <c r="K8" s="655">
        <f t="shared" si="0"/>
        <v>2024</v>
      </c>
      <c r="L8" s="655">
        <f t="shared" si="0"/>
        <v>2025</v>
      </c>
      <c r="M8" s="655">
        <f t="shared" si="0"/>
        <v>2026</v>
      </c>
      <c r="N8" s="655">
        <f t="shared" si="0"/>
        <v>2027</v>
      </c>
      <c r="O8" s="655">
        <f t="shared" si="0"/>
        <v>2028</v>
      </c>
      <c r="P8" s="655">
        <f t="shared" si="0"/>
        <v>2029</v>
      </c>
      <c r="Q8" s="655">
        <f t="shared" si="0"/>
        <v>2030</v>
      </c>
      <c r="R8" s="655">
        <f t="shared" si="0"/>
        <v>2031</v>
      </c>
      <c r="S8" s="655">
        <f t="shared" si="0"/>
        <v>2032</v>
      </c>
      <c r="T8" s="655">
        <f t="shared" si="0"/>
        <v>2033</v>
      </c>
      <c r="U8" s="655">
        <f t="shared" si="0"/>
        <v>2034</v>
      </c>
      <c r="V8" s="655">
        <f t="shared" si="0"/>
        <v>2035</v>
      </c>
      <c r="W8" s="655">
        <f t="shared" si="0"/>
        <v>2036</v>
      </c>
      <c r="X8" s="655">
        <f t="shared" si="0"/>
        <v>2037</v>
      </c>
      <c r="Y8" s="655">
        <f t="shared" si="0"/>
        <v>2038</v>
      </c>
      <c r="Z8" s="655">
        <f t="shared" si="0"/>
        <v>2039</v>
      </c>
      <c r="AA8" s="652"/>
      <c r="AB8" s="652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</row>
    <row r="9" spans="3:45" ht="16.5" customHeight="1" x14ac:dyDescent="0.2">
      <c r="C9" s="513"/>
      <c r="D9" s="656" t="str">
        <f>Calculations!C14</f>
        <v>Capital Costs</v>
      </c>
      <c r="E9" s="657">
        <f>SUM(F9:Z9)</f>
        <v>2025.0964560491279</v>
      </c>
      <c r="F9" s="659">
        <f>Calculations!E14/Calculations!E$9</f>
        <v>0</v>
      </c>
      <c r="G9" s="659">
        <f>Calculations!F14/Calculations!F$9</f>
        <v>90.799785792223034</v>
      </c>
      <c r="H9" s="659">
        <f>Calculations!G14/Calculations!G$9</f>
        <v>170.35299831893289</v>
      </c>
      <c r="I9" s="659">
        <f>Calculations!H14/Calculations!H$9</f>
        <v>159.80293225942779</v>
      </c>
      <c r="J9" s="659">
        <f>Calculations!I14/Calculations!I$9</f>
        <v>149.90623828587528</v>
      </c>
      <c r="K9" s="659">
        <f>Calculations!J14/Calculations!J$9</f>
        <v>140.62245266275997</v>
      </c>
      <c r="L9" s="659">
        <f>Calculations!K14/Calculations!K$9</f>
        <v>131.91361759861738</v>
      </c>
      <c r="M9" s="659">
        <f>Calculations!L14/Calculations!L$9</f>
        <v>123.74412605137623</v>
      </c>
      <c r="N9" s="659">
        <f>Calculations!M14/Calculations!M$9</f>
        <v>116.08057614500132</v>
      </c>
      <c r="O9" s="659">
        <f>Calculations!N14/Calculations!N$9</f>
        <v>108.89163460220333</v>
      </c>
      <c r="P9" s="659">
        <f>Calculations!O14/Calculations!O$9</f>
        <v>102.14790863484502</v>
      </c>
      <c r="Q9" s="659">
        <f>Calculations!P14/Calculations!P$9</f>
        <v>95.821825768253404</v>
      </c>
      <c r="R9" s="659">
        <f>Calculations!Q14/Calculations!Q$9</f>
        <v>89.887521108086446</v>
      </c>
      <c r="S9" s="659">
        <f>Calculations!R14/Calculations!R$9</f>
        <v>84.320731588831606</v>
      </c>
      <c r="T9" s="659">
        <f>Calculations!S14/Calculations!S$9</f>
        <v>79.09869677156064</v>
      </c>
      <c r="U9" s="659">
        <f>Calculations!T14/Calculations!T$9</f>
        <v>74.20006578533993</v>
      </c>
      <c r="V9" s="659">
        <f>Calculations!U14/Calculations!U$9</f>
        <v>69.604810031816982</v>
      </c>
      <c r="W9" s="659">
        <f>Calculations!V14/Calculations!V$9</f>
        <v>65.294141296065376</v>
      </c>
      <c r="X9" s="659">
        <f>Calculations!W14/Calculations!W$9</f>
        <v>61.250434928875535</v>
      </c>
      <c r="Y9" s="659">
        <f>Calculations!X14/Calculations!X$9</f>
        <v>57.457157786413646</v>
      </c>
      <c r="Z9" s="659">
        <f>Calculations!Y14/Calculations!Y$9</f>
        <v>53.898800632621771</v>
      </c>
    </row>
    <row r="10" spans="3:45" ht="16.5" customHeight="1" x14ac:dyDescent="0.2">
      <c r="C10" s="513"/>
      <c r="D10" s="656" t="str">
        <f>Calculations!C15</f>
        <v>Maintenance Costs</v>
      </c>
      <c r="E10" s="657">
        <f>SUM(F10:Z10)</f>
        <v>0</v>
      </c>
      <c r="F10" s="659">
        <f>Calculations!E15/Calculations!E$9</f>
        <v>0</v>
      </c>
      <c r="G10" s="659">
        <f>Calculations!F15/Calculations!F$9</f>
        <v>0</v>
      </c>
      <c r="H10" s="659">
        <f>Calculations!G15/Calculations!G$9</f>
        <v>0</v>
      </c>
      <c r="I10" s="659">
        <f>Calculations!H15/Calculations!H$9</f>
        <v>0</v>
      </c>
      <c r="J10" s="659">
        <f>Calculations!I15/Calculations!I$9</f>
        <v>0</v>
      </c>
      <c r="K10" s="659">
        <f>Calculations!J15/Calculations!J$9</f>
        <v>0</v>
      </c>
      <c r="L10" s="659">
        <f>Calculations!K15/Calculations!K$9</f>
        <v>0</v>
      </c>
      <c r="M10" s="659">
        <f>Calculations!L15/Calculations!L$9</f>
        <v>0</v>
      </c>
      <c r="N10" s="659">
        <f>Calculations!M15/Calculations!M$9</f>
        <v>0</v>
      </c>
      <c r="O10" s="659">
        <f>Calculations!N15/Calculations!N$9</f>
        <v>0</v>
      </c>
      <c r="P10" s="659">
        <f>Calculations!O15/Calculations!O$9</f>
        <v>0</v>
      </c>
      <c r="Q10" s="659">
        <f>Calculations!P15/Calculations!P$9</f>
        <v>0</v>
      </c>
      <c r="R10" s="659">
        <f>Calculations!Q15/Calculations!Q$9</f>
        <v>0</v>
      </c>
      <c r="S10" s="659">
        <f>Calculations!R15/Calculations!R$9</f>
        <v>0</v>
      </c>
      <c r="T10" s="659">
        <f>Calculations!S15/Calculations!S$9</f>
        <v>0</v>
      </c>
      <c r="U10" s="659">
        <f>Calculations!T15/Calculations!T$9</f>
        <v>0</v>
      </c>
      <c r="V10" s="659">
        <f>Calculations!U15/Calculations!U$9</f>
        <v>0</v>
      </c>
      <c r="W10" s="659">
        <f>Calculations!V15/Calculations!V$9</f>
        <v>0</v>
      </c>
      <c r="X10" s="659">
        <f>Calculations!W15/Calculations!W$9</f>
        <v>0</v>
      </c>
      <c r="Y10" s="659">
        <f>Calculations!X15/Calculations!X$9</f>
        <v>0</v>
      </c>
      <c r="Z10" s="659">
        <f>Calculations!Y15/Calculations!Y$9</f>
        <v>0</v>
      </c>
    </row>
    <row r="11" spans="3:45" ht="16.5" customHeight="1" x14ac:dyDescent="0.2">
      <c r="C11" s="513"/>
      <c r="D11" s="656" t="str">
        <f>Calculations!C16</f>
        <v>Negative Impact on Revenue (STPIS)</v>
      </c>
      <c r="E11" s="657">
        <f>SUM(E12:E15)</f>
        <v>0</v>
      </c>
      <c r="F11" s="657">
        <f t="shared" ref="F11:Z11" si="1">SUM(F12:F15)</f>
        <v>0</v>
      </c>
      <c r="G11" s="657">
        <f t="shared" si="1"/>
        <v>0</v>
      </c>
      <c r="H11" s="657">
        <f t="shared" si="1"/>
        <v>0</v>
      </c>
      <c r="I11" s="657">
        <f t="shared" si="1"/>
        <v>0</v>
      </c>
      <c r="J11" s="657">
        <f t="shared" si="1"/>
        <v>0</v>
      </c>
      <c r="K11" s="657">
        <f t="shared" si="1"/>
        <v>0</v>
      </c>
      <c r="L11" s="657">
        <f t="shared" si="1"/>
        <v>0</v>
      </c>
      <c r="M11" s="657">
        <f t="shared" si="1"/>
        <v>0</v>
      </c>
      <c r="N11" s="657">
        <f t="shared" si="1"/>
        <v>0</v>
      </c>
      <c r="O11" s="657">
        <f t="shared" si="1"/>
        <v>0</v>
      </c>
      <c r="P11" s="657">
        <f t="shared" si="1"/>
        <v>0</v>
      </c>
      <c r="Q11" s="657">
        <f t="shared" si="1"/>
        <v>0</v>
      </c>
      <c r="R11" s="657">
        <f t="shared" si="1"/>
        <v>0</v>
      </c>
      <c r="S11" s="657">
        <f t="shared" si="1"/>
        <v>0</v>
      </c>
      <c r="T11" s="657">
        <f t="shared" si="1"/>
        <v>0</v>
      </c>
      <c r="U11" s="657">
        <f t="shared" si="1"/>
        <v>0</v>
      </c>
      <c r="V11" s="657">
        <f t="shared" si="1"/>
        <v>0</v>
      </c>
      <c r="W11" s="657">
        <f t="shared" si="1"/>
        <v>0</v>
      </c>
      <c r="X11" s="657">
        <f t="shared" si="1"/>
        <v>0</v>
      </c>
      <c r="Y11" s="657">
        <f t="shared" si="1"/>
        <v>0</v>
      </c>
      <c r="Z11" s="657">
        <f t="shared" si="1"/>
        <v>0</v>
      </c>
    </row>
    <row r="12" spans="3:45" ht="16.5" customHeight="1" x14ac:dyDescent="0.2">
      <c r="C12" s="513"/>
      <c r="D12" s="660" t="str">
        <f>Calculations!C17</f>
        <v xml:space="preserve">SAIFI sustained </v>
      </c>
      <c r="E12" s="657">
        <f t="shared" ref="E12:E27" si="2">SUM(F12:Z12)</f>
        <v>0</v>
      </c>
      <c r="F12" s="659">
        <f>Calculations!E17/Calculations!E$9</f>
        <v>0</v>
      </c>
      <c r="G12" s="659">
        <f>Calculations!F17/Calculations!F$9</f>
        <v>0</v>
      </c>
      <c r="H12" s="659">
        <f>Calculations!G17/Calculations!G$9</f>
        <v>0</v>
      </c>
      <c r="I12" s="659">
        <f>Calculations!H17/Calculations!H$9</f>
        <v>0</v>
      </c>
      <c r="J12" s="659">
        <f>Calculations!I17/Calculations!I$9</f>
        <v>0</v>
      </c>
      <c r="K12" s="659">
        <f>Calculations!J17/Calculations!J$9</f>
        <v>0</v>
      </c>
      <c r="L12" s="659">
        <f>Calculations!K17/Calculations!K$9</f>
        <v>0</v>
      </c>
      <c r="M12" s="659">
        <f>Calculations!L17/Calculations!L$9</f>
        <v>0</v>
      </c>
      <c r="N12" s="659">
        <f>Calculations!M17/Calculations!M$9</f>
        <v>0</v>
      </c>
      <c r="O12" s="659">
        <f>Calculations!N17/Calculations!N$9</f>
        <v>0</v>
      </c>
      <c r="P12" s="659">
        <f>Calculations!O17/Calculations!O$9</f>
        <v>0</v>
      </c>
      <c r="Q12" s="659">
        <f>Calculations!P17/Calculations!P$9</f>
        <v>0</v>
      </c>
      <c r="R12" s="659">
        <f>Calculations!Q17/Calculations!Q$9</f>
        <v>0</v>
      </c>
      <c r="S12" s="659">
        <f>Calculations!R17/Calculations!R$9</f>
        <v>0</v>
      </c>
      <c r="T12" s="659">
        <f>Calculations!S17/Calculations!S$9</f>
        <v>0</v>
      </c>
      <c r="U12" s="659">
        <f>Calculations!T17/Calculations!T$9</f>
        <v>0</v>
      </c>
      <c r="V12" s="659">
        <f>Calculations!U17/Calculations!U$9</f>
        <v>0</v>
      </c>
      <c r="W12" s="659">
        <f>Calculations!V17/Calculations!V$9</f>
        <v>0</v>
      </c>
      <c r="X12" s="659">
        <f>Calculations!W17/Calculations!W$9</f>
        <v>0</v>
      </c>
      <c r="Y12" s="659">
        <f>Calculations!X17/Calculations!X$9</f>
        <v>0</v>
      </c>
      <c r="Z12" s="659">
        <f>Calculations!Y17/Calculations!Y$9</f>
        <v>0</v>
      </c>
    </row>
    <row r="13" spans="3:45" ht="16.5" customHeight="1" x14ac:dyDescent="0.2">
      <c r="C13" s="513"/>
      <c r="D13" s="660" t="str">
        <f>Calculations!C18</f>
        <v xml:space="preserve">SAIDI accidental </v>
      </c>
      <c r="E13" s="657">
        <f t="shared" si="2"/>
        <v>0</v>
      </c>
      <c r="F13" s="659">
        <f>Calculations!E18/Calculations!E$9</f>
        <v>0</v>
      </c>
      <c r="G13" s="659">
        <f>Calculations!F18/Calculations!F$9</f>
        <v>0</v>
      </c>
      <c r="H13" s="659">
        <f>Calculations!G18/Calculations!G$9</f>
        <v>0</v>
      </c>
      <c r="I13" s="659">
        <f>Calculations!H18/Calculations!H$9</f>
        <v>0</v>
      </c>
      <c r="J13" s="659">
        <f>Calculations!I18/Calculations!I$9</f>
        <v>0</v>
      </c>
      <c r="K13" s="659">
        <f>Calculations!J18/Calculations!J$9</f>
        <v>0</v>
      </c>
      <c r="L13" s="659">
        <f>Calculations!K18/Calculations!K$9</f>
        <v>0</v>
      </c>
      <c r="M13" s="659">
        <f>Calculations!L18/Calculations!L$9</f>
        <v>0</v>
      </c>
      <c r="N13" s="659">
        <f>Calculations!M18/Calculations!M$9</f>
        <v>0</v>
      </c>
      <c r="O13" s="659">
        <f>Calculations!N18/Calculations!N$9</f>
        <v>0</v>
      </c>
      <c r="P13" s="659">
        <f>Calculations!O18/Calculations!O$9</f>
        <v>0</v>
      </c>
      <c r="Q13" s="659">
        <f>Calculations!P18/Calculations!P$9</f>
        <v>0</v>
      </c>
      <c r="R13" s="659">
        <f>Calculations!Q18/Calculations!Q$9</f>
        <v>0</v>
      </c>
      <c r="S13" s="659">
        <f>Calculations!R18/Calculations!R$9</f>
        <v>0</v>
      </c>
      <c r="T13" s="659">
        <f>Calculations!S18/Calculations!S$9</f>
        <v>0</v>
      </c>
      <c r="U13" s="659">
        <f>Calculations!T18/Calculations!T$9</f>
        <v>0</v>
      </c>
      <c r="V13" s="659">
        <f>Calculations!U18/Calculations!U$9</f>
        <v>0</v>
      </c>
      <c r="W13" s="659">
        <f>Calculations!V18/Calculations!V$9</f>
        <v>0</v>
      </c>
      <c r="X13" s="659">
        <f>Calculations!W18/Calculations!W$9</f>
        <v>0</v>
      </c>
      <c r="Y13" s="659">
        <f>Calculations!X18/Calculations!X$9</f>
        <v>0</v>
      </c>
      <c r="Z13" s="659">
        <f>Calculations!Y18/Calculations!Y$9</f>
        <v>0</v>
      </c>
    </row>
    <row r="14" spans="3:45" ht="16.5" customHeight="1" x14ac:dyDescent="0.2">
      <c r="C14" s="513"/>
      <c r="D14" s="660" t="str">
        <f>Calculations!C19</f>
        <v xml:space="preserve">MAIFI momentary </v>
      </c>
      <c r="E14" s="657">
        <f t="shared" si="2"/>
        <v>0</v>
      </c>
      <c r="F14" s="659">
        <f>Calculations!E19/Calculations!E$9</f>
        <v>0</v>
      </c>
      <c r="G14" s="659">
        <f>Calculations!F19/Calculations!F$9</f>
        <v>0</v>
      </c>
      <c r="H14" s="659">
        <f>Calculations!G19/Calculations!G$9</f>
        <v>0</v>
      </c>
      <c r="I14" s="659">
        <f>Calculations!H19/Calculations!H$9</f>
        <v>0</v>
      </c>
      <c r="J14" s="659">
        <f>Calculations!I19/Calculations!I$9</f>
        <v>0</v>
      </c>
      <c r="K14" s="659">
        <f>Calculations!J19/Calculations!J$9</f>
        <v>0</v>
      </c>
      <c r="L14" s="659">
        <f>Calculations!K19/Calculations!K$9</f>
        <v>0</v>
      </c>
      <c r="M14" s="659">
        <f>Calculations!L19/Calculations!L$9</f>
        <v>0</v>
      </c>
      <c r="N14" s="659">
        <f>Calculations!M19/Calculations!M$9</f>
        <v>0</v>
      </c>
      <c r="O14" s="659">
        <f>Calculations!N19/Calculations!N$9</f>
        <v>0</v>
      </c>
      <c r="P14" s="659">
        <f>Calculations!O19/Calculations!O$9</f>
        <v>0</v>
      </c>
      <c r="Q14" s="659">
        <f>Calculations!P19/Calculations!P$9</f>
        <v>0</v>
      </c>
      <c r="R14" s="659">
        <f>Calculations!Q19/Calculations!Q$9</f>
        <v>0</v>
      </c>
      <c r="S14" s="659">
        <f>Calculations!R19/Calculations!R$9</f>
        <v>0</v>
      </c>
      <c r="T14" s="659">
        <f>Calculations!S19/Calculations!S$9</f>
        <v>0</v>
      </c>
      <c r="U14" s="659">
        <f>Calculations!T19/Calculations!T$9</f>
        <v>0</v>
      </c>
      <c r="V14" s="659">
        <f>Calculations!U19/Calculations!U$9</f>
        <v>0</v>
      </c>
      <c r="W14" s="659">
        <f>Calculations!V19/Calculations!V$9</f>
        <v>0</v>
      </c>
      <c r="X14" s="659">
        <f>Calculations!W19/Calculations!W$9</f>
        <v>0</v>
      </c>
      <c r="Y14" s="659">
        <f>Calculations!X19/Calculations!X$9</f>
        <v>0</v>
      </c>
      <c r="Z14" s="659">
        <f>Calculations!Y19/Calculations!Y$9</f>
        <v>0</v>
      </c>
    </row>
    <row r="15" spans="3:45" ht="16.5" customHeight="1" x14ac:dyDescent="0.2">
      <c r="C15" s="513"/>
      <c r="D15" s="660" t="str">
        <f>Calculations!C20</f>
        <v xml:space="preserve">Call centre response </v>
      </c>
      <c r="E15" s="657">
        <f t="shared" si="2"/>
        <v>0</v>
      </c>
      <c r="F15" s="659">
        <f>Calculations!E20/Calculations!E$9</f>
        <v>0</v>
      </c>
      <c r="G15" s="659">
        <f>Calculations!F20/Calculations!F$9</f>
        <v>0</v>
      </c>
      <c r="H15" s="659">
        <f>Calculations!G20/Calculations!G$9</f>
        <v>0</v>
      </c>
      <c r="I15" s="659">
        <f>Calculations!H20/Calculations!H$9</f>
        <v>0</v>
      </c>
      <c r="J15" s="659">
        <f>Calculations!I20/Calculations!I$9</f>
        <v>0</v>
      </c>
      <c r="K15" s="659">
        <f>Calculations!J20/Calculations!J$9</f>
        <v>0</v>
      </c>
      <c r="L15" s="659">
        <f>Calculations!K20/Calculations!K$9</f>
        <v>0</v>
      </c>
      <c r="M15" s="659">
        <f>Calculations!L20/Calculations!L$9</f>
        <v>0</v>
      </c>
      <c r="N15" s="659">
        <f>Calculations!M20/Calculations!M$9</f>
        <v>0</v>
      </c>
      <c r="O15" s="659">
        <f>Calculations!N20/Calculations!N$9</f>
        <v>0</v>
      </c>
      <c r="P15" s="659">
        <f>Calculations!O20/Calculations!O$9</f>
        <v>0</v>
      </c>
      <c r="Q15" s="659">
        <f>Calculations!P20/Calculations!P$9</f>
        <v>0</v>
      </c>
      <c r="R15" s="659">
        <f>Calculations!Q20/Calculations!Q$9</f>
        <v>0</v>
      </c>
      <c r="S15" s="659">
        <f>Calculations!R20/Calculations!R$9</f>
        <v>0</v>
      </c>
      <c r="T15" s="659">
        <f>Calculations!S20/Calculations!S$9</f>
        <v>0</v>
      </c>
      <c r="U15" s="659">
        <f>Calculations!T20/Calculations!T$9</f>
        <v>0</v>
      </c>
      <c r="V15" s="659">
        <f>Calculations!U20/Calculations!U$9</f>
        <v>0</v>
      </c>
      <c r="W15" s="659">
        <f>Calculations!V20/Calculations!V$9</f>
        <v>0</v>
      </c>
      <c r="X15" s="659">
        <f>Calculations!W20/Calculations!W$9</f>
        <v>0</v>
      </c>
      <c r="Y15" s="659">
        <f>Calculations!X20/Calculations!X$9</f>
        <v>0</v>
      </c>
      <c r="Z15" s="659">
        <f>Calculations!Y20/Calculations!Y$9</f>
        <v>0</v>
      </c>
    </row>
    <row r="16" spans="3:45" ht="16.5" customHeight="1" x14ac:dyDescent="0.2">
      <c r="C16" s="513"/>
      <c r="D16" s="656" t="str">
        <f>Calculations!C21</f>
        <v>Network Outage Costs</v>
      </c>
      <c r="E16" s="657">
        <f t="shared" si="2"/>
        <v>0</v>
      </c>
      <c r="F16" s="659">
        <f>Calculations!E21/Calculations!E$9</f>
        <v>0</v>
      </c>
      <c r="G16" s="659">
        <f>Calculations!F21/Calculations!F$9</f>
        <v>0</v>
      </c>
      <c r="H16" s="659">
        <f>Calculations!G21/Calculations!G$9</f>
        <v>0</v>
      </c>
      <c r="I16" s="659">
        <f>Calculations!H21/Calculations!H$9</f>
        <v>0</v>
      </c>
      <c r="J16" s="659">
        <f>Calculations!I21/Calculations!I$9</f>
        <v>0</v>
      </c>
      <c r="K16" s="659">
        <f>Calculations!J21/Calculations!J$9</f>
        <v>0</v>
      </c>
      <c r="L16" s="659">
        <f>Calculations!K21/Calculations!K$9</f>
        <v>0</v>
      </c>
      <c r="M16" s="659">
        <f>Calculations!L21/Calculations!L$9</f>
        <v>0</v>
      </c>
      <c r="N16" s="659">
        <f>Calculations!M21/Calculations!M$9</f>
        <v>0</v>
      </c>
      <c r="O16" s="659">
        <f>Calculations!N21/Calculations!N$9</f>
        <v>0</v>
      </c>
      <c r="P16" s="659">
        <f>Calculations!O21/Calculations!O$9</f>
        <v>0</v>
      </c>
      <c r="Q16" s="659">
        <f>Calculations!P21/Calculations!P$9</f>
        <v>0</v>
      </c>
      <c r="R16" s="659">
        <f>Calculations!Q21/Calculations!Q$9</f>
        <v>0</v>
      </c>
      <c r="S16" s="659">
        <f>Calculations!R21/Calculations!R$9</f>
        <v>0</v>
      </c>
      <c r="T16" s="659">
        <f>Calculations!S21/Calculations!S$9</f>
        <v>0</v>
      </c>
      <c r="U16" s="659">
        <f>Calculations!T21/Calculations!T$9</f>
        <v>0</v>
      </c>
      <c r="V16" s="659">
        <f>Calculations!U21/Calculations!U$9</f>
        <v>0</v>
      </c>
      <c r="W16" s="659">
        <f>Calculations!V21/Calculations!V$9</f>
        <v>0</v>
      </c>
      <c r="X16" s="659">
        <f>Calculations!W21/Calculations!W$9</f>
        <v>0</v>
      </c>
      <c r="Y16" s="659">
        <f>Calculations!X21/Calculations!X$9</f>
        <v>0</v>
      </c>
      <c r="Z16" s="659">
        <f>Calculations!Y21/Calculations!Y$9</f>
        <v>0</v>
      </c>
    </row>
    <row r="17" spans="3:26" ht="16.5" customHeight="1" x14ac:dyDescent="0.2">
      <c r="C17" s="513"/>
      <c r="D17" s="656" t="str">
        <f>Calculations!C22</f>
        <v>Loss of F Factor Benefit</v>
      </c>
      <c r="E17" s="657">
        <f t="shared" si="2"/>
        <v>0</v>
      </c>
      <c r="F17" s="659">
        <f>Calculations!E22/Calculations!E$9</f>
        <v>0</v>
      </c>
      <c r="G17" s="659">
        <f>Calculations!F22/Calculations!F$9</f>
        <v>0</v>
      </c>
      <c r="H17" s="659">
        <f>Calculations!G22/Calculations!G$9</f>
        <v>0</v>
      </c>
      <c r="I17" s="659">
        <f>Calculations!H22/Calculations!H$9</f>
        <v>0</v>
      </c>
      <c r="J17" s="659">
        <f>Calculations!I22/Calculations!I$9</f>
        <v>0</v>
      </c>
      <c r="K17" s="659">
        <f>Calculations!J22/Calculations!J$9</f>
        <v>0</v>
      </c>
      <c r="L17" s="659">
        <f>Calculations!K22/Calculations!K$9</f>
        <v>0</v>
      </c>
      <c r="M17" s="659">
        <f>Calculations!L22/Calculations!L$9</f>
        <v>0</v>
      </c>
      <c r="N17" s="659">
        <f>Calculations!M22/Calculations!M$9</f>
        <v>0</v>
      </c>
      <c r="O17" s="659">
        <f>Calculations!N22/Calculations!N$9</f>
        <v>0</v>
      </c>
      <c r="P17" s="659">
        <f>Calculations!O22/Calculations!O$9</f>
        <v>0</v>
      </c>
      <c r="Q17" s="659">
        <f>Calculations!P22/Calculations!P$9</f>
        <v>0</v>
      </c>
      <c r="R17" s="659">
        <f>Calculations!Q22/Calculations!Q$9</f>
        <v>0</v>
      </c>
      <c r="S17" s="659">
        <f>Calculations!R22/Calculations!R$9</f>
        <v>0</v>
      </c>
      <c r="T17" s="659">
        <f>Calculations!S22/Calculations!S$9</f>
        <v>0</v>
      </c>
      <c r="U17" s="659">
        <f>Calculations!T22/Calculations!T$9</f>
        <v>0</v>
      </c>
      <c r="V17" s="659">
        <f>Calculations!U22/Calculations!U$9</f>
        <v>0</v>
      </c>
      <c r="W17" s="659">
        <f>Calculations!V22/Calculations!V$9</f>
        <v>0</v>
      </c>
      <c r="X17" s="659">
        <f>Calculations!W22/Calculations!W$9</f>
        <v>0</v>
      </c>
      <c r="Y17" s="659">
        <f>Calculations!X22/Calculations!X$9</f>
        <v>0</v>
      </c>
      <c r="Z17" s="659">
        <f>Calculations!Y22/Calculations!Y$9</f>
        <v>0</v>
      </c>
    </row>
    <row r="18" spans="3:26" ht="16.5" customHeight="1" x14ac:dyDescent="0.2">
      <c r="C18" s="513"/>
      <c r="D18" s="656" t="str">
        <f>Calculations!C23</f>
        <v>Cost 1</v>
      </c>
      <c r="E18" s="657">
        <f t="shared" si="2"/>
        <v>0</v>
      </c>
      <c r="F18" s="659">
        <f>Calculations!E23/Calculations!E$9</f>
        <v>0</v>
      </c>
      <c r="G18" s="659">
        <f>Calculations!F23/Calculations!F$9</f>
        <v>0</v>
      </c>
      <c r="H18" s="659">
        <f>Calculations!G23/Calculations!G$9</f>
        <v>0</v>
      </c>
      <c r="I18" s="659">
        <f>Calculations!H23/Calculations!H$9</f>
        <v>0</v>
      </c>
      <c r="J18" s="659">
        <f>Calculations!I23/Calculations!I$9</f>
        <v>0</v>
      </c>
      <c r="K18" s="659">
        <f>Calculations!J23/Calculations!J$9</f>
        <v>0</v>
      </c>
      <c r="L18" s="659">
        <f>Calculations!K23/Calculations!K$9</f>
        <v>0</v>
      </c>
      <c r="M18" s="659">
        <f>Calculations!L23/Calculations!L$9</f>
        <v>0</v>
      </c>
      <c r="N18" s="659">
        <f>Calculations!M23/Calculations!M$9</f>
        <v>0</v>
      </c>
      <c r="O18" s="659">
        <f>Calculations!N23/Calculations!N$9</f>
        <v>0</v>
      </c>
      <c r="P18" s="659">
        <f>Calculations!O23/Calculations!O$9</f>
        <v>0</v>
      </c>
      <c r="Q18" s="659">
        <f>Calculations!P23/Calculations!P$9</f>
        <v>0</v>
      </c>
      <c r="R18" s="659">
        <f>Calculations!Q23/Calculations!Q$9</f>
        <v>0</v>
      </c>
      <c r="S18" s="659">
        <f>Calculations!R23/Calculations!R$9</f>
        <v>0</v>
      </c>
      <c r="T18" s="659">
        <f>Calculations!S23/Calculations!S$9</f>
        <v>0</v>
      </c>
      <c r="U18" s="659">
        <f>Calculations!T23/Calculations!T$9</f>
        <v>0</v>
      </c>
      <c r="V18" s="659">
        <f>Calculations!U23/Calculations!U$9</f>
        <v>0</v>
      </c>
      <c r="W18" s="659">
        <f>Calculations!V23/Calculations!V$9</f>
        <v>0</v>
      </c>
      <c r="X18" s="659">
        <f>Calculations!W23/Calculations!W$9</f>
        <v>0</v>
      </c>
      <c r="Y18" s="659">
        <f>Calculations!X23/Calculations!X$9</f>
        <v>0</v>
      </c>
      <c r="Z18" s="659">
        <f>Calculations!Y23/Calculations!Y$9</f>
        <v>0</v>
      </c>
    </row>
    <row r="19" spans="3:26" ht="16.5" customHeight="1" x14ac:dyDescent="0.2">
      <c r="C19" s="513"/>
      <c r="D19" s="656" t="str">
        <f>Calculations!C24</f>
        <v>Cost 2</v>
      </c>
      <c r="E19" s="657">
        <f t="shared" si="2"/>
        <v>0</v>
      </c>
      <c r="F19" s="659">
        <f>Calculations!E24/Calculations!E$9</f>
        <v>0</v>
      </c>
      <c r="G19" s="659">
        <f>Calculations!F24/Calculations!F$9</f>
        <v>0</v>
      </c>
      <c r="H19" s="659">
        <f>Calculations!G24/Calculations!G$9</f>
        <v>0</v>
      </c>
      <c r="I19" s="659">
        <f>Calculations!H24/Calculations!H$9</f>
        <v>0</v>
      </c>
      <c r="J19" s="659">
        <f>Calculations!I24/Calculations!I$9</f>
        <v>0</v>
      </c>
      <c r="K19" s="659">
        <f>Calculations!J24/Calculations!J$9</f>
        <v>0</v>
      </c>
      <c r="L19" s="659">
        <f>Calculations!K24/Calculations!K$9</f>
        <v>0</v>
      </c>
      <c r="M19" s="659">
        <f>Calculations!L24/Calculations!L$9</f>
        <v>0</v>
      </c>
      <c r="N19" s="659">
        <f>Calculations!M24/Calculations!M$9</f>
        <v>0</v>
      </c>
      <c r="O19" s="659">
        <f>Calculations!N24/Calculations!N$9</f>
        <v>0</v>
      </c>
      <c r="P19" s="659">
        <f>Calculations!O24/Calculations!O$9</f>
        <v>0</v>
      </c>
      <c r="Q19" s="659">
        <f>Calculations!P24/Calculations!P$9</f>
        <v>0</v>
      </c>
      <c r="R19" s="659">
        <f>Calculations!Q24/Calculations!Q$9</f>
        <v>0</v>
      </c>
      <c r="S19" s="659">
        <f>Calculations!R24/Calculations!R$9</f>
        <v>0</v>
      </c>
      <c r="T19" s="659">
        <f>Calculations!S24/Calculations!S$9</f>
        <v>0</v>
      </c>
      <c r="U19" s="659">
        <f>Calculations!T24/Calculations!T$9</f>
        <v>0</v>
      </c>
      <c r="V19" s="659">
        <f>Calculations!U24/Calculations!U$9</f>
        <v>0</v>
      </c>
      <c r="W19" s="659">
        <f>Calculations!V24/Calculations!V$9</f>
        <v>0</v>
      </c>
      <c r="X19" s="659">
        <f>Calculations!W24/Calculations!W$9</f>
        <v>0</v>
      </c>
      <c r="Y19" s="659">
        <f>Calculations!X24/Calculations!X$9</f>
        <v>0</v>
      </c>
      <c r="Z19" s="659">
        <f>Calculations!Y24/Calculations!Y$9</f>
        <v>0</v>
      </c>
    </row>
    <row r="20" spans="3:26" ht="16.5" customHeight="1" x14ac:dyDescent="0.2">
      <c r="C20" s="513"/>
      <c r="D20" s="656" t="str">
        <f>Calculations!C25</f>
        <v>Cost 3</v>
      </c>
      <c r="E20" s="657">
        <f t="shared" si="2"/>
        <v>0</v>
      </c>
      <c r="F20" s="659">
        <f>Calculations!E25/Calculations!E$9</f>
        <v>0</v>
      </c>
      <c r="G20" s="659">
        <f>Calculations!F25/Calculations!F$9</f>
        <v>0</v>
      </c>
      <c r="H20" s="659">
        <f>Calculations!G25/Calculations!G$9</f>
        <v>0</v>
      </c>
      <c r="I20" s="659">
        <f>Calculations!H25/Calculations!H$9</f>
        <v>0</v>
      </c>
      <c r="J20" s="659">
        <f>Calculations!I25/Calculations!I$9</f>
        <v>0</v>
      </c>
      <c r="K20" s="659">
        <f>Calculations!J25/Calculations!J$9</f>
        <v>0</v>
      </c>
      <c r="L20" s="659">
        <f>Calculations!K25/Calculations!K$9</f>
        <v>0</v>
      </c>
      <c r="M20" s="659">
        <f>Calculations!L25/Calculations!L$9</f>
        <v>0</v>
      </c>
      <c r="N20" s="659">
        <f>Calculations!M25/Calculations!M$9</f>
        <v>0</v>
      </c>
      <c r="O20" s="659">
        <f>Calculations!N25/Calculations!N$9</f>
        <v>0</v>
      </c>
      <c r="P20" s="659">
        <f>Calculations!O25/Calculations!O$9</f>
        <v>0</v>
      </c>
      <c r="Q20" s="659">
        <f>Calculations!P25/Calculations!P$9</f>
        <v>0</v>
      </c>
      <c r="R20" s="659">
        <f>Calculations!Q25/Calculations!Q$9</f>
        <v>0</v>
      </c>
      <c r="S20" s="659">
        <f>Calculations!R25/Calculations!R$9</f>
        <v>0</v>
      </c>
      <c r="T20" s="659">
        <f>Calculations!S25/Calculations!S$9</f>
        <v>0</v>
      </c>
      <c r="U20" s="659">
        <f>Calculations!T25/Calculations!T$9</f>
        <v>0</v>
      </c>
      <c r="V20" s="659">
        <f>Calculations!U25/Calculations!U$9</f>
        <v>0</v>
      </c>
      <c r="W20" s="659">
        <f>Calculations!V25/Calculations!V$9</f>
        <v>0</v>
      </c>
      <c r="X20" s="659">
        <f>Calculations!W25/Calculations!W$9</f>
        <v>0</v>
      </c>
      <c r="Y20" s="659">
        <f>Calculations!X25/Calculations!X$9</f>
        <v>0</v>
      </c>
      <c r="Z20" s="659">
        <f>Calculations!Y25/Calculations!Y$9</f>
        <v>0</v>
      </c>
    </row>
    <row r="21" spans="3:26" ht="16.5" customHeight="1" x14ac:dyDescent="0.2">
      <c r="C21" s="513"/>
      <c r="D21" s="656" t="str">
        <f>Calculations!C26</f>
        <v>Cost 4</v>
      </c>
      <c r="E21" s="657">
        <f t="shared" si="2"/>
        <v>0</v>
      </c>
      <c r="F21" s="659">
        <f>Calculations!E26/Calculations!E$9</f>
        <v>0</v>
      </c>
      <c r="G21" s="659">
        <f>Calculations!F26/Calculations!F$9</f>
        <v>0</v>
      </c>
      <c r="H21" s="659">
        <f>Calculations!G26/Calculations!G$9</f>
        <v>0</v>
      </c>
      <c r="I21" s="659">
        <f>Calculations!H26/Calculations!H$9</f>
        <v>0</v>
      </c>
      <c r="J21" s="659">
        <f>Calculations!I26/Calculations!I$9</f>
        <v>0</v>
      </c>
      <c r="K21" s="659">
        <f>Calculations!J26/Calculations!J$9</f>
        <v>0</v>
      </c>
      <c r="L21" s="659">
        <f>Calculations!K26/Calculations!K$9</f>
        <v>0</v>
      </c>
      <c r="M21" s="659">
        <f>Calculations!L26/Calculations!L$9</f>
        <v>0</v>
      </c>
      <c r="N21" s="659">
        <f>Calculations!M26/Calculations!M$9</f>
        <v>0</v>
      </c>
      <c r="O21" s="659">
        <f>Calculations!N26/Calculations!N$9</f>
        <v>0</v>
      </c>
      <c r="P21" s="659">
        <f>Calculations!O26/Calculations!O$9</f>
        <v>0</v>
      </c>
      <c r="Q21" s="659">
        <f>Calculations!P26/Calculations!P$9</f>
        <v>0</v>
      </c>
      <c r="R21" s="659">
        <f>Calculations!Q26/Calculations!Q$9</f>
        <v>0</v>
      </c>
      <c r="S21" s="659">
        <f>Calculations!R26/Calculations!R$9</f>
        <v>0</v>
      </c>
      <c r="T21" s="659">
        <f>Calculations!S26/Calculations!S$9</f>
        <v>0</v>
      </c>
      <c r="U21" s="659">
        <f>Calculations!T26/Calculations!T$9</f>
        <v>0</v>
      </c>
      <c r="V21" s="659">
        <f>Calculations!U26/Calculations!U$9</f>
        <v>0</v>
      </c>
      <c r="W21" s="659">
        <f>Calculations!V26/Calculations!V$9</f>
        <v>0</v>
      </c>
      <c r="X21" s="659">
        <f>Calculations!W26/Calculations!W$9</f>
        <v>0</v>
      </c>
      <c r="Y21" s="659">
        <f>Calculations!X26/Calculations!X$9</f>
        <v>0</v>
      </c>
      <c r="Z21" s="659">
        <f>Calculations!Y26/Calculations!Y$9</f>
        <v>0</v>
      </c>
    </row>
    <row r="22" spans="3:26" ht="16.5" customHeight="1" x14ac:dyDescent="0.2">
      <c r="C22" s="513"/>
      <c r="D22" s="656" t="str">
        <f>Calculations!C27</f>
        <v>Cost 5</v>
      </c>
      <c r="E22" s="657">
        <f t="shared" si="2"/>
        <v>0</v>
      </c>
      <c r="F22" s="659">
        <f>Calculations!E27/Calculations!E$9</f>
        <v>0</v>
      </c>
      <c r="G22" s="659">
        <f>Calculations!F27/Calculations!F$9</f>
        <v>0</v>
      </c>
      <c r="H22" s="659">
        <f>Calculations!G27/Calculations!G$9</f>
        <v>0</v>
      </c>
      <c r="I22" s="659">
        <f>Calculations!H27/Calculations!H$9</f>
        <v>0</v>
      </c>
      <c r="J22" s="659">
        <f>Calculations!I27/Calculations!I$9</f>
        <v>0</v>
      </c>
      <c r="K22" s="659">
        <f>Calculations!J27/Calculations!J$9</f>
        <v>0</v>
      </c>
      <c r="L22" s="659">
        <f>Calculations!K27/Calculations!K$9</f>
        <v>0</v>
      </c>
      <c r="M22" s="659">
        <f>Calculations!L27/Calculations!L$9</f>
        <v>0</v>
      </c>
      <c r="N22" s="659">
        <f>Calculations!M27/Calculations!M$9</f>
        <v>0</v>
      </c>
      <c r="O22" s="659">
        <f>Calculations!N27/Calculations!N$9</f>
        <v>0</v>
      </c>
      <c r="P22" s="659">
        <f>Calculations!O27/Calculations!O$9</f>
        <v>0</v>
      </c>
      <c r="Q22" s="659">
        <f>Calculations!P27/Calculations!P$9</f>
        <v>0</v>
      </c>
      <c r="R22" s="659">
        <f>Calculations!Q27/Calculations!Q$9</f>
        <v>0</v>
      </c>
      <c r="S22" s="659">
        <f>Calculations!R27/Calculations!R$9</f>
        <v>0</v>
      </c>
      <c r="T22" s="659">
        <f>Calculations!S27/Calculations!S$9</f>
        <v>0</v>
      </c>
      <c r="U22" s="659">
        <f>Calculations!T27/Calculations!T$9</f>
        <v>0</v>
      </c>
      <c r="V22" s="659">
        <f>Calculations!U27/Calculations!U$9</f>
        <v>0</v>
      </c>
      <c r="W22" s="659">
        <f>Calculations!V27/Calculations!V$9</f>
        <v>0</v>
      </c>
      <c r="X22" s="659">
        <f>Calculations!W27/Calculations!W$9</f>
        <v>0</v>
      </c>
      <c r="Y22" s="659">
        <f>Calculations!X27/Calculations!X$9</f>
        <v>0</v>
      </c>
      <c r="Z22" s="659">
        <f>Calculations!Y27/Calculations!Y$9</f>
        <v>0</v>
      </c>
    </row>
    <row r="23" spans="3:26" ht="16.5" customHeight="1" x14ac:dyDescent="0.2">
      <c r="C23" s="513"/>
      <c r="D23" s="656" t="str">
        <f>Calculations!C28</f>
        <v>Risk 1</v>
      </c>
      <c r="E23" s="657">
        <f t="shared" si="2"/>
        <v>0</v>
      </c>
      <c r="F23" s="659">
        <f>Calculations!E28/Calculations!E$9</f>
        <v>0</v>
      </c>
      <c r="G23" s="659">
        <f>Calculations!F28/Calculations!F$9</f>
        <v>0</v>
      </c>
      <c r="H23" s="659">
        <f>Calculations!G28/Calculations!G$9</f>
        <v>0</v>
      </c>
      <c r="I23" s="659">
        <f>Calculations!H28/Calculations!H$9</f>
        <v>0</v>
      </c>
      <c r="J23" s="659">
        <f>Calculations!I28/Calculations!I$9</f>
        <v>0</v>
      </c>
      <c r="K23" s="659">
        <f>Calculations!J28/Calculations!J$9</f>
        <v>0</v>
      </c>
      <c r="L23" s="659">
        <f>Calculations!K28/Calculations!K$9</f>
        <v>0</v>
      </c>
      <c r="M23" s="659">
        <f>Calculations!L28/Calculations!L$9</f>
        <v>0</v>
      </c>
      <c r="N23" s="659">
        <f>Calculations!M28/Calculations!M$9</f>
        <v>0</v>
      </c>
      <c r="O23" s="659">
        <f>Calculations!N28/Calculations!N$9</f>
        <v>0</v>
      </c>
      <c r="P23" s="659">
        <f>Calculations!O28/Calculations!O$9</f>
        <v>0</v>
      </c>
      <c r="Q23" s="659">
        <f>Calculations!P28/Calculations!P$9</f>
        <v>0</v>
      </c>
      <c r="R23" s="659">
        <f>Calculations!Q28/Calculations!Q$9</f>
        <v>0</v>
      </c>
      <c r="S23" s="659">
        <f>Calculations!R28/Calculations!R$9</f>
        <v>0</v>
      </c>
      <c r="T23" s="659">
        <f>Calculations!S28/Calculations!S$9</f>
        <v>0</v>
      </c>
      <c r="U23" s="659">
        <f>Calculations!T28/Calculations!T$9</f>
        <v>0</v>
      </c>
      <c r="V23" s="659">
        <f>Calculations!U28/Calculations!U$9</f>
        <v>0</v>
      </c>
      <c r="W23" s="659">
        <f>Calculations!V28/Calculations!V$9</f>
        <v>0</v>
      </c>
      <c r="X23" s="659">
        <f>Calculations!W28/Calculations!W$9</f>
        <v>0</v>
      </c>
      <c r="Y23" s="659">
        <f>Calculations!X28/Calculations!X$9</f>
        <v>0</v>
      </c>
      <c r="Z23" s="659">
        <f>Calculations!Y28/Calculations!Y$9</f>
        <v>0</v>
      </c>
    </row>
    <row r="24" spans="3:26" ht="16.5" customHeight="1" x14ac:dyDescent="0.2">
      <c r="C24" s="513"/>
      <c r="D24" s="656" t="str">
        <f>Calculations!C29</f>
        <v>Risk 2</v>
      </c>
      <c r="E24" s="657">
        <f t="shared" si="2"/>
        <v>0</v>
      </c>
      <c r="F24" s="659">
        <f>Calculations!E29/Calculations!E$9</f>
        <v>0</v>
      </c>
      <c r="G24" s="659">
        <f>Calculations!F29/Calculations!F$9</f>
        <v>0</v>
      </c>
      <c r="H24" s="659">
        <f>Calculations!G29/Calculations!G$9</f>
        <v>0</v>
      </c>
      <c r="I24" s="659">
        <f>Calculations!H29/Calculations!H$9</f>
        <v>0</v>
      </c>
      <c r="J24" s="659">
        <f>Calculations!I29/Calculations!I$9</f>
        <v>0</v>
      </c>
      <c r="K24" s="659">
        <f>Calculations!J29/Calculations!J$9</f>
        <v>0</v>
      </c>
      <c r="L24" s="659">
        <f>Calculations!K29/Calculations!K$9</f>
        <v>0</v>
      </c>
      <c r="M24" s="659">
        <f>Calculations!L29/Calculations!L$9</f>
        <v>0</v>
      </c>
      <c r="N24" s="659">
        <f>Calculations!M29/Calculations!M$9</f>
        <v>0</v>
      </c>
      <c r="O24" s="659">
        <f>Calculations!N29/Calculations!N$9</f>
        <v>0</v>
      </c>
      <c r="P24" s="659">
        <f>Calculations!O29/Calculations!O$9</f>
        <v>0</v>
      </c>
      <c r="Q24" s="659">
        <f>Calculations!P29/Calculations!P$9</f>
        <v>0</v>
      </c>
      <c r="R24" s="659">
        <f>Calculations!Q29/Calculations!Q$9</f>
        <v>0</v>
      </c>
      <c r="S24" s="659">
        <f>Calculations!R29/Calculations!R$9</f>
        <v>0</v>
      </c>
      <c r="T24" s="659">
        <f>Calculations!S29/Calculations!S$9</f>
        <v>0</v>
      </c>
      <c r="U24" s="659">
        <f>Calculations!T29/Calculations!T$9</f>
        <v>0</v>
      </c>
      <c r="V24" s="659">
        <f>Calculations!U29/Calculations!U$9</f>
        <v>0</v>
      </c>
      <c r="W24" s="659">
        <f>Calculations!V29/Calculations!V$9</f>
        <v>0</v>
      </c>
      <c r="X24" s="659">
        <f>Calculations!W29/Calculations!W$9</f>
        <v>0</v>
      </c>
      <c r="Y24" s="659">
        <f>Calculations!X29/Calculations!X$9</f>
        <v>0</v>
      </c>
      <c r="Z24" s="659">
        <f>Calculations!Y29/Calculations!Y$9</f>
        <v>0</v>
      </c>
    </row>
    <row r="25" spans="3:26" ht="16.5" customHeight="1" x14ac:dyDescent="0.2">
      <c r="C25" s="513"/>
      <c r="D25" s="656" t="str">
        <f>Calculations!C30</f>
        <v>Risk 3</v>
      </c>
      <c r="E25" s="657">
        <f t="shared" si="2"/>
        <v>0</v>
      </c>
      <c r="F25" s="659">
        <f>Calculations!E30/Calculations!E$9</f>
        <v>0</v>
      </c>
      <c r="G25" s="659">
        <f>Calculations!F30/Calculations!F$9</f>
        <v>0</v>
      </c>
      <c r="H25" s="659">
        <f>Calculations!G30/Calculations!G$9</f>
        <v>0</v>
      </c>
      <c r="I25" s="659">
        <f>Calculations!H30/Calculations!H$9</f>
        <v>0</v>
      </c>
      <c r="J25" s="659">
        <f>Calculations!I30/Calculations!I$9</f>
        <v>0</v>
      </c>
      <c r="K25" s="659">
        <f>Calculations!J30/Calculations!J$9</f>
        <v>0</v>
      </c>
      <c r="L25" s="659">
        <f>Calculations!K30/Calculations!K$9</f>
        <v>0</v>
      </c>
      <c r="M25" s="659">
        <f>Calculations!L30/Calculations!L$9</f>
        <v>0</v>
      </c>
      <c r="N25" s="659">
        <f>Calculations!M30/Calculations!M$9</f>
        <v>0</v>
      </c>
      <c r="O25" s="659">
        <f>Calculations!N30/Calculations!N$9</f>
        <v>0</v>
      </c>
      <c r="P25" s="659">
        <f>Calculations!O30/Calculations!O$9</f>
        <v>0</v>
      </c>
      <c r="Q25" s="659">
        <f>Calculations!P30/Calculations!P$9</f>
        <v>0</v>
      </c>
      <c r="R25" s="659">
        <f>Calculations!Q30/Calculations!Q$9</f>
        <v>0</v>
      </c>
      <c r="S25" s="659">
        <f>Calculations!R30/Calculations!R$9</f>
        <v>0</v>
      </c>
      <c r="T25" s="659">
        <f>Calculations!S30/Calculations!S$9</f>
        <v>0</v>
      </c>
      <c r="U25" s="659">
        <f>Calculations!T30/Calculations!T$9</f>
        <v>0</v>
      </c>
      <c r="V25" s="659">
        <f>Calculations!U30/Calculations!U$9</f>
        <v>0</v>
      </c>
      <c r="W25" s="659">
        <f>Calculations!V30/Calculations!V$9</f>
        <v>0</v>
      </c>
      <c r="X25" s="659">
        <f>Calculations!W30/Calculations!W$9</f>
        <v>0</v>
      </c>
      <c r="Y25" s="659">
        <f>Calculations!X30/Calculations!X$9</f>
        <v>0</v>
      </c>
      <c r="Z25" s="659">
        <f>Calculations!Y30/Calculations!Y$9</f>
        <v>0</v>
      </c>
    </row>
    <row r="26" spans="3:26" ht="16.5" customHeight="1" x14ac:dyDescent="0.2">
      <c r="C26" s="513"/>
      <c r="D26" s="656" t="str">
        <f>Calculations!C31</f>
        <v>Risk 4</v>
      </c>
      <c r="E26" s="657">
        <f t="shared" si="2"/>
        <v>0</v>
      </c>
      <c r="F26" s="659">
        <f>Calculations!E31/Calculations!E$9</f>
        <v>0</v>
      </c>
      <c r="G26" s="659">
        <f>Calculations!F31/Calculations!F$9</f>
        <v>0</v>
      </c>
      <c r="H26" s="659">
        <f>Calculations!G31/Calculations!G$9</f>
        <v>0</v>
      </c>
      <c r="I26" s="659">
        <f>Calculations!H31/Calculations!H$9</f>
        <v>0</v>
      </c>
      <c r="J26" s="659">
        <f>Calculations!I31/Calculations!I$9</f>
        <v>0</v>
      </c>
      <c r="K26" s="659">
        <f>Calculations!J31/Calculations!J$9</f>
        <v>0</v>
      </c>
      <c r="L26" s="659">
        <f>Calculations!K31/Calculations!K$9</f>
        <v>0</v>
      </c>
      <c r="M26" s="659">
        <f>Calculations!L31/Calculations!L$9</f>
        <v>0</v>
      </c>
      <c r="N26" s="659">
        <f>Calculations!M31/Calculations!M$9</f>
        <v>0</v>
      </c>
      <c r="O26" s="659">
        <f>Calculations!N31/Calculations!N$9</f>
        <v>0</v>
      </c>
      <c r="P26" s="659">
        <f>Calculations!O31/Calculations!O$9</f>
        <v>0</v>
      </c>
      <c r="Q26" s="659">
        <f>Calculations!P31/Calculations!P$9</f>
        <v>0</v>
      </c>
      <c r="R26" s="659">
        <f>Calculations!Q31/Calculations!Q$9</f>
        <v>0</v>
      </c>
      <c r="S26" s="659">
        <f>Calculations!R31/Calculations!R$9</f>
        <v>0</v>
      </c>
      <c r="T26" s="659">
        <f>Calculations!S31/Calculations!S$9</f>
        <v>0</v>
      </c>
      <c r="U26" s="659">
        <f>Calculations!T31/Calculations!T$9</f>
        <v>0</v>
      </c>
      <c r="V26" s="659">
        <f>Calculations!U31/Calculations!U$9</f>
        <v>0</v>
      </c>
      <c r="W26" s="659">
        <f>Calculations!V31/Calculations!V$9</f>
        <v>0</v>
      </c>
      <c r="X26" s="659">
        <f>Calculations!W31/Calculations!W$9</f>
        <v>0</v>
      </c>
      <c r="Y26" s="659">
        <f>Calculations!X31/Calculations!X$9</f>
        <v>0</v>
      </c>
      <c r="Z26" s="659">
        <f>Calculations!Y31/Calculations!Y$9</f>
        <v>0</v>
      </c>
    </row>
    <row r="27" spans="3:26" ht="16.5" customHeight="1" x14ac:dyDescent="0.2">
      <c r="C27" s="513"/>
      <c r="D27" s="656" t="str">
        <f>Calculations!C32</f>
        <v>Risk 5</v>
      </c>
      <c r="E27" s="657">
        <f t="shared" si="2"/>
        <v>0</v>
      </c>
      <c r="F27" s="659">
        <f>Calculations!E32/Calculations!E$9</f>
        <v>0</v>
      </c>
      <c r="G27" s="659">
        <f>Calculations!F32/Calculations!F$9</f>
        <v>0</v>
      </c>
      <c r="H27" s="659">
        <f>Calculations!G32/Calculations!G$9</f>
        <v>0</v>
      </c>
      <c r="I27" s="659">
        <f>Calculations!H32/Calculations!H$9</f>
        <v>0</v>
      </c>
      <c r="J27" s="659">
        <f>Calculations!I32/Calculations!I$9</f>
        <v>0</v>
      </c>
      <c r="K27" s="659">
        <f>Calculations!J32/Calculations!J$9</f>
        <v>0</v>
      </c>
      <c r="L27" s="659">
        <f>Calculations!K32/Calculations!K$9</f>
        <v>0</v>
      </c>
      <c r="M27" s="659">
        <f>Calculations!L32/Calculations!L$9</f>
        <v>0</v>
      </c>
      <c r="N27" s="659">
        <f>Calculations!M32/Calculations!M$9</f>
        <v>0</v>
      </c>
      <c r="O27" s="659">
        <f>Calculations!N32/Calculations!N$9</f>
        <v>0</v>
      </c>
      <c r="P27" s="659">
        <f>Calculations!O32/Calculations!O$9</f>
        <v>0</v>
      </c>
      <c r="Q27" s="659">
        <f>Calculations!P32/Calculations!P$9</f>
        <v>0</v>
      </c>
      <c r="R27" s="659">
        <f>Calculations!Q32/Calculations!Q$9</f>
        <v>0</v>
      </c>
      <c r="S27" s="659">
        <f>Calculations!R32/Calculations!R$9</f>
        <v>0</v>
      </c>
      <c r="T27" s="659">
        <f>Calculations!S32/Calculations!S$9</f>
        <v>0</v>
      </c>
      <c r="U27" s="659">
        <f>Calculations!T32/Calculations!T$9</f>
        <v>0</v>
      </c>
      <c r="V27" s="659">
        <f>Calculations!U32/Calculations!U$9</f>
        <v>0</v>
      </c>
      <c r="W27" s="659">
        <f>Calculations!V32/Calculations!V$9</f>
        <v>0</v>
      </c>
      <c r="X27" s="659">
        <f>Calculations!W32/Calculations!W$9</f>
        <v>0</v>
      </c>
      <c r="Y27" s="659">
        <f>Calculations!X32/Calculations!X$9</f>
        <v>0</v>
      </c>
      <c r="Z27" s="659">
        <f>Calculations!Y32/Calculations!Y$9</f>
        <v>0</v>
      </c>
    </row>
    <row r="28" spans="3:26" ht="16.5" customHeight="1" x14ac:dyDescent="0.2">
      <c r="C28" s="513"/>
      <c r="D28" s="656" t="s">
        <v>254</v>
      </c>
      <c r="E28" s="657">
        <f>SUM(E9:E27)-E11</f>
        <v>2025.0964560491279</v>
      </c>
      <c r="F28" s="657">
        <f t="shared" ref="F28:Z28" si="3">SUM(F9:F27)-F11</f>
        <v>0</v>
      </c>
      <c r="G28" s="657">
        <f t="shared" si="3"/>
        <v>90.799785792223034</v>
      </c>
      <c r="H28" s="657">
        <f t="shared" si="3"/>
        <v>170.35299831893289</v>
      </c>
      <c r="I28" s="657">
        <f t="shared" si="3"/>
        <v>159.80293225942779</v>
      </c>
      <c r="J28" s="657">
        <f t="shared" si="3"/>
        <v>149.90623828587528</v>
      </c>
      <c r="K28" s="657">
        <f t="shared" si="3"/>
        <v>140.62245266275997</v>
      </c>
      <c r="L28" s="657">
        <f t="shared" si="3"/>
        <v>131.91361759861738</v>
      </c>
      <c r="M28" s="657">
        <f t="shared" si="3"/>
        <v>123.74412605137623</v>
      </c>
      <c r="N28" s="657">
        <f t="shared" si="3"/>
        <v>116.08057614500132</v>
      </c>
      <c r="O28" s="657">
        <f t="shared" si="3"/>
        <v>108.89163460220333</v>
      </c>
      <c r="P28" s="657">
        <f t="shared" si="3"/>
        <v>102.14790863484502</v>
      </c>
      <c r="Q28" s="657">
        <f t="shared" si="3"/>
        <v>95.821825768253404</v>
      </c>
      <c r="R28" s="657">
        <f t="shared" si="3"/>
        <v>89.887521108086446</v>
      </c>
      <c r="S28" s="657">
        <f t="shared" si="3"/>
        <v>84.320731588831606</v>
      </c>
      <c r="T28" s="657">
        <f t="shared" si="3"/>
        <v>79.09869677156064</v>
      </c>
      <c r="U28" s="657">
        <f t="shared" si="3"/>
        <v>74.20006578533993</v>
      </c>
      <c r="V28" s="657">
        <f t="shared" si="3"/>
        <v>69.604810031816982</v>
      </c>
      <c r="W28" s="657">
        <f t="shared" si="3"/>
        <v>65.294141296065376</v>
      </c>
      <c r="X28" s="657">
        <f t="shared" si="3"/>
        <v>61.250434928875535</v>
      </c>
      <c r="Y28" s="657">
        <f t="shared" si="3"/>
        <v>57.457157786413646</v>
      </c>
      <c r="Z28" s="657">
        <f t="shared" si="3"/>
        <v>53.898800632621771</v>
      </c>
    </row>
    <row r="29" spans="3:26" ht="16.5" customHeight="1" x14ac:dyDescent="0.2">
      <c r="C29" s="513"/>
      <c r="D29" s="65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</row>
    <row r="30" spans="3:26" ht="16.5" customHeight="1" x14ac:dyDescent="0.25">
      <c r="C30" s="513"/>
      <c r="D30" s="651" t="str">
        <f>'User Input'!D53</f>
        <v>Option 1: Provide In Meter Capabilities</v>
      </c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</row>
    <row r="31" spans="3:26" ht="16.5" customHeight="1" x14ac:dyDescent="0.25">
      <c r="C31" s="513"/>
      <c r="D31" s="499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</row>
    <row r="32" spans="3:26" ht="16.5" customHeight="1" x14ac:dyDescent="0.25">
      <c r="C32" s="513"/>
      <c r="D32" s="654"/>
      <c r="E32" s="711"/>
      <c r="F32" s="711"/>
      <c r="G32" s="711"/>
      <c r="H32" s="711"/>
      <c r="I32" s="711"/>
      <c r="J32" s="711"/>
      <c r="K32" s="711"/>
      <c r="L32" s="711"/>
      <c r="M32" s="711"/>
      <c r="N32" s="711"/>
      <c r="O32" s="711"/>
      <c r="P32" s="711"/>
      <c r="Q32" s="711"/>
      <c r="R32" s="711"/>
      <c r="S32" s="711"/>
      <c r="T32" s="711"/>
      <c r="U32" s="711"/>
      <c r="V32" s="711"/>
      <c r="W32" s="711"/>
      <c r="X32" s="711"/>
      <c r="Y32" s="711"/>
      <c r="Z32" s="711"/>
    </row>
    <row r="33" spans="3:26" ht="16.5" customHeight="1" x14ac:dyDescent="0.25">
      <c r="C33" s="513"/>
      <c r="D33" s="654"/>
      <c r="E33" s="655" t="s">
        <v>254</v>
      </c>
      <c r="F33" s="655">
        <f>'User Input'!$E$6</f>
        <v>2019</v>
      </c>
      <c r="G33" s="655">
        <f>F33+1</f>
        <v>2020</v>
      </c>
      <c r="H33" s="655">
        <f t="shared" ref="H33:Z33" si="4">G33+1</f>
        <v>2021</v>
      </c>
      <c r="I33" s="655">
        <f t="shared" si="4"/>
        <v>2022</v>
      </c>
      <c r="J33" s="655">
        <f t="shared" si="4"/>
        <v>2023</v>
      </c>
      <c r="K33" s="655">
        <f t="shared" si="4"/>
        <v>2024</v>
      </c>
      <c r="L33" s="655">
        <f t="shared" si="4"/>
        <v>2025</v>
      </c>
      <c r="M33" s="655">
        <f t="shared" si="4"/>
        <v>2026</v>
      </c>
      <c r="N33" s="655">
        <f t="shared" si="4"/>
        <v>2027</v>
      </c>
      <c r="O33" s="655">
        <f t="shared" si="4"/>
        <v>2028</v>
      </c>
      <c r="P33" s="655">
        <f t="shared" si="4"/>
        <v>2029</v>
      </c>
      <c r="Q33" s="655">
        <f t="shared" si="4"/>
        <v>2030</v>
      </c>
      <c r="R33" s="655">
        <f t="shared" si="4"/>
        <v>2031</v>
      </c>
      <c r="S33" s="655">
        <f t="shared" si="4"/>
        <v>2032</v>
      </c>
      <c r="T33" s="655">
        <f t="shared" si="4"/>
        <v>2033</v>
      </c>
      <c r="U33" s="655">
        <f t="shared" si="4"/>
        <v>2034</v>
      </c>
      <c r="V33" s="655">
        <f t="shared" si="4"/>
        <v>2035</v>
      </c>
      <c r="W33" s="655">
        <f t="shared" si="4"/>
        <v>2036</v>
      </c>
      <c r="X33" s="655">
        <f t="shared" si="4"/>
        <v>2037</v>
      </c>
      <c r="Y33" s="655">
        <f t="shared" si="4"/>
        <v>2038</v>
      </c>
      <c r="Z33" s="655">
        <f t="shared" si="4"/>
        <v>2039</v>
      </c>
    </row>
    <row r="34" spans="3:26" ht="16.5" customHeight="1" x14ac:dyDescent="0.2">
      <c r="C34" s="513"/>
      <c r="D34" s="656" t="str">
        <f>Calculations!C38</f>
        <v>Capital Costs</v>
      </c>
      <c r="E34" s="657">
        <f>SUM(F34:Z34)</f>
        <v>1801.3927485540428</v>
      </c>
      <c r="F34" s="659">
        <f>Calculations!E38/Calculations!E$9</f>
        <v>1038.1638899040736</v>
      </c>
      <c r="G34" s="659">
        <f>Calculations!F38/Calculations!F$9</f>
        <v>763.2288586499692</v>
      </c>
      <c r="H34" s="659">
        <f>Calculations!G38/Calculations!G$9</f>
        <v>0</v>
      </c>
      <c r="I34" s="659">
        <f>Calculations!H38/Calculations!H$9</f>
        <v>0</v>
      </c>
      <c r="J34" s="659">
        <f>Calculations!I38/Calculations!I$9</f>
        <v>0</v>
      </c>
      <c r="K34" s="659">
        <f>Calculations!J38/Calculations!J$9</f>
        <v>0</v>
      </c>
      <c r="L34" s="659">
        <f>Calculations!K38/Calculations!K$9</f>
        <v>0</v>
      </c>
      <c r="M34" s="659">
        <f>Calculations!L38/Calculations!L$9</f>
        <v>0</v>
      </c>
      <c r="N34" s="659">
        <f>Calculations!M38/Calculations!M$9</f>
        <v>0</v>
      </c>
      <c r="O34" s="659">
        <f>Calculations!N38/Calculations!N$9</f>
        <v>0</v>
      </c>
      <c r="P34" s="659">
        <f>Calculations!O38/Calculations!O$9</f>
        <v>0</v>
      </c>
      <c r="Q34" s="659">
        <f>Calculations!P38/Calculations!P$9</f>
        <v>0</v>
      </c>
      <c r="R34" s="659">
        <f>Calculations!Q38/Calculations!Q$9</f>
        <v>0</v>
      </c>
      <c r="S34" s="659">
        <f>Calculations!R38/Calculations!R$9</f>
        <v>0</v>
      </c>
      <c r="T34" s="659">
        <f>Calculations!S38/Calculations!S$9</f>
        <v>0</v>
      </c>
      <c r="U34" s="659">
        <f>Calculations!T38/Calculations!T$9</f>
        <v>0</v>
      </c>
      <c r="V34" s="659">
        <f>Calculations!U38/Calculations!U$9</f>
        <v>0</v>
      </c>
      <c r="W34" s="659">
        <f>Calculations!V38/Calculations!V$9</f>
        <v>0</v>
      </c>
      <c r="X34" s="659">
        <f>Calculations!W38/Calculations!W$9</f>
        <v>0</v>
      </c>
      <c r="Y34" s="659">
        <f>Calculations!X38/Calculations!X$9</f>
        <v>0</v>
      </c>
      <c r="Z34" s="659">
        <f>Calculations!Y38/Calculations!Y$9</f>
        <v>0</v>
      </c>
    </row>
    <row r="35" spans="3:26" ht="16.5" customHeight="1" x14ac:dyDescent="0.2">
      <c r="C35" s="513"/>
      <c r="D35" s="656" t="str">
        <f>Calculations!C39</f>
        <v>Maintenance Costs</v>
      </c>
      <c r="E35" s="657">
        <f>SUM(F35:Z35)</f>
        <v>0</v>
      </c>
      <c r="F35" s="659">
        <f>Calculations!E39/Calculations!E$9</f>
        <v>0</v>
      </c>
      <c r="G35" s="659">
        <f>Calculations!F39/Calculations!F$9</f>
        <v>0</v>
      </c>
      <c r="H35" s="659">
        <f>Calculations!G39/Calculations!G$9</f>
        <v>0</v>
      </c>
      <c r="I35" s="659">
        <f>Calculations!H39/Calculations!H$9</f>
        <v>0</v>
      </c>
      <c r="J35" s="659">
        <f>Calculations!I39/Calculations!I$9</f>
        <v>0</v>
      </c>
      <c r="K35" s="659">
        <f>Calculations!J39/Calculations!J$9</f>
        <v>0</v>
      </c>
      <c r="L35" s="659">
        <f>Calculations!K39/Calculations!K$9</f>
        <v>0</v>
      </c>
      <c r="M35" s="659">
        <f>Calculations!L39/Calculations!L$9</f>
        <v>0</v>
      </c>
      <c r="N35" s="659">
        <f>Calculations!M39/Calculations!M$9</f>
        <v>0</v>
      </c>
      <c r="O35" s="659">
        <f>Calculations!N39/Calculations!N$9</f>
        <v>0</v>
      </c>
      <c r="P35" s="659">
        <f>Calculations!O39/Calculations!O$9</f>
        <v>0</v>
      </c>
      <c r="Q35" s="659">
        <f>Calculations!P39/Calculations!P$9</f>
        <v>0</v>
      </c>
      <c r="R35" s="659">
        <f>Calculations!Q39/Calculations!Q$9</f>
        <v>0</v>
      </c>
      <c r="S35" s="659">
        <f>Calculations!R39/Calculations!R$9</f>
        <v>0</v>
      </c>
      <c r="T35" s="659">
        <f>Calculations!S39/Calculations!S$9</f>
        <v>0</v>
      </c>
      <c r="U35" s="659">
        <f>Calculations!T39/Calculations!T$9</f>
        <v>0</v>
      </c>
      <c r="V35" s="659">
        <f>Calculations!U39/Calculations!U$9</f>
        <v>0</v>
      </c>
      <c r="W35" s="659">
        <f>Calculations!V39/Calculations!V$9</f>
        <v>0</v>
      </c>
      <c r="X35" s="659">
        <f>Calculations!W39/Calculations!W$9</f>
        <v>0</v>
      </c>
      <c r="Y35" s="659">
        <f>Calculations!X39/Calculations!X$9</f>
        <v>0</v>
      </c>
      <c r="Z35" s="659">
        <f>Calculations!Y39/Calculations!Y$9</f>
        <v>0</v>
      </c>
    </row>
    <row r="36" spans="3:26" ht="16.5" customHeight="1" x14ac:dyDescent="0.2">
      <c r="C36" s="513"/>
      <c r="D36" s="656" t="str">
        <f>Calculations!C40</f>
        <v>Negative Impact on Revenue (STPIS)</v>
      </c>
      <c r="E36" s="657">
        <f t="shared" ref="E36:Z36" si="5">SUM(E37:E40)</f>
        <v>0</v>
      </c>
      <c r="F36" s="657">
        <f t="shared" si="5"/>
        <v>0</v>
      </c>
      <c r="G36" s="657">
        <f t="shared" si="5"/>
        <v>0</v>
      </c>
      <c r="H36" s="657">
        <f t="shared" si="5"/>
        <v>0</v>
      </c>
      <c r="I36" s="657">
        <f t="shared" si="5"/>
        <v>0</v>
      </c>
      <c r="J36" s="657">
        <f t="shared" si="5"/>
        <v>0</v>
      </c>
      <c r="K36" s="657">
        <f t="shared" si="5"/>
        <v>0</v>
      </c>
      <c r="L36" s="657">
        <f t="shared" si="5"/>
        <v>0</v>
      </c>
      <c r="M36" s="657">
        <f t="shared" si="5"/>
        <v>0</v>
      </c>
      <c r="N36" s="657">
        <f t="shared" si="5"/>
        <v>0</v>
      </c>
      <c r="O36" s="657">
        <f t="shared" si="5"/>
        <v>0</v>
      </c>
      <c r="P36" s="657">
        <f t="shared" si="5"/>
        <v>0</v>
      </c>
      <c r="Q36" s="657">
        <f t="shared" si="5"/>
        <v>0</v>
      </c>
      <c r="R36" s="657">
        <f t="shared" si="5"/>
        <v>0</v>
      </c>
      <c r="S36" s="657">
        <f t="shared" si="5"/>
        <v>0</v>
      </c>
      <c r="T36" s="657">
        <f t="shared" si="5"/>
        <v>0</v>
      </c>
      <c r="U36" s="657">
        <f t="shared" si="5"/>
        <v>0</v>
      </c>
      <c r="V36" s="657">
        <f t="shared" si="5"/>
        <v>0</v>
      </c>
      <c r="W36" s="657">
        <f t="shared" si="5"/>
        <v>0</v>
      </c>
      <c r="X36" s="657">
        <f t="shared" si="5"/>
        <v>0</v>
      </c>
      <c r="Y36" s="657">
        <f t="shared" si="5"/>
        <v>0</v>
      </c>
      <c r="Z36" s="657">
        <f t="shared" si="5"/>
        <v>0</v>
      </c>
    </row>
    <row r="37" spans="3:26" ht="16.5" customHeight="1" x14ac:dyDescent="0.2">
      <c r="C37" s="513"/>
      <c r="D37" s="660" t="str">
        <f>Calculations!C41</f>
        <v>SAIFI sustained</v>
      </c>
      <c r="E37" s="657">
        <f t="shared" ref="E37:E52" si="6">SUM(F37:Z37)</f>
        <v>0</v>
      </c>
      <c r="F37" s="659">
        <f>Calculations!E41/Calculations!E$9</f>
        <v>0</v>
      </c>
      <c r="G37" s="659">
        <f>Calculations!F41/Calculations!F$9</f>
        <v>0</v>
      </c>
      <c r="H37" s="659">
        <f>Calculations!G41/Calculations!G$9</f>
        <v>0</v>
      </c>
      <c r="I37" s="659">
        <f>Calculations!H41/Calculations!H$9</f>
        <v>0</v>
      </c>
      <c r="J37" s="659">
        <f>Calculations!I41/Calculations!I$9</f>
        <v>0</v>
      </c>
      <c r="K37" s="659">
        <f>Calculations!J41/Calculations!J$9</f>
        <v>0</v>
      </c>
      <c r="L37" s="659">
        <f>Calculations!K41/Calculations!K$9</f>
        <v>0</v>
      </c>
      <c r="M37" s="659">
        <f>Calculations!L41/Calculations!L$9</f>
        <v>0</v>
      </c>
      <c r="N37" s="659">
        <f>Calculations!M41/Calculations!M$9</f>
        <v>0</v>
      </c>
      <c r="O37" s="659">
        <f>Calculations!N41/Calculations!N$9</f>
        <v>0</v>
      </c>
      <c r="P37" s="659">
        <f>Calculations!O41/Calculations!O$9</f>
        <v>0</v>
      </c>
      <c r="Q37" s="659">
        <f>Calculations!P41/Calculations!P$9</f>
        <v>0</v>
      </c>
      <c r="R37" s="659">
        <f>Calculations!Q41/Calculations!Q$9</f>
        <v>0</v>
      </c>
      <c r="S37" s="659">
        <f>Calculations!R41/Calculations!R$9</f>
        <v>0</v>
      </c>
      <c r="T37" s="659">
        <f>Calculations!S41/Calculations!S$9</f>
        <v>0</v>
      </c>
      <c r="U37" s="659">
        <f>Calculations!T41/Calculations!T$9</f>
        <v>0</v>
      </c>
      <c r="V37" s="659">
        <f>Calculations!U41/Calculations!U$9</f>
        <v>0</v>
      </c>
      <c r="W37" s="659">
        <f>Calculations!V41/Calculations!V$9</f>
        <v>0</v>
      </c>
      <c r="X37" s="659">
        <f>Calculations!W41/Calculations!W$9</f>
        <v>0</v>
      </c>
      <c r="Y37" s="659">
        <f>Calculations!X41/Calculations!X$9</f>
        <v>0</v>
      </c>
      <c r="Z37" s="659">
        <f>Calculations!Y41/Calculations!Y$9</f>
        <v>0</v>
      </c>
    </row>
    <row r="38" spans="3:26" ht="16.5" customHeight="1" x14ac:dyDescent="0.2">
      <c r="C38" s="513"/>
      <c r="D38" s="660" t="str">
        <f>Calculations!C42</f>
        <v>SAIDI accidental</v>
      </c>
      <c r="E38" s="657">
        <f t="shared" si="6"/>
        <v>0</v>
      </c>
      <c r="F38" s="659">
        <f>Calculations!E42/Calculations!E$9</f>
        <v>0</v>
      </c>
      <c r="G38" s="659">
        <f>Calculations!F42/Calculations!F$9</f>
        <v>0</v>
      </c>
      <c r="H38" s="659">
        <f>Calculations!G42/Calculations!G$9</f>
        <v>0</v>
      </c>
      <c r="I38" s="659">
        <f>Calculations!H42/Calculations!H$9</f>
        <v>0</v>
      </c>
      <c r="J38" s="659">
        <f>Calculations!I42/Calculations!I$9</f>
        <v>0</v>
      </c>
      <c r="K38" s="659">
        <f>Calculations!J42/Calculations!J$9</f>
        <v>0</v>
      </c>
      <c r="L38" s="659">
        <f>Calculations!K42/Calculations!K$9</f>
        <v>0</v>
      </c>
      <c r="M38" s="659">
        <f>Calculations!L42/Calculations!L$9</f>
        <v>0</v>
      </c>
      <c r="N38" s="659">
        <f>Calculations!M42/Calculations!M$9</f>
        <v>0</v>
      </c>
      <c r="O38" s="659">
        <f>Calculations!N42/Calculations!N$9</f>
        <v>0</v>
      </c>
      <c r="P38" s="659">
        <f>Calculations!O42/Calculations!O$9</f>
        <v>0</v>
      </c>
      <c r="Q38" s="659">
        <f>Calculations!P42/Calculations!P$9</f>
        <v>0</v>
      </c>
      <c r="R38" s="659">
        <f>Calculations!Q42/Calculations!Q$9</f>
        <v>0</v>
      </c>
      <c r="S38" s="659">
        <f>Calculations!R42/Calculations!R$9</f>
        <v>0</v>
      </c>
      <c r="T38" s="659">
        <f>Calculations!S42/Calculations!S$9</f>
        <v>0</v>
      </c>
      <c r="U38" s="659">
        <f>Calculations!T42/Calculations!T$9</f>
        <v>0</v>
      </c>
      <c r="V38" s="659">
        <f>Calculations!U42/Calculations!U$9</f>
        <v>0</v>
      </c>
      <c r="W38" s="659">
        <f>Calculations!V42/Calculations!V$9</f>
        <v>0</v>
      </c>
      <c r="X38" s="659">
        <f>Calculations!W42/Calculations!W$9</f>
        <v>0</v>
      </c>
      <c r="Y38" s="659">
        <f>Calculations!X42/Calculations!X$9</f>
        <v>0</v>
      </c>
      <c r="Z38" s="659">
        <f>Calculations!Y42/Calculations!Y$9</f>
        <v>0</v>
      </c>
    </row>
    <row r="39" spans="3:26" ht="16.5" customHeight="1" x14ac:dyDescent="0.2">
      <c r="C39" s="513"/>
      <c r="D39" s="660" t="str">
        <f>Calculations!C43</f>
        <v>MAIFI momentary</v>
      </c>
      <c r="E39" s="657">
        <f t="shared" si="6"/>
        <v>0</v>
      </c>
      <c r="F39" s="659">
        <f>Calculations!E43/Calculations!E$9</f>
        <v>0</v>
      </c>
      <c r="G39" s="659">
        <f>Calculations!F43/Calculations!F$9</f>
        <v>0</v>
      </c>
      <c r="H39" s="659">
        <f>Calculations!G43/Calculations!G$9</f>
        <v>0</v>
      </c>
      <c r="I39" s="659">
        <f>Calculations!H43/Calculations!H$9</f>
        <v>0</v>
      </c>
      <c r="J39" s="659">
        <f>Calculations!I43/Calculations!I$9</f>
        <v>0</v>
      </c>
      <c r="K39" s="659">
        <f>Calculations!J43/Calculations!J$9</f>
        <v>0</v>
      </c>
      <c r="L39" s="659">
        <f>Calculations!K43/Calculations!K$9</f>
        <v>0</v>
      </c>
      <c r="M39" s="659">
        <f>Calculations!L43/Calculations!L$9</f>
        <v>0</v>
      </c>
      <c r="N39" s="659">
        <f>Calculations!M43/Calculations!M$9</f>
        <v>0</v>
      </c>
      <c r="O39" s="659">
        <f>Calculations!N43/Calculations!N$9</f>
        <v>0</v>
      </c>
      <c r="P39" s="659">
        <f>Calculations!O43/Calculations!O$9</f>
        <v>0</v>
      </c>
      <c r="Q39" s="659">
        <f>Calculations!P43/Calculations!P$9</f>
        <v>0</v>
      </c>
      <c r="R39" s="659">
        <f>Calculations!Q43/Calculations!Q$9</f>
        <v>0</v>
      </c>
      <c r="S39" s="659">
        <f>Calculations!R43/Calculations!R$9</f>
        <v>0</v>
      </c>
      <c r="T39" s="659">
        <f>Calculations!S43/Calculations!S$9</f>
        <v>0</v>
      </c>
      <c r="U39" s="659">
        <f>Calculations!T43/Calculations!T$9</f>
        <v>0</v>
      </c>
      <c r="V39" s="659">
        <f>Calculations!U43/Calculations!U$9</f>
        <v>0</v>
      </c>
      <c r="W39" s="659">
        <f>Calculations!V43/Calculations!V$9</f>
        <v>0</v>
      </c>
      <c r="X39" s="659">
        <f>Calculations!W43/Calculations!W$9</f>
        <v>0</v>
      </c>
      <c r="Y39" s="659">
        <f>Calculations!X43/Calculations!X$9</f>
        <v>0</v>
      </c>
      <c r="Z39" s="659">
        <f>Calculations!Y43/Calculations!Y$9</f>
        <v>0</v>
      </c>
    </row>
    <row r="40" spans="3:26" ht="16.5" customHeight="1" x14ac:dyDescent="0.2">
      <c r="C40" s="513"/>
      <c r="D40" s="660" t="str">
        <f>Calculations!C44</f>
        <v>Call centre response</v>
      </c>
      <c r="E40" s="657">
        <f t="shared" si="6"/>
        <v>0</v>
      </c>
      <c r="F40" s="659">
        <f>Calculations!E44/Calculations!E$9</f>
        <v>0</v>
      </c>
      <c r="G40" s="659">
        <f>Calculations!F44/Calculations!F$9</f>
        <v>0</v>
      </c>
      <c r="H40" s="659">
        <f>Calculations!G44/Calculations!G$9</f>
        <v>0</v>
      </c>
      <c r="I40" s="659">
        <f>Calculations!H44/Calculations!H$9</f>
        <v>0</v>
      </c>
      <c r="J40" s="659">
        <f>Calculations!I44/Calculations!I$9</f>
        <v>0</v>
      </c>
      <c r="K40" s="659">
        <f>Calculations!J44/Calculations!J$9</f>
        <v>0</v>
      </c>
      <c r="L40" s="659">
        <f>Calculations!K44/Calculations!K$9</f>
        <v>0</v>
      </c>
      <c r="M40" s="659">
        <f>Calculations!L44/Calculations!L$9</f>
        <v>0</v>
      </c>
      <c r="N40" s="659">
        <f>Calculations!M44/Calculations!M$9</f>
        <v>0</v>
      </c>
      <c r="O40" s="659">
        <f>Calculations!N44/Calculations!N$9</f>
        <v>0</v>
      </c>
      <c r="P40" s="659">
        <f>Calculations!O44/Calculations!O$9</f>
        <v>0</v>
      </c>
      <c r="Q40" s="659">
        <f>Calculations!P44/Calculations!P$9</f>
        <v>0</v>
      </c>
      <c r="R40" s="659">
        <f>Calculations!Q44/Calculations!Q$9</f>
        <v>0</v>
      </c>
      <c r="S40" s="659">
        <f>Calculations!R44/Calculations!R$9</f>
        <v>0</v>
      </c>
      <c r="T40" s="659">
        <f>Calculations!S44/Calculations!S$9</f>
        <v>0</v>
      </c>
      <c r="U40" s="659">
        <f>Calculations!T44/Calculations!T$9</f>
        <v>0</v>
      </c>
      <c r="V40" s="659">
        <f>Calculations!U44/Calculations!U$9</f>
        <v>0</v>
      </c>
      <c r="W40" s="659">
        <f>Calculations!V44/Calculations!V$9</f>
        <v>0</v>
      </c>
      <c r="X40" s="659">
        <f>Calculations!W44/Calculations!W$9</f>
        <v>0</v>
      </c>
      <c r="Y40" s="659">
        <f>Calculations!X44/Calculations!X$9</f>
        <v>0</v>
      </c>
      <c r="Z40" s="659">
        <f>Calculations!Y44/Calculations!Y$9</f>
        <v>0</v>
      </c>
    </row>
    <row r="41" spans="3:26" ht="16.5" customHeight="1" x14ac:dyDescent="0.2">
      <c r="C41" s="513"/>
      <c r="D41" s="656" t="str">
        <f>Calculations!C45</f>
        <v>Network Outage Costs</v>
      </c>
      <c r="E41" s="657">
        <f t="shared" si="6"/>
        <v>0</v>
      </c>
      <c r="F41" s="659">
        <f>Calculations!E45/Calculations!E$9</f>
        <v>0</v>
      </c>
      <c r="G41" s="659">
        <f>Calculations!F45/Calculations!F$9</f>
        <v>0</v>
      </c>
      <c r="H41" s="659">
        <f>Calculations!G45/Calculations!G$9</f>
        <v>0</v>
      </c>
      <c r="I41" s="659">
        <f>Calculations!H45/Calculations!H$9</f>
        <v>0</v>
      </c>
      <c r="J41" s="659">
        <f>Calculations!I45/Calculations!I$9</f>
        <v>0</v>
      </c>
      <c r="K41" s="659">
        <f>Calculations!J45/Calculations!J$9</f>
        <v>0</v>
      </c>
      <c r="L41" s="659">
        <f>Calculations!K45/Calculations!K$9</f>
        <v>0</v>
      </c>
      <c r="M41" s="659">
        <f>Calculations!L45/Calculations!L$9</f>
        <v>0</v>
      </c>
      <c r="N41" s="659">
        <f>Calculations!M45/Calculations!M$9</f>
        <v>0</v>
      </c>
      <c r="O41" s="659">
        <f>Calculations!N45/Calculations!N$9</f>
        <v>0</v>
      </c>
      <c r="P41" s="659">
        <f>Calculations!O45/Calculations!O$9</f>
        <v>0</v>
      </c>
      <c r="Q41" s="659">
        <f>Calculations!P45/Calculations!P$9</f>
        <v>0</v>
      </c>
      <c r="R41" s="659">
        <f>Calculations!Q45/Calculations!Q$9</f>
        <v>0</v>
      </c>
      <c r="S41" s="659">
        <f>Calculations!R45/Calculations!R$9</f>
        <v>0</v>
      </c>
      <c r="T41" s="659">
        <f>Calculations!S45/Calculations!S$9</f>
        <v>0</v>
      </c>
      <c r="U41" s="659">
        <f>Calculations!T45/Calculations!T$9</f>
        <v>0</v>
      </c>
      <c r="V41" s="659">
        <f>Calculations!U45/Calculations!U$9</f>
        <v>0</v>
      </c>
      <c r="W41" s="659">
        <f>Calculations!V45/Calculations!V$9</f>
        <v>0</v>
      </c>
      <c r="X41" s="659">
        <f>Calculations!W45/Calculations!W$9</f>
        <v>0</v>
      </c>
      <c r="Y41" s="659">
        <f>Calculations!X45/Calculations!X$9</f>
        <v>0</v>
      </c>
      <c r="Z41" s="659">
        <f>Calculations!Y45/Calculations!Y$9</f>
        <v>0</v>
      </c>
    </row>
    <row r="42" spans="3:26" ht="16.5" customHeight="1" x14ac:dyDescent="0.2">
      <c r="C42" s="513"/>
      <c r="D42" s="656" t="str">
        <f>Calculations!C46</f>
        <v>Loss of F Factor Benefit</v>
      </c>
      <c r="E42" s="657">
        <f t="shared" si="6"/>
        <v>0</v>
      </c>
      <c r="F42" s="659">
        <f>Calculations!E46/Calculations!E$9</f>
        <v>0</v>
      </c>
      <c r="G42" s="659">
        <f>Calculations!F46/Calculations!F$9</f>
        <v>0</v>
      </c>
      <c r="H42" s="659">
        <f>Calculations!G46/Calculations!G$9</f>
        <v>0</v>
      </c>
      <c r="I42" s="659">
        <f>Calculations!H46/Calculations!H$9</f>
        <v>0</v>
      </c>
      <c r="J42" s="659">
        <f>Calculations!I46/Calculations!I$9</f>
        <v>0</v>
      </c>
      <c r="K42" s="659">
        <f>Calculations!J46/Calculations!J$9</f>
        <v>0</v>
      </c>
      <c r="L42" s="659">
        <f>Calculations!K46/Calculations!K$9</f>
        <v>0</v>
      </c>
      <c r="M42" s="659">
        <f>Calculations!L46/Calculations!L$9</f>
        <v>0</v>
      </c>
      <c r="N42" s="659">
        <f>Calculations!M46/Calculations!M$9</f>
        <v>0</v>
      </c>
      <c r="O42" s="659">
        <f>Calculations!N46/Calculations!N$9</f>
        <v>0</v>
      </c>
      <c r="P42" s="659">
        <f>Calculations!O46/Calculations!O$9</f>
        <v>0</v>
      </c>
      <c r="Q42" s="659">
        <f>Calculations!P46/Calculations!P$9</f>
        <v>0</v>
      </c>
      <c r="R42" s="659">
        <f>Calculations!Q46/Calculations!Q$9</f>
        <v>0</v>
      </c>
      <c r="S42" s="659">
        <f>Calculations!R46/Calculations!R$9</f>
        <v>0</v>
      </c>
      <c r="T42" s="659">
        <f>Calculations!S46/Calculations!S$9</f>
        <v>0</v>
      </c>
      <c r="U42" s="659">
        <f>Calculations!T46/Calculations!T$9</f>
        <v>0</v>
      </c>
      <c r="V42" s="659">
        <f>Calculations!U46/Calculations!U$9</f>
        <v>0</v>
      </c>
      <c r="W42" s="659">
        <f>Calculations!V46/Calculations!V$9</f>
        <v>0</v>
      </c>
      <c r="X42" s="659">
        <f>Calculations!W46/Calculations!W$9</f>
        <v>0</v>
      </c>
      <c r="Y42" s="659">
        <f>Calculations!X46/Calculations!X$9</f>
        <v>0</v>
      </c>
      <c r="Z42" s="659">
        <f>Calculations!Y46/Calculations!Y$9</f>
        <v>0</v>
      </c>
    </row>
    <row r="43" spans="3:26" ht="16.5" customHeight="1" x14ac:dyDescent="0.2">
      <c r="C43" s="513"/>
      <c r="D43" s="656" t="str">
        <f>Calculations!C47</f>
        <v>Cost 1</v>
      </c>
      <c r="E43" s="657">
        <f t="shared" si="6"/>
        <v>0</v>
      </c>
      <c r="F43" s="659">
        <f>Calculations!E47/Calculations!E$9</f>
        <v>0</v>
      </c>
      <c r="G43" s="659">
        <f>Calculations!F47/Calculations!F$9</f>
        <v>0</v>
      </c>
      <c r="H43" s="659">
        <f>Calculations!G47/Calculations!G$9</f>
        <v>0</v>
      </c>
      <c r="I43" s="659">
        <f>Calculations!H47/Calculations!H$9</f>
        <v>0</v>
      </c>
      <c r="J43" s="659">
        <f>Calculations!I47/Calculations!I$9</f>
        <v>0</v>
      </c>
      <c r="K43" s="659">
        <f>Calculations!J47/Calculations!J$9</f>
        <v>0</v>
      </c>
      <c r="L43" s="659">
        <f>Calculations!K47/Calculations!K$9</f>
        <v>0</v>
      </c>
      <c r="M43" s="659">
        <f>Calculations!L47/Calculations!L$9</f>
        <v>0</v>
      </c>
      <c r="N43" s="659">
        <f>Calculations!M47/Calculations!M$9</f>
        <v>0</v>
      </c>
      <c r="O43" s="659">
        <f>Calculations!N47/Calculations!N$9</f>
        <v>0</v>
      </c>
      <c r="P43" s="659">
        <f>Calculations!O47/Calculations!O$9</f>
        <v>0</v>
      </c>
      <c r="Q43" s="659">
        <f>Calculations!P47/Calculations!P$9</f>
        <v>0</v>
      </c>
      <c r="R43" s="659">
        <f>Calculations!Q47/Calculations!Q$9</f>
        <v>0</v>
      </c>
      <c r="S43" s="659">
        <f>Calculations!R47/Calculations!R$9</f>
        <v>0</v>
      </c>
      <c r="T43" s="659">
        <f>Calculations!S47/Calculations!S$9</f>
        <v>0</v>
      </c>
      <c r="U43" s="659">
        <f>Calculations!T47/Calculations!T$9</f>
        <v>0</v>
      </c>
      <c r="V43" s="659">
        <f>Calculations!U47/Calculations!U$9</f>
        <v>0</v>
      </c>
      <c r="W43" s="659">
        <f>Calculations!V47/Calculations!V$9</f>
        <v>0</v>
      </c>
      <c r="X43" s="659">
        <f>Calculations!W47/Calculations!W$9</f>
        <v>0</v>
      </c>
      <c r="Y43" s="659">
        <f>Calculations!X47/Calculations!X$9</f>
        <v>0</v>
      </c>
      <c r="Z43" s="659">
        <f>Calculations!Y47/Calculations!Y$9</f>
        <v>0</v>
      </c>
    </row>
    <row r="44" spans="3:26" ht="16.5" customHeight="1" x14ac:dyDescent="0.2">
      <c r="C44" s="513"/>
      <c r="D44" s="656" t="str">
        <f>Calculations!C48</f>
        <v>Cost 2</v>
      </c>
      <c r="E44" s="657">
        <f t="shared" si="6"/>
        <v>0</v>
      </c>
      <c r="F44" s="659">
        <f>Calculations!E48/Calculations!E$9</f>
        <v>0</v>
      </c>
      <c r="G44" s="659">
        <f>Calculations!F48/Calculations!F$9</f>
        <v>0</v>
      </c>
      <c r="H44" s="659">
        <f>Calculations!G48/Calculations!G$9</f>
        <v>0</v>
      </c>
      <c r="I44" s="659">
        <f>Calculations!H48/Calculations!H$9</f>
        <v>0</v>
      </c>
      <c r="J44" s="659">
        <f>Calculations!I48/Calculations!I$9</f>
        <v>0</v>
      </c>
      <c r="K44" s="659">
        <f>Calculations!J48/Calculations!J$9</f>
        <v>0</v>
      </c>
      <c r="L44" s="659">
        <f>Calculations!K48/Calculations!K$9</f>
        <v>0</v>
      </c>
      <c r="M44" s="659">
        <f>Calculations!L48/Calculations!L$9</f>
        <v>0</v>
      </c>
      <c r="N44" s="659">
        <f>Calculations!M48/Calculations!M$9</f>
        <v>0</v>
      </c>
      <c r="O44" s="659">
        <f>Calculations!N48/Calculations!N$9</f>
        <v>0</v>
      </c>
      <c r="P44" s="659">
        <f>Calculations!O48/Calculations!O$9</f>
        <v>0</v>
      </c>
      <c r="Q44" s="659">
        <f>Calculations!P48/Calculations!P$9</f>
        <v>0</v>
      </c>
      <c r="R44" s="659">
        <f>Calculations!Q48/Calculations!Q$9</f>
        <v>0</v>
      </c>
      <c r="S44" s="659">
        <f>Calculations!R48/Calculations!R$9</f>
        <v>0</v>
      </c>
      <c r="T44" s="659">
        <f>Calculations!S48/Calculations!S$9</f>
        <v>0</v>
      </c>
      <c r="U44" s="659">
        <f>Calculations!T48/Calculations!T$9</f>
        <v>0</v>
      </c>
      <c r="V44" s="659">
        <f>Calculations!U48/Calculations!U$9</f>
        <v>0</v>
      </c>
      <c r="W44" s="659">
        <f>Calculations!V48/Calculations!V$9</f>
        <v>0</v>
      </c>
      <c r="X44" s="659">
        <f>Calculations!W48/Calculations!W$9</f>
        <v>0</v>
      </c>
      <c r="Y44" s="659">
        <f>Calculations!X48/Calculations!X$9</f>
        <v>0</v>
      </c>
      <c r="Z44" s="659">
        <f>Calculations!Y48/Calculations!Y$9</f>
        <v>0</v>
      </c>
    </row>
    <row r="45" spans="3:26" ht="16.5" customHeight="1" x14ac:dyDescent="0.2">
      <c r="C45" s="513"/>
      <c r="D45" s="656" t="str">
        <f>Calculations!C49</f>
        <v>Cost 3</v>
      </c>
      <c r="E45" s="657">
        <f t="shared" si="6"/>
        <v>0</v>
      </c>
      <c r="F45" s="659">
        <f>Calculations!E49/Calculations!E$9</f>
        <v>0</v>
      </c>
      <c r="G45" s="659">
        <f>Calculations!F49/Calculations!F$9</f>
        <v>0</v>
      </c>
      <c r="H45" s="659">
        <f>Calculations!G49/Calculations!G$9</f>
        <v>0</v>
      </c>
      <c r="I45" s="659">
        <f>Calculations!H49/Calculations!H$9</f>
        <v>0</v>
      </c>
      <c r="J45" s="659">
        <f>Calculations!I49/Calculations!I$9</f>
        <v>0</v>
      </c>
      <c r="K45" s="659">
        <f>Calculations!J49/Calculations!J$9</f>
        <v>0</v>
      </c>
      <c r="L45" s="659">
        <f>Calculations!K49/Calculations!K$9</f>
        <v>0</v>
      </c>
      <c r="M45" s="659">
        <f>Calculations!L49/Calculations!L$9</f>
        <v>0</v>
      </c>
      <c r="N45" s="659">
        <f>Calculations!M49/Calculations!M$9</f>
        <v>0</v>
      </c>
      <c r="O45" s="659">
        <f>Calculations!N49/Calculations!N$9</f>
        <v>0</v>
      </c>
      <c r="P45" s="659">
        <f>Calculations!O49/Calculations!O$9</f>
        <v>0</v>
      </c>
      <c r="Q45" s="659">
        <f>Calculations!P49/Calculations!P$9</f>
        <v>0</v>
      </c>
      <c r="R45" s="659">
        <f>Calculations!Q49/Calculations!Q$9</f>
        <v>0</v>
      </c>
      <c r="S45" s="659">
        <f>Calculations!R49/Calculations!R$9</f>
        <v>0</v>
      </c>
      <c r="T45" s="659">
        <f>Calculations!S49/Calculations!S$9</f>
        <v>0</v>
      </c>
      <c r="U45" s="659">
        <f>Calculations!T49/Calculations!T$9</f>
        <v>0</v>
      </c>
      <c r="V45" s="659">
        <f>Calculations!U49/Calculations!U$9</f>
        <v>0</v>
      </c>
      <c r="W45" s="659">
        <f>Calculations!V49/Calculations!V$9</f>
        <v>0</v>
      </c>
      <c r="X45" s="659">
        <f>Calculations!W49/Calculations!W$9</f>
        <v>0</v>
      </c>
      <c r="Y45" s="659">
        <f>Calculations!X49/Calculations!X$9</f>
        <v>0</v>
      </c>
      <c r="Z45" s="659">
        <f>Calculations!Y49/Calculations!Y$9</f>
        <v>0</v>
      </c>
    </row>
    <row r="46" spans="3:26" ht="16.5" customHeight="1" x14ac:dyDescent="0.2">
      <c r="C46" s="513"/>
      <c r="D46" s="656" t="str">
        <f>Calculations!C50</f>
        <v>Cost 4</v>
      </c>
      <c r="E46" s="657">
        <f t="shared" si="6"/>
        <v>0</v>
      </c>
      <c r="F46" s="659">
        <f>Calculations!E50/Calculations!E$9</f>
        <v>0</v>
      </c>
      <c r="G46" s="659">
        <f>Calculations!F50/Calculations!F$9</f>
        <v>0</v>
      </c>
      <c r="H46" s="659">
        <f>Calculations!G50/Calculations!G$9</f>
        <v>0</v>
      </c>
      <c r="I46" s="659">
        <f>Calculations!H50/Calculations!H$9</f>
        <v>0</v>
      </c>
      <c r="J46" s="659">
        <f>Calculations!I50/Calculations!I$9</f>
        <v>0</v>
      </c>
      <c r="K46" s="659">
        <f>Calculations!J50/Calculations!J$9</f>
        <v>0</v>
      </c>
      <c r="L46" s="659">
        <f>Calculations!K50/Calculations!K$9</f>
        <v>0</v>
      </c>
      <c r="M46" s="659">
        <f>Calculations!L50/Calculations!L$9</f>
        <v>0</v>
      </c>
      <c r="N46" s="659">
        <f>Calculations!M50/Calculations!M$9</f>
        <v>0</v>
      </c>
      <c r="O46" s="659">
        <f>Calculations!N50/Calculations!N$9</f>
        <v>0</v>
      </c>
      <c r="P46" s="659">
        <f>Calculations!O50/Calculations!O$9</f>
        <v>0</v>
      </c>
      <c r="Q46" s="659">
        <f>Calculations!P50/Calculations!P$9</f>
        <v>0</v>
      </c>
      <c r="R46" s="659">
        <f>Calculations!Q50/Calculations!Q$9</f>
        <v>0</v>
      </c>
      <c r="S46" s="659">
        <f>Calculations!R50/Calculations!R$9</f>
        <v>0</v>
      </c>
      <c r="T46" s="659">
        <f>Calculations!S50/Calculations!S$9</f>
        <v>0</v>
      </c>
      <c r="U46" s="659">
        <f>Calculations!T50/Calculations!T$9</f>
        <v>0</v>
      </c>
      <c r="V46" s="659">
        <f>Calculations!U50/Calculations!U$9</f>
        <v>0</v>
      </c>
      <c r="W46" s="659">
        <f>Calculations!V50/Calculations!V$9</f>
        <v>0</v>
      </c>
      <c r="X46" s="659">
        <f>Calculations!W50/Calculations!W$9</f>
        <v>0</v>
      </c>
      <c r="Y46" s="659">
        <f>Calculations!X50/Calculations!X$9</f>
        <v>0</v>
      </c>
      <c r="Z46" s="659">
        <f>Calculations!Y50/Calculations!Y$9</f>
        <v>0</v>
      </c>
    </row>
    <row r="47" spans="3:26" ht="16.5" customHeight="1" x14ac:dyDescent="0.2">
      <c r="C47" s="513"/>
      <c r="D47" s="656" t="str">
        <f>Calculations!C51</f>
        <v>Cost 5</v>
      </c>
      <c r="E47" s="657">
        <f t="shared" si="6"/>
        <v>0</v>
      </c>
      <c r="F47" s="659">
        <f>Calculations!E51/Calculations!E$9</f>
        <v>0</v>
      </c>
      <c r="G47" s="659">
        <f>Calculations!F51/Calculations!F$9</f>
        <v>0</v>
      </c>
      <c r="H47" s="659">
        <f>Calculations!G51/Calculations!G$9</f>
        <v>0</v>
      </c>
      <c r="I47" s="659">
        <f>Calculations!H51/Calculations!H$9</f>
        <v>0</v>
      </c>
      <c r="J47" s="659">
        <f>Calculations!I51/Calculations!I$9</f>
        <v>0</v>
      </c>
      <c r="K47" s="659">
        <f>Calculations!J51/Calculations!J$9</f>
        <v>0</v>
      </c>
      <c r="L47" s="659">
        <f>Calculations!K51/Calculations!K$9</f>
        <v>0</v>
      </c>
      <c r="M47" s="659">
        <f>Calculations!L51/Calculations!L$9</f>
        <v>0</v>
      </c>
      <c r="N47" s="659">
        <f>Calculations!M51/Calculations!M$9</f>
        <v>0</v>
      </c>
      <c r="O47" s="659">
        <f>Calculations!N51/Calculations!N$9</f>
        <v>0</v>
      </c>
      <c r="P47" s="659">
        <f>Calculations!O51/Calculations!O$9</f>
        <v>0</v>
      </c>
      <c r="Q47" s="659">
        <f>Calculations!P51/Calculations!P$9</f>
        <v>0</v>
      </c>
      <c r="R47" s="659">
        <f>Calculations!Q51/Calculations!Q$9</f>
        <v>0</v>
      </c>
      <c r="S47" s="659">
        <f>Calculations!R51/Calculations!R$9</f>
        <v>0</v>
      </c>
      <c r="T47" s="659">
        <f>Calculations!S51/Calculations!S$9</f>
        <v>0</v>
      </c>
      <c r="U47" s="659">
        <f>Calculations!T51/Calculations!T$9</f>
        <v>0</v>
      </c>
      <c r="V47" s="659">
        <f>Calculations!U51/Calculations!U$9</f>
        <v>0</v>
      </c>
      <c r="W47" s="659">
        <f>Calculations!V51/Calculations!V$9</f>
        <v>0</v>
      </c>
      <c r="X47" s="659">
        <f>Calculations!W51/Calculations!W$9</f>
        <v>0</v>
      </c>
      <c r="Y47" s="659">
        <f>Calculations!X51/Calculations!X$9</f>
        <v>0</v>
      </c>
      <c r="Z47" s="659">
        <f>Calculations!Y51/Calculations!Y$9</f>
        <v>0</v>
      </c>
    </row>
    <row r="48" spans="3:26" ht="16.5" customHeight="1" x14ac:dyDescent="0.2">
      <c r="C48" s="513"/>
      <c r="D48" s="656" t="str">
        <f>Calculations!C52</f>
        <v>Risk 1</v>
      </c>
      <c r="E48" s="657">
        <f t="shared" si="6"/>
        <v>0</v>
      </c>
      <c r="F48" s="659">
        <f>Calculations!E52/Calculations!E$9</f>
        <v>0</v>
      </c>
      <c r="G48" s="659">
        <f>Calculations!F52/Calculations!F$9</f>
        <v>0</v>
      </c>
      <c r="H48" s="659">
        <f>Calculations!G52/Calculations!G$9</f>
        <v>0</v>
      </c>
      <c r="I48" s="659">
        <f>Calculations!H52/Calculations!H$9</f>
        <v>0</v>
      </c>
      <c r="J48" s="659">
        <f>Calculations!I52/Calculations!I$9</f>
        <v>0</v>
      </c>
      <c r="K48" s="659">
        <f>Calculations!J52/Calculations!J$9</f>
        <v>0</v>
      </c>
      <c r="L48" s="659">
        <f>Calculations!K52/Calculations!K$9</f>
        <v>0</v>
      </c>
      <c r="M48" s="659">
        <f>Calculations!L52/Calculations!L$9</f>
        <v>0</v>
      </c>
      <c r="N48" s="659">
        <f>Calculations!M52/Calculations!M$9</f>
        <v>0</v>
      </c>
      <c r="O48" s="659">
        <f>Calculations!N52/Calculations!N$9</f>
        <v>0</v>
      </c>
      <c r="P48" s="659">
        <f>Calculations!O52/Calculations!O$9</f>
        <v>0</v>
      </c>
      <c r="Q48" s="659">
        <f>Calculations!P52/Calculations!P$9</f>
        <v>0</v>
      </c>
      <c r="R48" s="659">
        <f>Calculations!Q52/Calculations!Q$9</f>
        <v>0</v>
      </c>
      <c r="S48" s="659">
        <f>Calculations!R52/Calculations!R$9</f>
        <v>0</v>
      </c>
      <c r="T48" s="659">
        <f>Calculations!S52/Calculations!S$9</f>
        <v>0</v>
      </c>
      <c r="U48" s="659">
        <f>Calculations!T52/Calculations!T$9</f>
        <v>0</v>
      </c>
      <c r="V48" s="659">
        <f>Calculations!U52/Calculations!U$9</f>
        <v>0</v>
      </c>
      <c r="W48" s="659">
        <f>Calculations!V52/Calculations!V$9</f>
        <v>0</v>
      </c>
      <c r="X48" s="659">
        <f>Calculations!W52/Calculations!W$9</f>
        <v>0</v>
      </c>
      <c r="Y48" s="659">
        <f>Calculations!X52/Calculations!X$9</f>
        <v>0</v>
      </c>
      <c r="Z48" s="659">
        <f>Calculations!Y52/Calculations!Y$9</f>
        <v>0</v>
      </c>
    </row>
    <row r="49" spans="3:26" ht="16.5" customHeight="1" x14ac:dyDescent="0.2">
      <c r="C49" s="513"/>
      <c r="D49" s="656" t="str">
        <f>Calculations!C53</f>
        <v>Risk 2</v>
      </c>
      <c r="E49" s="657">
        <f t="shared" si="6"/>
        <v>0</v>
      </c>
      <c r="F49" s="659">
        <f>Calculations!E53/Calculations!E$9</f>
        <v>0</v>
      </c>
      <c r="G49" s="659">
        <f>Calculations!F53/Calculations!F$9</f>
        <v>0</v>
      </c>
      <c r="H49" s="659">
        <f>Calculations!G53/Calculations!G$9</f>
        <v>0</v>
      </c>
      <c r="I49" s="659">
        <f>Calculations!H53/Calculations!H$9</f>
        <v>0</v>
      </c>
      <c r="J49" s="659">
        <f>Calculations!I53/Calculations!I$9</f>
        <v>0</v>
      </c>
      <c r="K49" s="659">
        <f>Calculations!J53/Calculations!J$9</f>
        <v>0</v>
      </c>
      <c r="L49" s="659">
        <f>Calculations!K53/Calculations!K$9</f>
        <v>0</v>
      </c>
      <c r="M49" s="659">
        <f>Calculations!L53/Calculations!L$9</f>
        <v>0</v>
      </c>
      <c r="N49" s="659">
        <f>Calculations!M53/Calculations!M$9</f>
        <v>0</v>
      </c>
      <c r="O49" s="659">
        <f>Calculations!N53/Calculations!N$9</f>
        <v>0</v>
      </c>
      <c r="P49" s="659">
        <f>Calculations!O53/Calculations!O$9</f>
        <v>0</v>
      </c>
      <c r="Q49" s="659">
        <f>Calculations!P53/Calculations!P$9</f>
        <v>0</v>
      </c>
      <c r="R49" s="659">
        <f>Calculations!Q53/Calculations!Q$9</f>
        <v>0</v>
      </c>
      <c r="S49" s="659">
        <f>Calculations!R53/Calculations!R$9</f>
        <v>0</v>
      </c>
      <c r="T49" s="659">
        <f>Calculations!S53/Calculations!S$9</f>
        <v>0</v>
      </c>
      <c r="U49" s="659">
        <f>Calculations!T53/Calculations!T$9</f>
        <v>0</v>
      </c>
      <c r="V49" s="659">
        <f>Calculations!U53/Calculations!U$9</f>
        <v>0</v>
      </c>
      <c r="W49" s="659">
        <f>Calculations!V53/Calculations!V$9</f>
        <v>0</v>
      </c>
      <c r="X49" s="659">
        <f>Calculations!W53/Calculations!W$9</f>
        <v>0</v>
      </c>
      <c r="Y49" s="659">
        <f>Calculations!X53/Calculations!X$9</f>
        <v>0</v>
      </c>
      <c r="Z49" s="659">
        <f>Calculations!Y53/Calculations!Y$9</f>
        <v>0</v>
      </c>
    </row>
    <row r="50" spans="3:26" ht="16.5" customHeight="1" x14ac:dyDescent="0.2">
      <c r="C50" s="513"/>
      <c r="D50" s="656" t="str">
        <f>Calculations!C54</f>
        <v>Risk 3</v>
      </c>
      <c r="E50" s="657">
        <f t="shared" si="6"/>
        <v>0</v>
      </c>
      <c r="F50" s="659">
        <f>Calculations!E54/Calculations!E$9</f>
        <v>0</v>
      </c>
      <c r="G50" s="659">
        <f>Calculations!F54/Calculations!F$9</f>
        <v>0</v>
      </c>
      <c r="H50" s="659">
        <f>Calculations!G54/Calculations!G$9</f>
        <v>0</v>
      </c>
      <c r="I50" s="659">
        <f>Calculations!H54/Calculations!H$9</f>
        <v>0</v>
      </c>
      <c r="J50" s="659">
        <f>Calculations!I54/Calculations!I$9</f>
        <v>0</v>
      </c>
      <c r="K50" s="659">
        <f>Calculations!J54/Calculations!J$9</f>
        <v>0</v>
      </c>
      <c r="L50" s="659">
        <f>Calculations!K54/Calculations!K$9</f>
        <v>0</v>
      </c>
      <c r="M50" s="659">
        <f>Calculations!L54/Calculations!L$9</f>
        <v>0</v>
      </c>
      <c r="N50" s="659">
        <f>Calculations!M54/Calculations!M$9</f>
        <v>0</v>
      </c>
      <c r="O50" s="659">
        <f>Calculations!N54/Calculations!N$9</f>
        <v>0</v>
      </c>
      <c r="P50" s="659">
        <f>Calculations!O54/Calculations!O$9</f>
        <v>0</v>
      </c>
      <c r="Q50" s="659">
        <f>Calculations!P54/Calculations!P$9</f>
        <v>0</v>
      </c>
      <c r="R50" s="659">
        <f>Calculations!Q54/Calculations!Q$9</f>
        <v>0</v>
      </c>
      <c r="S50" s="659">
        <f>Calculations!R54/Calculations!R$9</f>
        <v>0</v>
      </c>
      <c r="T50" s="659">
        <f>Calculations!S54/Calculations!S$9</f>
        <v>0</v>
      </c>
      <c r="U50" s="659">
        <f>Calculations!T54/Calculations!T$9</f>
        <v>0</v>
      </c>
      <c r="V50" s="659">
        <f>Calculations!U54/Calculations!U$9</f>
        <v>0</v>
      </c>
      <c r="W50" s="659">
        <f>Calculations!V54/Calculations!V$9</f>
        <v>0</v>
      </c>
      <c r="X50" s="659">
        <f>Calculations!W54/Calculations!W$9</f>
        <v>0</v>
      </c>
      <c r="Y50" s="659">
        <f>Calculations!X54/Calculations!X$9</f>
        <v>0</v>
      </c>
      <c r="Z50" s="659">
        <f>Calculations!Y54/Calculations!Y$9</f>
        <v>0</v>
      </c>
    </row>
    <row r="51" spans="3:26" ht="16.5" customHeight="1" x14ac:dyDescent="0.2">
      <c r="C51" s="513"/>
      <c r="D51" s="656" t="str">
        <f>Calculations!C55</f>
        <v>Risk 4</v>
      </c>
      <c r="E51" s="657">
        <f t="shared" si="6"/>
        <v>0</v>
      </c>
      <c r="F51" s="659">
        <f>Calculations!E55/Calculations!E$9</f>
        <v>0</v>
      </c>
      <c r="G51" s="659">
        <f>Calculations!F55/Calculations!F$9</f>
        <v>0</v>
      </c>
      <c r="H51" s="659">
        <f>Calculations!G55/Calculations!G$9</f>
        <v>0</v>
      </c>
      <c r="I51" s="659">
        <f>Calculations!H55/Calculations!H$9</f>
        <v>0</v>
      </c>
      <c r="J51" s="659">
        <f>Calculations!I55/Calculations!I$9</f>
        <v>0</v>
      </c>
      <c r="K51" s="659">
        <f>Calculations!J55/Calculations!J$9</f>
        <v>0</v>
      </c>
      <c r="L51" s="659">
        <f>Calculations!K55/Calculations!K$9</f>
        <v>0</v>
      </c>
      <c r="M51" s="659">
        <f>Calculations!L55/Calculations!L$9</f>
        <v>0</v>
      </c>
      <c r="N51" s="659">
        <f>Calculations!M55/Calculations!M$9</f>
        <v>0</v>
      </c>
      <c r="O51" s="659">
        <f>Calculations!N55/Calculations!N$9</f>
        <v>0</v>
      </c>
      <c r="P51" s="659">
        <f>Calculations!O55/Calculations!O$9</f>
        <v>0</v>
      </c>
      <c r="Q51" s="659">
        <f>Calculations!P55/Calculations!P$9</f>
        <v>0</v>
      </c>
      <c r="R51" s="659">
        <f>Calculations!Q55/Calculations!Q$9</f>
        <v>0</v>
      </c>
      <c r="S51" s="659">
        <f>Calculations!R55/Calculations!R$9</f>
        <v>0</v>
      </c>
      <c r="T51" s="659">
        <f>Calculations!S55/Calculations!S$9</f>
        <v>0</v>
      </c>
      <c r="U51" s="659">
        <f>Calculations!T55/Calculations!T$9</f>
        <v>0</v>
      </c>
      <c r="V51" s="659">
        <f>Calculations!U55/Calculations!U$9</f>
        <v>0</v>
      </c>
      <c r="W51" s="659">
        <f>Calculations!V55/Calculations!V$9</f>
        <v>0</v>
      </c>
      <c r="X51" s="659">
        <f>Calculations!W55/Calculations!W$9</f>
        <v>0</v>
      </c>
      <c r="Y51" s="659">
        <f>Calculations!X55/Calculations!X$9</f>
        <v>0</v>
      </c>
      <c r="Z51" s="659">
        <f>Calculations!Y55/Calculations!Y$9</f>
        <v>0</v>
      </c>
    </row>
    <row r="52" spans="3:26" ht="16.5" customHeight="1" x14ac:dyDescent="0.2">
      <c r="C52" s="513"/>
      <c r="D52" s="656" t="str">
        <f>Calculations!C56</f>
        <v>Risk 5</v>
      </c>
      <c r="E52" s="657">
        <f t="shared" si="6"/>
        <v>0</v>
      </c>
      <c r="F52" s="659">
        <f>Calculations!E56/Calculations!E$9</f>
        <v>0</v>
      </c>
      <c r="G52" s="659">
        <f>Calculations!F56/Calculations!F$9</f>
        <v>0</v>
      </c>
      <c r="H52" s="659">
        <f>Calculations!G56/Calculations!G$9</f>
        <v>0</v>
      </c>
      <c r="I52" s="659">
        <f>Calculations!H56/Calculations!H$9</f>
        <v>0</v>
      </c>
      <c r="J52" s="659">
        <f>Calculations!I56/Calculations!I$9</f>
        <v>0</v>
      </c>
      <c r="K52" s="659">
        <f>Calculations!J56/Calculations!J$9</f>
        <v>0</v>
      </c>
      <c r="L52" s="659">
        <f>Calculations!K56/Calculations!K$9</f>
        <v>0</v>
      </c>
      <c r="M52" s="659">
        <f>Calculations!L56/Calculations!L$9</f>
        <v>0</v>
      </c>
      <c r="N52" s="659">
        <f>Calculations!M56/Calculations!M$9</f>
        <v>0</v>
      </c>
      <c r="O52" s="659">
        <f>Calculations!N56/Calculations!N$9</f>
        <v>0</v>
      </c>
      <c r="P52" s="659">
        <f>Calculations!O56/Calculations!O$9</f>
        <v>0</v>
      </c>
      <c r="Q52" s="659">
        <f>Calculations!P56/Calculations!P$9</f>
        <v>0</v>
      </c>
      <c r="R52" s="659">
        <f>Calculations!Q56/Calculations!Q$9</f>
        <v>0</v>
      </c>
      <c r="S52" s="659">
        <f>Calculations!R56/Calculations!R$9</f>
        <v>0</v>
      </c>
      <c r="T52" s="659">
        <f>Calculations!S56/Calculations!S$9</f>
        <v>0</v>
      </c>
      <c r="U52" s="659">
        <f>Calculations!T56/Calculations!T$9</f>
        <v>0</v>
      </c>
      <c r="V52" s="659">
        <f>Calculations!U56/Calculations!U$9</f>
        <v>0</v>
      </c>
      <c r="W52" s="659">
        <f>Calculations!V56/Calculations!V$9</f>
        <v>0</v>
      </c>
      <c r="X52" s="659">
        <f>Calculations!W56/Calculations!W$9</f>
        <v>0</v>
      </c>
      <c r="Y52" s="659">
        <f>Calculations!X56/Calculations!X$9</f>
        <v>0</v>
      </c>
      <c r="Z52" s="659">
        <f>Calculations!Y56/Calculations!Y$9</f>
        <v>0</v>
      </c>
    </row>
    <row r="53" spans="3:26" ht="16.5" customHeight="1" x14ac:dyDescent="0.2">
      <c r="C53" s="513"/>
      <c r="D53" s="656" t="s">
        <v>254</v>
      </c>
      <c r="E53" s="657">
        <f t="shared" ref="E53:Z53" si="7">SUM(E34:E52)-E36</f>
        <v>1801.3927485540428</v>
      </c>
      <c r="F53" s="657">
        <f t="shared" si="7"/>
        <v>1038.1638899040736</v>
      </c>
      <c r="G53" s="657">
        <f t="shared" si="7"/>
        <v>763.2288586499692</v>
      </c>
      <c r="H53" s="657">
        <f t="shared" si="7"/>
        <v>0</v>
      </c>
      <c r="I53" s="657">
        <f t="shared" si="7"/>
        <v>0</v>
      </c>
      <c r="J53" s="657">
        <f t="shared" si="7"/>
        <v>0</v>
      </c>
      <c r="K53" s="657">
        <f t="shared" si="7"/>
        <v>0</v>
      </c>
      <c r="L53" s="657">
        <f t="shared" si="7"/>
        <v>0</v>
      </c>
      <c r="M53" s="657">
        <f t="shared" si="7"/>
        <v>0</v>
      </c>
      <c r="N53" s="657">
        <f t="shared" si="7"/>
        <v>0</v>
      </c>
      <c r="O53" s="657">
        <f t="shared" si="7"/>
        <v>0</v>
      </c>
      <c r="P53" s="657">
        <f t="shared" si="7"/>
        <v>0</v>
      </c>
      <c r="Q53" s="657">
        <f t="shared" si="7"/>
        <v>0</v>
      </c>
      <c r="R53" s="657">
        <f t="shared" si="7"/>
        <v>0</v>
      </c>
      <c r="S53" s="657">
        <f t="shared" si="7"/>
        <v>0</v>
      </c>
      <c r="T53" s="657">
        <f t="shared" si="7"/>
        <v>0</v>
      </c>
      <c r="U53" s="657">
        <f t="shared" si="7"/>
        <v>0</v>
      </c>
      <c r="V53" s="657">
        <f t="shared" si="7"/>
        <v>0</v>
      </c>
      <c r="W53" s="657">
        <f t="shared" si="7"/>
        <v>0</v>
      </c>
      <c r="X53" s="657">
        <f t="shared" si="7"/>
        <v>0</v>
      </c>
      <c r="Y53" s="657">
        <f t="shared" si="7"/>
        <v>0</v>
      </c>
      <c r="Z53" s="657">
        <f t="shared" si="7"/>
        <v>0</v>
      </c>
    </row>
    <row r="54" spans="3:26" ht="16.5" customHeight="1" x14ac:dyDescent="0.2"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</row>
    <row r="55" spans="3:26" ht="16.5" customHeight="1" x14ac:dyDescent="0.25">
      <c r="C55" s="513"/>
      <c r="D55" s="651" t="str">
        <f>'User Input'!D82</f>
        <v>Option 2: Provide In Meter Capabilities with Near Real-time Centralised Analytics</v>
      </c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</row>
    <row r="56" spans="3:26" ht="16.5" customHeight="1" x14ac:dyDescent="0.25">
      <c r="C56" s="513"/>
      <c r="D56" s="499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3"/>
      <c r="V56" s="513"/>
      <c r="W56" s="513"/>
      <c r="X56" s="513"/>
      <c r="Y56" s="513"/>
      <c r="Z56" s="513"/>
    </row>
    <row r="57" spans="3:26" ht="16.5" customHeight="1" x14ac:dyDescent="0.25">
      <c r="C57" s="513"/>
      <c r="D57" s="654"/>
      <c r="E57" s="711"/>
      <c r="F57" s="711"/>
      <c r="G57" s="711"/>
      <c r="H57" s="711"/>
      <c r="I57" s="711"/>
      <c r="J57" s="711"/>
      <c r="K57" s="711"/>
      <c r="L57" s="711"/>
      <c r="M57" s="711"/>
      <c r="N57" s="711"/>
      <c r="O57" s="711"/>
      <c r="P57" s="711"/>
      <c r="Q57" s="711"/>
      <c r="R57" s="711"/>
      <c r="S57" s="711"/>
      <c r="T57" s="711"/>
      <c r="U57" s="711"/>
      <c r="V57" s="711"/>
      <c r="W57" s="711"/>
      <c r="X57" s="711"/>
      <c r="Y57" s="711"/>
      <c r="Z57" s="711"/>
    </row>
    <row r="58" spans="3:26" ht="16.5" customHeight="1" x14ac:dyDescent="0.25">
      <c r="C58" s="513"/>
      <c r="D58" s="654"/>
      <c r="E58" s="655" t="s">
        <v>254</v>
      </c>
      <c r="F58" s="655">
        <f>'User Input'!$E$6</f>
        <v>2019</v>
      </c>
      <c r="G58" s="655">
        <f>F58+1</f>
        <v>2020</v>
      </c>
      <c r="H58" s="655">
        <f t="shared" ref="H58:Z58" si="8">G58+1</f>
        <v>2021</v>
      </c>
      <c r="I58" s="655">
        <f t="shared" si="8"/>
        <v>2022</v>
      </c>
      <c r="J58" s="655">
        <f t="shared" si="8"/>
        <v>2023</v>
      </c>
      <c r="K58" s="655">
        <f t="shared" si="8"/>
        <v>2024</v>
      </c>
      <c r="L58" s="655">
        <f t="shared" si="8"/>
        <v>2025</v>
      </c>
      <c r="M58" s="655">
        <f t="shared" si="8"/>
        <v>2026</v>
      </c>
      <c r="N58" s="655">
        <f t="shared" si="8"/>
        <v>2027</v>
      </c>
      <c r="O58" s="655">
        <f t="shared" si="8"/>
        <v>2028</v>
      </c>
      <c r="P58" s="655">
        <f t="shared" si="8"/>
        <v>2029</v>
      </c>
      <c r="Q58" s="655">
        <f t="shared" si="8"/>
        <v>2030</v>
      </c>
      <c r="R58" s="655">
        <f t="shared" si="8"/>
        <v>2031</v>
      </c>
      <c r="S58" s="655">
        <f t="shared" si="8"/>
        <v>2032</v>
      </c>
      <c r="T58" s="655">
        <f t="shared" si="8"/>
        <v>2033</v>
      </c>
      <c r="U58" s="655">
        <f t="shared" si="8"/>
        <v>2034</v>
      </c>
      <c r="V58" s="655">
        <f t="shared" si="8"/>
        <v>2035</v>
      </c>
      <c r="W58" s="655">
        <f t="shared" si="8"/>
        <v>2036</v>
      </c>
      <c r="X58" s="655">
        <f t="shared" si="8"/>
        <v>2037</v>
      </c>
      <c r="Y58" s="655">
        <f t="shared" si="8"/>
        <v>2038</v>
      </c>
      <c r="Z58" s="655">
        <f t="shared" si="8"/>
        <v>2039</v>
      </c>
    </row>
    <row r="59" spans="3:26" ht="16.5" customHeight="1" x14ac:dyDescent="0.2">
      <c r="C59" s="513"/>
      <c r="D59" s="656" t="str">
        <f>Calculations!C62</f>
        <v>Capital Costs</v>
      </c>
      <c r="E59" s="657">
        <f>SUM(F59:Z59)</f>
        <v>8060.9255822332543</v>
      </c>
      <c r="F59" s="659">
        <f>Calculations!E62/Calculations!E$9</f>
        <v>4646.1272381593308</v>
      </c>
      <c r="G59" s="659">
        <f>Calculations!F62/Calculations!F$9</f>
        <v>3414.798344073924</v>
      </c>
      <c r="H59" s="659">
        <f>Calculations!G62/Calculations!G$9</f>
        <v>0</v>
      </c>
      <c r="I59" s="659">
        <f>Calculations!H62/Calculations!H$9</f>
        <v>0</v>
      </c>
      <c r="J59" s="659">
        <f>Calculations!I62/Calculations!I$9</f>
        <v>0</v>
      </c>
      <c r="K59" s="659">
        <f>Calculations!J62/Calculations!J$9</f>
        <v>0</v>
      </c>
      <c r="L59" s="659">
        <f>Calculations!K62/Calculations!K$9</f>
        <v>0</v>
      </c>
      <c r="M59" s="659">
        <f>Calculations!L62/Calculations!L$9</f>
        <v>0</v>
      </c>
      <c r="N59" s="659">
        <f>Calculations!M62/Calculations!M$9</f>
        <v>0</v>
      </c>
      <c r="O59" s="659">
        <f>Calculations!N62/Calculations!N$9</f>
        <v>0</v>
      </c>
      <c r="P59" s="659">
        <f>Calculations!O62/Calculations!O$9</f>
        <v>0</v>
      </c>
      <c r="Q59" s="659">
        <f>Calculations!P62/Calculations!P$9</f>
        <v>0</v>
      </c>
      <c r="R59" s="659">
        <f>Calculations!Q62/Calculations!Q$9</f>
        <v>0</v>
      </c>
      <c r="S59" s="659">
        <f>Calculations!R62/Calculations!R$9</f>
        <v>0</v>
      </c>
      <c r="T59" s="659">
        <f>Calculations!S62/Calculations!S$9</f>
        <v>0</v>
      </c>
      <c r="U59" s="659">
        <f>Calculations!T62/Calculations!T$9</f>
        <v>0</v>
      </c>
      <c r="V59" s="659">
        <f>Calculations!U62/Calculations!U$9</f>
        <v>0</v>
      </c>
      <c r="W59" s="659">
        <f>Calculations!V62/Calculations!V$9</f>
        <v>0</v>
      </c>
      <c r="X59" s="659">
        <f>Calculations!W62/Calculations!W$9</f>
        <v>0</v>
      </c>
      <c r="Y59" s="659">
        <f>Calculations!X62/Calculations!X$9</f>
        <v>0</v>
      </c>
      <c r="Z59" s="659">
        <f>Calculations!Y62/Calculations!Y$9</f>
        <v>0</v>
      </c>
    </row>
    <row r="60" spans="3:26" ht="16.5" customHeight="1" x14ac:dyDescent="0.2">
      <c r="C60" s="513"/>
      <c r="D60" s="656" t="str">
        <f>Calculations!C63</f>
        <v>Maintenance Costs</v>
      </c>
      <c r="E60" s="657">
        <f>SUM(F60:Z60)</f>
        <v>0</v>
      </c>
      <c r="F60" s="659">
        <f>Calculations!E63/Calculations!E$9</f>
        <v>0</v>
      </c>
      <c r="G60" s="659">
        <f>Calculations!F63/Calculations!F$9</f>
        <v>0</v>
      </c>
      <c r="H60" s="659">
        <f>Calculations!G63/Calculations!G$9</f>
        <v>0</v>
      </c>
      <c r="I60" s="659">
        <f>Calculations!H63/Calculations!H$9</f>
        <v>0</v>
      </c>
      <c r="J60" s="659">
        <f>Calculations!I63/Calculations!I$9</f>
        <v>0</v>
      </c>
      <c r="K60" s="659">
        <f>Calculations!J63/Calculations!J$9</f>
        <v>0</v>
      </c>
      <c r="L60" s="659">
        <f>Calculations!K63/Calculations!K$9</f>
        <v>0</v>
      </c>
      <c r="M60" s="659">
        <f>Calculations!L63/Calculations!L$9</f>
        <v>0</v>
      </c>
      <c r="N60" s="659">
        <f>Calculations!M63/Calculations!M$9</f>
        <v>0</v>
      </c>
      <c r="O60" s="659">
        <f>Calculations!N63/Calculations!N$9</f>
        <v>0</v>
      </c>
      <c r="P60" s="659">
        <f>Calculations!O63/Calculations!O$9</f>
        <v>0</v>
      </c>
      <c r="Q60" s="659">
        <f>Calculations!P63/Calculations!P$9</f>
        <v>0</v>
      </c>
      <c r="R60" s="659">
        <f>Calculations!Q63/Calculations!Q$9</f>
        <v>0</v>
      </c>
      <c r="S60" s="659">
        <f>Calculations!R63/Calculations!R$9</f>
        <v>0</v>
      </c>
      <c r="T60" s="659">
        <f>Calculations!S63/Calculations!S$9</f>
        <v>0</v>
      </c>
      <c r="U60" s="659">
        <f>Calculations!T63/Calculations!T$9</f>
        <v>0</v>
      </c>
      <c r="V60" s="659">
        <f>Calculations!U63/Calculations!U$9</f>
        <v>0</v>
      </c>
      <c r="W60" s="659">
        <f>Calculations!V63/Calculations!V$9</f>
        <v>0</v>
      </c>
      <c r="X60" s="659">
        <f>Calculations!W63/Calculations!W$9</f>
        <v>0</v>
      </c>
      <c r="Y60" s="659">
        <f>Calculations!X63/Calculations!X$9</f>
        <v>0</v>
      </c>
      <c r="Z60" s="659">
        <f>Calculations!Y63/Calculations!Y$9</f>
        <v>0</v>
      </c>
    </row>
    <row r="61" spans="3:26" ht="16.5" customHeight="1" x14ac:dyDescent="0.2">
      <c r="C61" s="513"/>
      <c r="D61" s="656" t="str">
        <f>Calculations!C64</f>
        <v>Negative Impact on Revenue (STPIS)</v>
      </c>
      <c r="E61" s="657">
        <f t="shared" ref="E61:Z61" si="9">SUM(E62:E65)</f>
        <v>0</v>
      </c>
      <c r="F61" s="657">
        <f t="shared" si="9"/>
        <v>0</v>
      </c>
      <c r="G61" s="657">
        <f t="shared" si="9"/>
        <v>0</v>
      </c>
      <c r="H61" s="657">
        <f t="shared" si="9"/>
        <v>0</v>
      </c>
      <c r="I61" s="657">
        <f t="shared" si="9"/>
        <v>0</v>
      </c>
      <c r="J61" s="657">
        <f t="shared" si="9"/>
        <v>0</v>
      </c>
      <c r="K61" s="657">
        <f t="shared" si="9"/>
        <v>0</v>
      </c>
      <c r="L61" s="657">
        <f t="shared" si="9"/>
        <v>0</v>
      </c>
      <c r="M61" s="657">
        <f t="shared" si="9"/>
        <v>0</v>
      </c>
      <c r="N61" s="657">
        <f t="shared" si="9"/>
        <v>0</v>
      </c>
      <c r="O61" s="657">
        <f t="shared" si="9"/>
        <v>0</v>
      </c>
      <c r="P61" s="657">
        <f t="shared" si="9"/>
        <v>0</v>
      </c>
      <c r="Q61" s="657">
        <f t="shared" si="9"/>
        <v>0</v>
      </c>
      <c r="R61" s="657">
        <f t="shared" si="9"/>
        <v>0</v>
      </c>
      <c r="S61" s="657">
        <f t="shared" si="9"/>
        <v>0</v>
      </c>
      <c r="T61" s="657">
        <f t="shared" si="9"/>
        <v>0</v>
      </c>
      <c r="U61" s="657">
        <f t="shared" si="9"/>
        <v>0</v>
      </c>
      <c r="V61" s="657">
        <f t="shared" si="9"/>
        <v>0</v>
      </c>
      <c r="W61" s="657">
        <f t="shared" si="9"/>
        <v>0</v>
      </c>
      <c r="X61" s="657">
        <f t="shared" si="9"/>
        <v>0</v>
      </c>
      <c r="Y61" s="657">
        <f t="shared" si="9"/>
        <v>0</v>
      </c>
      <c r="Z61" s="657">
        <f t="shared" si="9"/>
        <v>0</v>
      </c>
    </row>
    <row r="62" spans="3:26" ht="16.5" customHeight="1" x14ac:dyDescent="0.2">
      <c r="C62" s="513"/>
      <c r="D62" s="660" t="str">
        <f>Calculations!C65</f>
        <v>SAIFI sustained</v>
      </c>
      <c r="E62" s="657">
        <f t="shared" ref="E62:E77" si="10">SUM(F62:Z62)</f>
        <v>0</v>
      </c>
      <c r="F62" s="659">
        <f>Calculations!E65/Calculations!E$9</f>
        <v>0</v>
      </c>
      <c r="G62" s="659">
        <f>Calculations!F65/Calculations!F$9</f>
        <v>0</v>
      </c>
      <c r="H62" s="659">
        <f>Calculations!G65/Calculations!G$9</f>
        <v>0</v>
      </c>
      <c r="I62" s="659">
        <f>Calculations!H65/Calculations!H$9</f>
        <v>0</v>
      </c>
      <c r="J62" s="659">
        <f>Calculations!I65/Calculations!I$9</f>
        <v>0</v>
      </c>
      <c r="K62" s="659">
        <f>Calculations!J65/Calculations!J$9</f>
        <v>0</v>
      </c>
      <c r="L62" s="659">
        <f>Calculations!K65/Calculations!K$9</f>
        <v>0</v>
      </c>
      <c r="M62" s="659">
        <f>Calculations!L65/Calculations!L$9</f>
        <v>0</v>
      </c>
      <c r="N62" s="659">
        <f>Calculations!M65/Calculations!M$9</f>
        <v>0</v>
      </c>
      <c r="O62" s="659">
        <f>Calculations!N65/Calculations!N$9</f>
        <v>0</v>
      </c>
      <c r="P62" s="659">
        <f>Calculations!O65/Calculations!O$9</f>
        <v>0</v>
      </c>
      <c r="Q62" s="659">
        <f>Calculations!P65/Calculations!P$9</f>
        <v>0</v>
      </c>
      <c r="R62" s="659">
        <f>Calculations!Q65/Calculations!Q$9</f>
        <v>0</v>
      </c>
      <c r="S62" s="659">
        <f>Calculations!R65/Calculations!R$9</f>
        <v>0</v>
      </c>
      <c r="T62" s="659">
        <f>Calculations!S65/Calculations!S$9</f>
        <v>0</v>
      </c>
      <c r="U62" s="659">
        <f>Calculations!T65/Calculations!T$9</f>
        <v>0</v>
      </c>
      <c r="V62" s="659">
        <f>Calculations!U65/Calculations!U$9</f>
        <v>0</v>
      </c>
      <c r="W62" s="659">
        <f>Calculations!V65/Calculations!V$9</f>
        <v>0</v>
      </c>
      <c r="X62" s="659">
        <f>Calculations!W65/Calculations!W$9</f>
        <v>0</v>
      </c>
      <c r="Y62" s="659">
        <f>Calculations!X65/Calculations!X$9</f>
        <v>0</v>
      </c>
      <c r="Z62" s="659">
        <f>Calculations!Y65/Calculations!Y$9</f>
        <v>0</v>
      </c>
    </row>
    <row r="63" spans="3:26" ht="16.5" customHeight="1" x14ac:dyDescent="0.2">
      <c r="C63" s="513"/>
      <c r="D63" s="660" t="str">
        <f>Calculations!C66</f>
        <v>SAIDI accidental</v>
      </c>
      <c r="E63" s="657">
        <f t="shared" si="10"/>
        <v>0</v>
      </c>
      <c r="F63" s="659">
        <f>Calculations!E66/Calculations!E$9</f>
        <v>0</v>
      </c>
      <c r="G63" s="659">
        <f>Calculations!F66/Calculations!F$9</f>
        <v>0</v>
      </c>
      <c r="H63" s="659">
        <f>Calculations!G66/Calculations!G$9</f>
        <v>0</v>
      </c>
      <c r="I63" s="659">
        <f>Calculations!H66/Calculations!H$9</f>
        <v>0</v>
      </c>
      <c r="J63" s="659">
        <f>Calculations!I66/Calculations!I$9</f>
        <v>0</v>
      </c>
      <c r="K63" s="659">
        <f>Calculations!J66/Calculations!J$9</f>
        <v>0</v>
      </c>
      <c r="L63" s="659">
        <f>Calculations!K66/Calculations!K$9</f>
        <v>0</v>
      </c>
      <c r="M63" s="659">
        <f>Calculations!L66/Calculations!L$9</f>
        <v>0</v>
      </c>
      <c r="N63" s="659">
        <f>Calculations!M66/Calculations!M$9</f>
        <v>0</v>
      </c>
      <c r="O63" s="659">
        <f>Calculations!N66/Calculations!N$9</f>
        <v>0</v>
      </c>
      <c r="P63" s="659">
        <f>Calculations!O66/Calculations!O$9</f>
        <v>0</v>
      </c>
      <c r="Q63" s="659">
        <f>Calculations!P66/Calculations!P$9</f>
        <v>0</v>
      </c>
      <c r="R63" s="659">
        <f>Calculations!Q66/Calculations!Q$9</f>
        <v>0</v>
      </c>
      <c r="S63" s="659">
        <f>Calculations!R66/Calculations!R$9</f>
        <v>0</v>
      </c>
      <c r="T63" s="659">
        <f>Calculations!S66/Calculations!S$9</f>
        <v>0</v>
      </c>
      <c r="U63" s="659">
        <f>Calculations!T66/Calculations!T$9</f>
        <v>0</v>
      </c>
      <c r="V63" s="659">
        <f>Calculations!U66/Calculations!U$9</f>
        <v>0</v>
      </c>
      <c r="W63" s="659">
        <f>Calculations!V66/Calculations!V$9</f>
        <v>0</v>
      </c>
      <c r="X63" s="659">
        <f>Calculations!W66/Calculations!W$9</f>
        <v>0</v>
      </c>
      <c r="Y63" s="659">
        <f>Calculations!X66/Calculations!X$9</f>
        <v>0</v>
      </c>
      <c r="Z63" s="659">
        <f>Calculations!Y66/Calculations!Y$9</f>
        <v>0</v>
      </c>
    </row>
    <row r="64" spans="3:26" ht="16.5" customHeight="1" x14ac:dyDescent="0.2">
      <c r="C64" s="513"/>
      <c r="D64" s="660" t="str">
        <f>Calculations!C67</f>
        <v>MAIFI momentary</v>
      </c>
      <c r="E64" s="657">
        <f t="shared" si="10"/>
        <v>0</v>
      </c>
      <c r="F64" s="659">
        <f>Calculations!E67/Calculations!E$9</f>
        <v>0</v>
      </c>
      <c r="G64" s="659">
        <f>Calculations!F67/Calculations!F$9</f>
        <v>0</v>
      </c>
      <c r="H64" s="659">
        <f>Calculations!G67/Calculations!G$9</f>
        <v>0</v>
      </c>
      <c r="I64" s="659">
        <f>Calculations!H67/Calculations!H$9</f>
        <v>0</v>
      </c>
      <c r="J64" s="659">
        <f>Calculations!I67/Calculations!I$9</f>
        <v>0</v>
      </c>
      <c r="K64" s="659">
        <f>Calculations!J67/Calculations!J$9</f>
        <v>0</v>
      </c>
      <c r="L64" s="659">
        <f>Calculations!K67/Calculations!K$9</f>
        <v>0</v>
      </c>
      <c r="M64" s="659">
        <f>Calculations!L67/Calculations!L$9</f>
        <v>0</v>
      </c>
      <c r="N64" s="659">
        <f>Calculations!M67/Calculations!M$9</f>
        <v>0</v>
      </c>
      <c r="O64" s="659">
        <f>Calculations!N67/Calculations!N$9</f>
        <v>0</v>
      </c>
      <c r="P64" s="659">
        <f>Calculations!O67/Calculations!O$9</f>
        <v>0</v>
      </c>
      <c r="Q64" s="659">
        <f>Calculations!P67/Calculations!P$9</f>
        <v>0</v>
      </c>
      <c r="R64" s="659">
        <f>Calculations!Q67/Calculations!Q$9</f>
        <v>0</v>
      </c>
      <c r="S64" s="659">
        <f>Calculations!R67/Calculations!R$9</f>
        <v>0</v>
      </c>
      <c r="T64" s="659">
        <f>Calculations!S67/Calculations!S$9</f>
        <v>0</v>
      </c>
      <c r="U64" s="659">
        <f>Calculations!T67/Calculations!T$9</f>
        <v>0</v>
      </c>
      <c r="V64" s="659">
        <f>Calculations!U67/Calculations!U$9</f>
        <v>0</v>
      </c>
      <c r="W64" s="659">
        <f>Calculations!V67/Calculations!V$9</f>
        <v>0</v>
      </c>
      <c r="X64" s="659">
        <f>Calculations!W67/Calculations!W$9</f>
        <v>0</v>
      </c>
      <c r="Y64" s="659">
        <f>Calculations!X67/Calculations!X$9</f>
        <v>0</v>
      </c>
      <c r="Z64" s="659">
        <f>Calculations!Y67/Calculations!Y$9</f>
        <v>0</v>
      </c>
    </row>
    <row r="65" spans="3:26" ht="16.5" customHeight="1" x14ac:dyDescent="0.2">
      <c r="C65" s="513"/>
      <c r="D65" s="660" t="str">
        <f>Calculations!C68</f>
        <v>Call centre response</v>
      </c>
      <c r="E65" s="657">
        <f t="shared" si="10"/>
        <v>0</v>
      </c>
      <c r="F65" s="659">
        <f>Calculations!E68/Calculations!E$9</f>
        <v>0</v>
      </c>
      <c r="G65" s="659">
        <f>Calculations!F68/Calculations!F$9</f>
        <v>0</v>
      </c>
      <c r="H65" s="659">
        <f>Calculations!G68/Calculations!G$9</f>
        <v>0</v>
      </c>
      <c r="I65" s="659">
        <f>Calculations!H68/Calculations!H$9</f>
        <v>0</v>
      </c>
      <c r="J65" s="659">
        <f>Calculations!I68/Calculations!I$9</f>
        <v>0</v>
      </c>
      <c r="K65" s="659">
        <f>Calculations!J68/Calculations!J$9</f>
        <v>0</v>
      </c>
      <c r="L65" s="659">
        <f>Calculations!K68/Calculations!K$9</f>
        <v>0</v>
      </c>
      <c r="M65" s="659">
        <f>Calculations!L68/Calculations!L$9</f>
        <v>0</v>
      </c>
      <c r="N65" s="659">
        <f>Calculations!M68/Calculations!M$9</f>
        <v>0</v>
      </c>
      <c r="O65" s="659">
        <f>Calculations!N68/Calculations!N$9</f>
        <v>0</v>
      </c>
      <c r="P65" s="659">
        <f>Calculations!O68/Calculations!O$9</f>
        <v>0</v>
      </c>
      <c r="Q65" s="659">
        <f>Calculations!P68/Calculations!P$9</f>
        <v>0</v>
      </c>
      <c r="R65" s="659">
        <f>Calculations!Q68/Calculations!Q$9</f>
        <v>0</v>
      </c>
      <c r="S65" s="659">
        <f>Calculations!R68/Calculations!R$9</f>
        <v>0</v>
      </c>
      <c r="T65" s="659">
        <f>Calculations!S68/Calculations!S$9</f>
        <v>0</v>
      </c>
      <c r="U65" s="659">
        <f>Calculations!T68/Calculations!T$9</f>
        <v>0</v>
      </c>
      <c r="V65" s="659">
        <f>Calculations!U68/Calculations!U$9</f>
        <v>0</v>
      </c>
      <c r="W65" s="659">
        <f>Calculations!V68/Calculations!V$9</f>
        <v>0</v>
      </c>
      <c r="X65" s="659">
        <f>Calculations!W68/Calculations!W$9</f>
        <v>0</v>
      </c>
      <c r="Y65" s="659">
        <f>Calculations!X68/Calculations!X$9</f>
        <v>0</v>
      </c>
      <c r="Z65" s="659">
        <f>Calculations!Y68/Calculations!Y$9</f>
        <v>0</v>
      </c>
    </row>
    <row r="66" spans="3:26" ht="16.5" customHeight="1" x14ac:dyDescent="0.2">
      <c r="C66" s="513"/>
      <c r="D66" s="656" t="str">
        <f>Calculations!C69</f>
        <v>Network Outage Costs</v>
      </c>
      <c r="E66" s="657">
        <f t="shared" si="10"/>
        <v>0</v>
      </c>
      <c r="F66" s="659">
        <f>Calculations!E69/Calculations!E$9</f>
        <v>0</v>
      </c>
      <c r="G66" s="659">
        <f>Calculations!F69/Calculations!F$9</f>
        <v>0</v>
      </c>
      <c r="H66" s="659">
        <f>Calculations!G69/Calculations!G$9</f>
        <v>0</v>
      </c>
      <c r="I66" s="659">
        <f>Calculations!H69/Calculations!H$9</f>
        <v>0</v>
      </c>
      <c r="J66" s="659">
        <f>Calculations!I69/Calculations!I$9</f>
        <v>0</v>
      </c>
      <c r="K66" s="659">
        <f>Calculations!J69/Calculations!J$9</f>
        <v>0</v>
      </c>
      <c r="L66" s="659">
        <f>Calculations!K69/Calculations!K$9</f>
        <v>0</v>
      </c>
      <c r="M66" s="659">
        <f>Calculations!L69/Calculations!L$9</f>
        <v>0</v>
      </c>
      <c r="N66" s="659">
        <f>Calculations!M69/Calculations!M$9</f>
        <v>0</v>
      </c>
      <c r="O66" s="659">
        <f>Calculations!N69/Calculations!N$9</f>
        <v>0</v>
      </c>
      <c r="P66" s="659">
        <f>Calculations!O69/Calculations!O$9</f>
        <v>0</v>
      </c>
      <c r="Q66" s="659">
        <f>Calculations!P69/Calculations!P$9</f>
        <v>0</v>
      </c>
      <c r="R66" s="659">
        <f>Calculations!Q69/Calculations!Q$9</f>
        <v>0</v>
      </c>
      <c r="S66" s="659">
        <f>Calculations!R69/Calculations!R$9</f>
        <v>0</v>
      </c>
      <c r="T66" s="659">
        <f>Calculations!S69/Calculations!S$9</f>
        <v>0</v>
      </c>
      <c r="U66" s="659">
        <f>Calculations!T69/Calculations!T$9</f>
        <v>0</v>
      </c>
      <c r="V66" s="659">
        <f>Calculations!U69/Calculations!U$9</f>
        <v>0</v>
      </c>
      <c r="W66" s="659">
        <f>Calculations!V69/Calculations!V$9</f>
        <v>0</v>
      </c>
      <c r="X66" s="659">
        <f>Calculations!W69/Calculations!W$9</f>
        <v>0</v>
      </c>
      <c r="Y66" s="659">
        <f>Calculations!X69/Calculations!X$9</f>
        <v>0</v>
      </c>
      <c r="Z66" s="659">
        <f>Calculations!Y69/Calculations!Y$9</f>
        <v>0</v>
      </c>
    </row>
    <row r="67" spans="3:26" ht="16.5" customHeight="1" x14ac:dyDescent="0.2">
      <c r="C67" s="513"/>
      <c r="D67" s="656" t="str">
        <f>Calculations!C70</f>
        <v>Loss of F Factor Benefit</v>
      </c>
      <c r="E67" s="657">
        <f t="shared" si="10"/>
        <v>0</v>
      </c>
      <c r="F67" s="659">
        <f>Calculations!E70/Calculations!E$9</f>
        <v>0</v>
      </c>
      <c r="G67" s="659">
        <f>Calculations!F70/Calculations!F$9</f>
        <v>0</v>
      </c>
      <c r="H67" s="659">
        <f>Calculations!G70/Calculations!G$9</f>
        <v>0</v>
      </c>
      <c r="I67" s="659">
        <f>Calculations!H70/Calculations!H$9</f>
        <v>0</v>
      </c>
      <c r="J67" s="659">
        <f>Calculations!I70/Calculations!I$9</f>
        <v>0</v>
      </c>
      <c r="K67" s="659">
        <f>Calculations!J70/Calculations!J$9</f>
        <v>0</v>
      </c>
      <c r="L67" s="659">
        <f>Calculations!K70/Calculations!K$9</f>
        <v>0</v>
      </c>
      <c r="M67" s="659">
        <f>Calculations!L70/Calculations!L$9</f>
        <v>0</v>
      </c>
      <c r="N67" s="659">
        <f>Calculations!M70/Calculations!M$9</f>
        <v>0</v>
      </c>
      <c r="O67" s="659">
        <f>Calculations!N70/Calculations!N$9</f>
        <v>0</v>
      </c>
      <c r="P67" s="659">
        <f>Calculations!O70/Calculations!O$9</f>
        <v>0</v>
      </c>
      <c r="Q67" s="659">
        <f>Calculations!P70/Calculations!P$9</f>
        <v>0</v>
      </c>
      <c r="R67" s="659">
        <f>Calculations!Q70/Calculations!Q$9</f>
        <v>0</v>
      </c>
      <c r="S67" s="659">
        <f>Calculations!R70/Calculations!R$9</f>
        <v>0</v>
      </c>
      <c r="T67" s="659">
        <f>Calculations!S70/Calculations!S$9</f>
        <v>0</v>
      </c>
      <c r="U67" s="659">
        <f>Calculations!T70/Calculations!T$9</f>
        <v>0</v>
      </c>
      <c r="V67" s="659">
        <f>Calculations!U70/Calculations!U$9</f>
        <v>0</v>
      </c>
      <c r="W67" s="659">
        <f>Calculations!V70/Calculations!V$9</f>
        <v>0</v>
      </c>
      <c r="X67" s="659">
        <f>Calculations!W70/Calculations!W$9</f>
        <v>0</v>
      </c>
      <c r="Y67" s="659">
        <f>Calculations!X70/Calculations!X$9</f>
        <v>0</v>
      </c>
      <c r="Z67" s="659">
        <f>Calculations!Y70/Calculations!Y$9</f>
        <v>0</v>
      </c>
    </row>
    <row r="68" spans="3:26" ht="16.5" customHeight="1" x14ac:dyDescent="0.2">
      <c r="C68" s="513"/>
      <c r="D68" s="656" t="str">
        <f>Calculations!C71</f>
        <v>Cost 1</v>
      </c>
      <c r="E68" s="657">
        <f t="shared" si="10"/>
        <v>0</v>
      </c>
      <c r="F68" s="659">
        <f>Calculations!E71/Calculations!E$9</f>
        <v>0</v>
      </c>
      <c r="G68" s="659">
        <f>Calculations!F71/Calculations!F$9</f>
        <v>0</v>
      </c>
      <c r="H68" s="659">
        <f>Calculations!G71/Calculations!G$9</f>
        <v>0</v>
      </c>
      <c r="I68" s="659">
        <f>Calculations!H71/Calculations!H$9</f>
        <v>0</v>
      </c>
      <c r="J68" s="659">
        <f>Calculations!I71/Calculations!I$9</f>
        <v>0</v>
      </c>
      <c r="K68" s="659">
        <f>Calculations!J71/Calculations!J$9</f>
        <v>0</v>
      </c>
      <c r="L68" s="659">
        <f>Calculations!K71/Calculations!K$9</f>
        <v>0</v>
      </c>
      <c r="M68" s="659">
        <f>Calculations!L71/Calculations!L$9</f>
        <v>0</v>
      </c>
      <c r="N68" s="659">
        <f>Calculations!M71/Calculations!M$9</f>
        <v>0</v>
      </c>
      <c r="O68" s="659">
        <f>Calculations!N71/Calculations!N$9</f>
        <v>0</v>
      </c>
      <c r="P68" s="659">
        <f>Calculations!O71/Calculations!O$9</f>
        <v>0</v>
      </c>
      <c r="Q68" s="659">
        <f>Calculations!P71/Calculations!P$9</f>
        <v>0</v>
      </c>
      <c r="R68" s="659">
        <f>Calculations!Q71/Calculations!Q$9</f>
        <v>0</v>
      </c>
      <c r="S68" s="659">
        <f>Calculations!R71/Calculations!R$9</f>
        <v>0</v>
      </c>
      <c r="T68" s="659">
        <f>Calculations!S71/Calculations!S$9</f>
        <v>0</v>
      </c>
      <c r="U68" s="659">
        <f>Calculations!T71/Calculations!T$9</f>
        <v>0</v>
      </c>
      <c r="V68" s="659">
        <f>Calculations!U71/Calculations!U$9</f>
        <v>0</v>
      </c>
      <c r="W68" s="659">
        <f>Calculations!V71/Calculations!V$9</f>
        <v>0</v>
      </c>
      <c r="X68" s="659">
        <f>Calculations!W71/Calculations!W$9</f>
        <v>0</v>
      </c>
      <c r="Y68" s="659">
        <f>Calculations!X71/Calculations!X$9</f>
        <v>0</v>
      </c>
      <c r="Z68" s="659">
        <f>Calculations!Y71/Calculations!Y$9</f>
        <v>0</v>
      </c>
    </row>
    <row r="69" spans="3:26" ht="16.5" customHeight="1" x14ac:dyDescent="0.2">
      <c r="C69" s="513"/>
      <c r="D69" s="656" t="str">
        <f>Calculations!C72</f>
        <v>Cost 2</v>
      </c>
      <c r="E69" s="657">
        <f t="shared" si="10"/>
        <v>0</v>
      </c>
      <c r="F69" s="659">
        <f>Calculations!E72/Calculations!E$9</f>
        <v>0</v>
      </c>
      <c r="G69" s="659">
        <f>Calculations!F72/Calculations!F$9</f>
        <v>0</v>
      </c>
      <c r="H69" s="659">
        <f>Calculations!G72/Calculations!G$9</f>
        <v>0</v>
      </c>
      <c r="I69" s="659">
        <f>Calculations!H72/Calculations!H$9</f>
        <v>0</v>
      </c>
      <c r="J69" s="659">
        <f>Calculations!I72/Calculations!I$9</f>
        <v>0</v>
      </c>
      <c r="K69" s="659">
        <f>Calculations!J72/Calculations!J$9</f>
        <v>0</v>
      </c>
      <c r="L69" s="659">
        <f>Calculations!K72/Calculations!K$9</f>
        <v>0</v>
      </c>
      <c r="M69" s="659">
        <f>Calculations!L72/Calculations!L$9</f>
        <v>0</v>
      </c>
      <c r="N69" s="659">
        <f>Calculations!M72/Calculations!M$9</f>
        <v>0</v>
      </c>
      <c r="O69" s="659">
        <f>Calculations!N72/Calculations!N$9</f>
        <v>0</v>
      </c>
      <c r="P69" s="659">
        <f>Calculations!O72/Calculations!O$9</f>
        <v>0</v>
      </c>
      <c r="Q69" s="659">
        <f>Calculations!P72/Calculations!P$9</f>
        <v>0</v>
      </c>
      <c r="R69" s="659">
        <f>Calculations!Q72/Calculations!Q$9</f>
        <v>0</v>
      </c>
      <c r="S69" s="659">
        <f>Calculations!R72/Calculations!R$9</f>
        <v>0</v>
      </c>
      <c r="T69" s="659">
        <f>Calculations!S72/Calculations!S$9</f>
        <v>0</v>
      </c>
      <c r="U69" s="659">
        <f>Calculations!T72/Calculations!T$9</f>
        <v>0</v>
      </c>
      <c r="V69" s="659">
        <f>Calculations!U72/Calculations!U$9</f>
        <v>0</v>
      </c>
      <c r="W69" s="659">
        <f>Calculations!V72/Calculations!V$9</f>
        <v>0</v>
      </c>
      <c r="X69" s="659">
        <f>Calculations!W72/Calculations!W$9</f>
        <v>0</v>
      </c>
      <c r="Y69" s="659">
        <f>Calculations!X72/Calculations!X$9</f>
        <v>0</v>
      </c>
      <c r="Z69" s="659">
        <f>Calculations!Y72/Calculations!Y$9</f>
        <v>0</v>
      </c>
    </row>
    <row r="70" spans="3:26" ht="16.5" customHeight="1" x14ac:dyDescent="0.2">
      <c r="C70" s="513"/>
      <c r="D70" s="656" t="str">
        <f>Calculations!C73</f>
        <v>Cost 3</v>
      </c>
      <c r="E70" s="657">
        <f t="shared" si="10"/>
        <v>0</v>
      </c>
      <c r="F70" s="659">
        <f>Calculations!E73/Calculations!E$9</f>
        <v>0</v>
      </c>
      <c r="G70" s="659">
        <f>Calculations!F73/Calculations!F$9</f>
        <v>0</v>
      </c>
      <c r="H70" s="659">
        <f>Calculations!G73/Calculations!G$9</f>
        <v>0</v>
      </c>
      <c r="I70" s="659">
        <f>Calculations!H73/Calculations!H$9</f>
        <v>0</v>
      </c>
      <c r="J70" s="659">
        <f>Calculations!I73/Calculations!I$9</f>
        <v>0</v>
      </c>
      <c r="K70" s="659">
        <f>Calculations!J73/Calculations!J$9</f>
        <v>0</v>
      </c>
      <c r="L70" s="659">
        <f>Calculations!K73/Calculations!K$9</f>
        <v>0</v>
      </c>
      <c r="M70" s="659">
        <f>Calculations!L73/Calculations!L$9</f>
        <v>0</v>
      </c>
      <c r="N70" s="659">
        <f>Calculations!M73/Calculations!M$9</f>
        <v>0</v>
      </c>
      <c r="O70" s="659">
        <f>Calculations!N73/Calculations!N$9</f>
        <v>0</v>
      </c>
      <c r="P70" s="659">
        <f>Calculations!O73/Calculations!O$9</f>
        <v>0</v>
      </c>
      <c r="Q70" s="659">
        <f>Calculations!P73/Calculations!P$9</f>
        <v>0</v>
      </c>
      <c r="R70" s="659">
        <f>Calculations!Q73/Calculations!Q$9</f>
        <v>0</v>
      </c>
      <c r="S70" s="659">
        <f>Calculations!R73/Calculations!R$9</f>
        <v>0</v>
      </c>
      <c r="T70" s="659">
        <f>Calculations!S73/Calculations!S$9</f>
        <v>0</v>
      </c>
      <c r="U70" s="659">
        <f>Calculations!T73/Calculations!T$9</f>
        <v>0</v>
      </c>
      <c r="V70" s="659">
        <f>Calculations!U73/Calculations!U$9</f>
        <v>0</v>
      </c>
      <c r="W70" s="659">
        <f>Calculations!V73/Calculations!V$9</f>
        <v>0</v>
      </c>
      <c r="X70" s="659">
        <f>Calculations!W73/Calculations!W$9</f>
        <v>0</v>
      </c>
      <c r="Y70" s="659">
        <f>Calculations!X73/Calculations!X$9</f>
        <v>0</v>
      </c>
      <c r="Z70" s="659">
        <f>Calculations!Y73/Calculations!Y$9</f>
        <v>0</v>
      </c>
    </row>
    <row r="71" spans="3:26" ht="16.5" customHeight="1" x14ac:dyDescent="0.2">
      <c r="C71" s="513"/>
      <c r="D71" s="656" t="str">
        <f>Calculations!C74</f>
        <v>Cost 4</v>
      </c>
      <c r="E71" s="657">
        <f t="shared" si="10"/>
        <v>0</v>
      </c>
      <c r="F71" s="659">
        <f>Calculations!E74/Calculations!E$9</f>
        <v>0</v>
      </c>
      <c r="G71" s="659">
        <f>Calculations!F74/Calculations!F$9</f>
        <v>0</v>
      </c>
      <c r="H71" s="659">
        <f>Calculations!G74/Calculations!G$9</f>
        <v>0</v>
      </c>
      <c r="I71" s="659">
        <f>Calculations!H74/Calculations!H$9</f>
        <v>0</v>
      </c>
      <c r="J71" s="659">
        <f>Calculations!I74/Calculations!I$9</f>
        <v>0</v>
      </c>
      <c r="K71" s="659">
        <f>Calculations!J74/Calculations!J$9</f>
        <v>0</v>
      </c>
      <c r="L71" s="659">
        <f>Calculations!K74/Calculations!K$9</f>
        <v>0</v>
      </c>
      <c r="M71" s="659">
        <f>Calculations!L74/Calculations!L$9</f>
        <v>0</v>
      </c>
      <c r="N71" s="659">
        <f>Calculations!M74/Calculations!M$9</f>
        <v>0</v>
      </c>
      <c r="O71" s="659">
        <f>Calculations!N74/Calculations!N$9</f>
        <v>0</v>
      </c>
      <c r="P71" s="659">
        <f>Calculations!O74/Calculations!O$9</f>
        <v>0</v>
      </c>
      <c r="Q71" s="659">
        <f>Calculations!P74/Calculations!P$9</f>
        <v>0</v>
      </c>
      <c r="R71" s="659">
        <f>Calculations!Q74/Calculations!Q$9</f>
        <v>0</v>
      </c>
      <c r="S71" s="659">
        <f>Calculations!R74/Calculations!R$9</f>
        <v>0</v>
      </c>
      <c r="T71" s="659">
        <f>Calculations!S74/Calculations!S$9</f>
        <v>0</v>
      </c>
      <c r="U71" s="659">
        <f>Calculations!T74/Calculations!T$9</f>
        <v>0</v>
      </c>
      <c r="V71" s="659">
        <f>Calculations!U74/Calculations!U$9</f>
        <v>0</v>
      </c>
      <c r="W71" s="659">
        <f>Calculations!V74/Calculations!V$9</f>
        <v>0</v>
      </c>
      <c r="X71" s="659">
        <f>Calculations!W74/Calculations!W$9</f>
        <v>0</v>
      </c>
      <c r="Y71" s="659">
        <f>Calculations!X74/Calculations!X$9</f>
        <v>0</v>
      </c>
      <c r="Z71" s="659">
        <f>Calculations!Y74/Calculations!Y$9</f>
        <v>0</v>
      </c>
    </row>
    <row r="72" spans="3:26" ht="16.5" customHeight="1" x14ac:dyDescent="0.2">
      <c r="C72" s="513"/>
      <c r="D72" s="656" t="str">
        <f>Calculations!C75</f>
        <v>Cost 5</v>
      </c>
      <c r="E72" s="657">
        <f t="shared" si="10"/>
        <v>0</v>
      </c>
      <c r="F72" s="659">
        <f>Calculations!E75/Calculations!E$9</f>
        <v>0</v>
      </c>
      <c r="G72" s="659">
        <f>Calculations!F75/Calculations!F$9</f>
        <v>0</v>
      </c>
      <c r="H72" s="659">
        <f>Calculations!G75/Calculations!G$9</f>
        <v>0</v>
      </c>
      <c r="I72" s="659">
        <f>Calculations!H75/Calculations!H$9</f>
        <v>0</v>
      </c>
      <c r="J72" s="659">
        <f>Calculations!I75/Calculations!I$9</f>
        <v>0</v>
      </c>
      <c r="K72" s="659">
        <f>Calculations!J75/Calculations!J$9</f>
        <v>0</v>
      </c>
      <c r="L72" s="659">
        <f>Calculations!K75/Calculations!K$9</f>
        <v>0</v>
      </c>
      <c r="M72" s="659">
        <f>Calculations!L75/Calculations!L$9</f>
        <v>0</v>
      </c>
      <c r="N72" s="659">
        <f>Calculations!M75/Calculations!M$9</f>
        <v>0</v>
      </c>
      <c r="O72" s="659">
        <f>Calculations!N75/Calculations!N$9</f>
        <v>0</v>
      </c>
      <c r="P72" s="659">
        <f>Calculations!O75/Calculations!O$9</f>
        <v>0</v>
      </c>
      <c r="Q72" s="659">
        <f>Calculations!P75/Calculations!P$9</f>
        <v>0</v>
      </c>
      <c r="R72" s="659">
        <f>Calculations!Q75/Calculations!Q$9</f>
        <v>0</v>
      </c>
      <c r="S72" s="659">
        <f>Calculations!R75/Calculations!R$9</f>
        <v>0</v>
      </c>
      <c r="T72" s="659">
        <f>Calculations!S75/Calculations!S$9</f>
        <v>0</v>
      </c>
      <c r="U72" s="659">
        <f>Calculations!T75/Calculations!T$9</f>
        <v>0</v>
      </c>
      <c r="V72" s="659">
        <f>Calculations!U75/Calculations!U$9</f>
        <v>0</v>
      </c>
      <c r="W72" s="659">
        <f>Calculations!V75/Calculations!V$9</f>
        <v>0</v>
      </c>
      <c r="X72" s="659">
        <f>Calculations!W75/Calculations!W$9</f>
        <v>0</v>
      </c>
      <c r="Y72" s="659">
        <f>Calculations!X75/Calculations!X$9</f>
        <v>0</v>
      </c>
      <c r="Z72" s="659">
        <f>Calculations!Y75/Calculations!Y$9</f>
        <v>0</v>
      </c>
    </row>
    <row r="73" spans="3:26" ht="16.5" customHeight="1" x14ac:dyDescent="0.2">
      <c r="C73" s="513"/>
      <c r="D73" s="656" t="str">
        <f>Calculations!C76</f>
        <v>Risk 1</v>
      </c>
      <c r="E73" s="657">
        <f t="shared" si="10"/>
        <v>0</v>
      </c>
      <c r="F73" s="659">
        <f>Calculations!E76/Calculations!E$9</f>
        <v>0</v>
      </c>
      <c r="G73" s="659">
        <f>Calculations!F76/Calculations!F$9</f>
        <v>0</v>
      </c>
      <c r="H73" s="659">
        <f>Calculations!G76/Calculations!G$9</f>
        <v>0</v>
      </c>
      <c r="I73" s="659">
        <f>Calculations!H76/Calculations!H$9</f>
        <v>0</v>
      </c>
      <c r="J73" s="659">
        <f>Calculations!I76/Calculations!I$9</f>
        <v>0</v>
      </c>
      <c r="K73" s="659">
        <f>Calculations!J76/Calculations!J$9</f>
        <v>0</v>
      </c>
      <c r="L73" s="659">
        <f>Calculations!K76/Calculations!K$9</f>
        <v>0</v>
      </c>
      <c r="M73" s="659">
        <f>Calculations!L76/Calculations!L$9</f>
        <v>0</v>
      </c>
      <c r="N73" s="659">
        <f>Calculations!M76/Calculations!M$9</f>
        <v>0</v>
      </c>
      <c r="O73" s="659">
        <f>Calculations!N76/Calculations!N$9</f>
        <v>0</v>
      </c>
      <c r="P73" s="659">
        <f>Calculations!O76/Calculations!O$9</f>
        <v>0</v>
      </c>
      <c r="Q73" s="659">
        <f>Calculations!P76/Calculations!P$9</f>
        <v>0</v>
      </c>
      <c r="R73" s="659">
        <f>Calculations!Q76/Calculations!Q$9</f>
        <v>0</v>
      </c>
      <c r="S73" s="659">
        <f>Calculations!R76/Calculations!R$9</f>
        <v>0</v>
      </c>
      <c r="T73" s="659">
        <f>Calculations!S76/Calculations!S$9</f>
        <v>0</v>
      </c>
      <c r="U73" s="659">
        <f>Calculations!T76/Calculations!T$9</f>
        <v>0</v>
      </c>
      <c r="V73" s="659">
        <f>Calculations!U76/Calculations!U$9</f>
        <v>0</v>
      </c>
      <c r="W73" s="659">
        <f>Calculations!V76/Calculations!V$9</f>
        <v>0</v>
      </c>
      <c r="X73" s="659">
        <f>Calculations!W76/Calculations!W$9</f>
        <v>0</v>
      </c>
      <c r="Y73" s="659">
        <f>Calculations!X76/Calculations!X$9</f>
        <v>0</v>
      </c>
      <c r="Z73" s="659">
        <f>Calculations!Y76/Calculations!Y$9</f>
        <v>0</v>
      </c>
    </row>
    <row r="74" spans="3:26" ht="16.5" customHeight="1" x14ac:dyDescent="0.2">
      <c r="C74" s="513"/>
      <c r="D74" s="656" t="str">
        <f>Calculations!C77</f>
        <v>Risk 2</v>
      </c>
      <c r="E74" s="657">
        <f t="shared" si="10"/>
        <v>0</v>
      </c>
      <c r="F74" s="659">
        <f>Calculations!E77/Calculations!E$9</f>
        <v>0</v>
      </c>
      <c r="G74" s="659">
        <f>Calculations!F77/Calculations!F$9</f>
        <v>0</v>
      </c>
      <c r="H74" s="659">
        <f>Calculations!G77/Calculations!G$9</f>
        <v>0</v>
      </c>
      <c r="I74" s="659">
        <f>Calculations!H77/Calculations!H$9</f>
        <v>0</v>
      </c>
      <c r="J74" s="659">
        <f>Calculations!I77/Calculations!I$9</f>
        <v>0</v>
      </c>
      <c r="K74" s="659">
        <f>Calculations!J77/Calculations!J$9</f>
        <v>0</v>
      </c>
      <c r="L74" s="659">
        <f>Calculations!K77/Calculations!K$9</f>
        <v>0</v>
      </c>
      <c r="M74" s="659">
        <f>Calculations!L77/Calculations!L$9</f>
        <v>0</v>
      </c>
      <c r="N74" s="659">
        <f>Calculations!M77/Calculations!M$9</f>
        <v>0</v>
      </c>
      <c r="O74" s="659">
        <f>Calculations!N77/Calculations!N$9</f>
        <v>0</v>
      </c>
      <c r="P74" s="659">
        <f>Calculations!O77/Calculations!O$9</f>
        <v>0</v>
      </c>
      <c r="Q74" s="659">
        <f>Calculations!P77/Calculations!P$9</f>
        <v>0</v>
      </c>
      <c r="R74" s="659">
        <f>Calculations!Q77/Calculations!Q$9</f>
        <v>0</v>
      </c>
      <c r="S74" s="659">
        <f>Calculations!R77/Calculations!R$9</f>
        <v>0</v>
      </c>
      <c r="T74" s="659">
        <f>Calculations!S77/Calculations!S$9</f>
        <v>0</v>
      </c>
      <c r="U74" s="659">
        <f>Calculations!T77/Calculations!T$9</f>
        <v>0</v>
      </c>
      <c r="V74" s="659">
        <f>Calculations!U77/Calculations!U$9</f>
        <v>0</v>
      </c>
      <c r="W74" s="659">
        <f>Calculations!V77/Calculations!V$9</f>
        <v>0</v>
      </c>
      <c r="X74" s="659">
        <f>Calculations!W77/Calculations!W$9</f>
        <v>0</v>
      </c>
      <c r="Y74" s="659">
        <f>Calculations!X77/Calculations!X$9</f>
        <v>0</v>
      </c>
      <c r="Z74" s="659">
        <f>Calculations!Y77/Calculations!Y$9</f>
        <v>0</v>
      </c>
    </row>
    <row r="75" spans="3:26" ht="16.5" customHeight="1" x14ac:dyDescent="0.2">
      <c r="C75" s="513"/>
      <c r="D75" s="656" t="str">
        <f>Calculations!C78</f>
        <v>Risk 3</v>
      </c>
      <c r="E75" s="657">
        <f t="shared" si="10"/>
        <v>0</v>
      </c>
      <c r="F75" s="659">
        <f>Calculations!E78/Calculations!E$9</f>
        <v>0</v>
      </c>
      <c r="G75" s="659">
        <f>Calculations!F78/Calculations!F$9</f>
        <v>0</v>
      </c>
      <c r="H75" s="659">
        <f>Calculations!G78/Calculations!G$9</f>
        <v>0</v>
      </c>
      <c r="I75" s="659">
        <f>Calculations!H78/Calculations!H$9</f>
        <v>0</v>
      </c>
      <c r="J75" s="659">
        <f>Calculations!I78/Calculations!I$9</f>
        <v>0</v>
      </c>
      <c r="K75" s="659">
        <f>Calculations!J78/Calculations!J$9</f>
        <v>0</v>
      </c>
      <c r="L75" s="659">
        <f>Calculations!K78/Calculations!K$9</f>
        <v>0</v>
      </c>
      <c r="M75" s="659">
        <f>Calculations!L78/Calculations!L$9</f>
        <v>0</v>
      </c>
      <c r="N75" s="659">
        <f>Calculations!M78/Calculations!M$9</f>
        <v>0</v>
      </c>
      <c r="O75" s="659">
        <f>Calculations!N78/Calculations!N$9</f>
        <v>0</v>
      </c>
      <c r="P75" s="659">
        <f>Calculations!O78/Calculations!O$9</f>
        <v>0</v>
      </c>
      <c r="Q75" s="659">
        <f>Calculations!P78/Calculations!P$9</f>
        <v>0</v>
      </c>
      <c r="R75" s="659">
        <f>Calculations!Q78/Calculations!Q$9</f>
        <v>0</v>
      </c>
      <c r="S75" s="659">
        <f>Calculations!R78/Calculations!R$9</f>
        <v>0</v>
      </c>
      <c r="T75" s="659">
        <f>Calculations!S78/Calculations!S$9</f>
        <v>0</v>
      </c>
      <c r="U75" s="659">
        <f>Calculations!T78/Calculations!T$9</f>
        <v>0</v>
      </c>
      <c r="V75" s="659">
        <f>Calculations!U78/Calculations!U$9</f>
        <v>0</v>
      </c>
      <c r="W75" s="659">
        <f>Calculations!V78/Calculations!V$9</f>
        <v>0</v>
      </c>
      <c r="X75" s="659">
        <f>Calculations!W78/Calculations!W$9</f>
        <v>0</v>
      </c>
      <c r="Y75" s="659">
        <f>Calculations!X78/Calculations!X$9</f>
        <v>0</v>
      </c>
      <c r="Z75" s="659">
        <f>Calculations!Y78/Calculations!Y$9</f>
        <v>0</v>
      </c>
    </row>
    <row r="76" spans="3:26" ht="16.5" customHeight="1" x14ac:dyDescent="0.2">
      <c r="C76" s="513"/>
      <c r="D76" s="656" t="str">
        <f>Calculations!C79</f>
        <v>Risk 4</v>
      </c>
      <c r="E76" s="657">
        <f t="shared" si="10"/>
        <v>0</v>
      </c>
      <c r="F76" s="659">
        <f>Calculations!E79/Calculations!E$9</f>
        <v>0</v>
      </c>
      <c r="G76" s="659">
        <f>Calculations!F79/Calculations!F$9</f>
        <v>0</v>
      </c>
      <c r="H76" s="659">
        <f>Calculations!G79/Calculations!G$9</f>
        <v>0</v>
      </c>
      <c r="I76" s="659">
        <f>Calculations!H79/Calculations!H$9</f>
        <v>0</v>
      </c>
      <c r="J76" s="659">
        <f>Calculations!I79/Calculations!I$9</f>
        <v>0</v>
      </c>
      <c r="K76" s="659">
        <f>Calculations!J79/Calculations!J$9</f>
        <v>0</v>
      </c>
      <c r="L76" s="659">
        <f>Calculations!K79/Calculations!K$9</f>
        <v>0</v>
      </c>
      <c r="M76" s="659">
        <f>Calculations!L79/Calculations!L$9</f>
        <v>0</v>
      </c>
      <c r="N76" s="659">
        <f>Calculations!M79/Calculations!M$9</f>
        <v>0</v>
      </c>
      <c r="O76" s="659">
        <f>Calculations!N79/Calculations!N$9</f>
        <v>0</v>
      </c>
      <c r="P76" s="659">
        <f>Calculations!O79/Calculations!O$9</f>
        <v>0</v>
      </c>
      <c r="Q76" s="659">
        <f>Calculations!P79/Calculations!P$9</f>
        <v>0</v>
      </c>
      <c r="R76" s="659">
        <f>Calculations!Q79/Calculations!Q$9</f>
        <v>0</v>
      </c>
      <c r="S76" s="659">
        <f>Calculations!R79/Calculations!R$9</f>
        <v>0</v>
      </c>
      <c r="T76" s="659">
        <f>Calculations!S79/Calculations!S$9</f>
        <v>0</v>
      </c>
      <c r="U76" s="659">
        <f>Calculations!T79/Calculations!T$9</f>
        <v>0</v>
      </c>
      <c r="V76" s="659">
        <f>Calculations!U79/Calculations!U$9</f>
        <v>0</v>
      </c>
      <c r="W76" s="659">
        <f>Calculations!V79/Calculations!V$9</f>
        <v>0</v>
      </c>
      <c r="X76" s="659">
        <f>Calculations!W79/Calculations!W$9</f>
        <v>0</v>
      </c>
      <c r="Y76" s="659">
        <f>Calculations!X79/Calculations!X$9</f>
        <v>0</v>
      </c>
      <c r="Z76" s="659">
        <f>Calculations!Y79/Calculations!Y$9</f>
        <v>0</v>
      </c>
    </row>
    <row r="77" spans="3:26" ht="16.5" customHeight="1" x14ac:dyDescent="0.2">
      <c r="C77" s="513"/>
      <c r="D77" s="656" t="str">
        <f>Calculations!C80</f>
        <v>Risk 5</v>
      </c>
      <c r="E77" s="657">
        <f t="shared" si="10"/>
        <v>0</v>
      </c>
      <c r="F77" s="659">
        <f>Calculations!E80/Calculations!E$9</f>
        <v>0</v>
      </c>
      <c r="G77" s="659">
        <f>Calculations!F80/Calculations!F$9</f>
        <v>0</v>
      </c>
      <c r="H77" s="659">
        <f>Calculations!G80/Calculations!G$9</f>
        <v>0</v>
      </c>
      <c r="I77" s="659">
        <f>Calculations!H80/Calculations!H$9</f>
        <v>0</v>
      </c>
      <c r="J77" s="659">
        <f>Calculations!I80/Calculations!I$9</f>
        <v>0</v>
      </c>
      <c r="K77" s="659">
        <f>Calculations!J80/Calculations!J$9</f>
        <v>0</v>
      </c>
      <c r="L77" s="659">
        <f>Calculations!K80/Calculations!K$9</f>
        <v>0</v>
      </c>
      <c r="M77" s="659">
        <f>Calculations!L80/Calculations!L$9</f>
        <v>0</v>
      </c>
      <c r="N77" s="659">
        <f>Calculations!M80/Calculations!M$9</f>
        <v>0</v>
      </c>
      <c r="O77" s="659">
        <f>Calculations!N80/Calculations!N$9</f>
        <v>0</v>
      </c>
      <c r="P77" s="659">
        <f>Calculations!O80/Calculations!O$9</f>
        <v>0</v>
      </c>
      <c r="Q77" s="659">
        <f>Calculations!P80/Calculations!P$9</f>
        <v>0</v>
      </c>
      <c r="R77" s="659">
        <f>Calculations!Q80/Calculations!Q$9</f>
        <v>0</v>
      </c>
      <c r="S77" s="659">
        <f>Calculations!R80/Calculations!R$9</f>
        <v>0</v>
      </c>
      <c r="T77" s="659">
        <f>Calculations!S80/Calculations!S$9</f>
        <v>0</v>
      </c>
      <c r="U77" s="659">
        <f>Calculations!T80/Calculations!T$9</f>
        <v>0</v>
      </c>
      <c r="V77" s="659">
        <f>Calculations!U80/Calculations!U$9</f>
        <v>0</v>
      </c>
      <c r="W77" s="659">
        <f>Calculations!V80/Calculations!V$9</f>
        <v>0</v>
      </c>
      <c r="X77" s="659">
        <f>Calculations!W80/Calculations!W$9</f>
        <v>0</v>
      </c>
      <c r="Y77" s="659">
        <f>Calculations!X80/Calculations!X$9</f>
        <v>0</v>
      </c>
      <c r="Z77" s="659">
        <f>Calculations!Y80/Calculations!Y$9</f>
        <v>0</v>
      </c>
    </row>
    <row r="78" spans="3:26" ht="16.5" customHeight="1" x14ac:dyDescent="0.2">
      <c r="C78" s="513"/>
      <c r="D78" s="656" t="s">
        <v>254</v>
      </c>
      <c r="E78" s="657">
        <f t="shared" ref="E78:Z78" si="11">SUM(E59:E77)-E61</f>
        <v>8060.9255822332543</v>
      </c>
      <c r="F78" s="657">
        <f t="shared" si="11"/>
        <v>4646.1272381593308</v>
      </c>
      <c r="G78" s="657">
        <f t="shared" si="11"/>
        <v>3414.798344073924</v>
      </c>
      <c r="H78" s="657">
        <f t="shared" si="11"/>
        <v>0</v>
      </c>
      <c r="I78" s="657">
        <f t="shared" si="11"/>
        <v>0</v>
      </c>
      <c r="J78" s="657">
        <f t="shared" si="11"/>
        <v>0</v>
      </c>
      <c r="K78" s="657">
        <f t="shared" si="11"/>
        <v>0</v>
      </c>
      <c r="L78" s="657">
        <f t="shared" si="11"/>
        <v>0</v>
      </c>
      <c r="M78" s="657">
        <f t="shared" si="11"/>
        <v>0</v>
      </c>
      <c r="N78" s="657">
        <f t="shared" si="11"/>
        <v>0</v>
      </c>
      <c r="O78" s="657">
        <f t="shared" si="11"/>
        <v>0</v>
      </c>
      <c r="P78" s="657">
        <f t="shared" si="11"/>
        <v>0</v>
      </c>
      <c r="Q78" s="657">
        <f t="shared" si="11"/>
        <v>0</v>
      </c>
      <c r="R78" s="657">
        <f t="shared" si="11"/>
        <v>0</v>
      </c>
      <c r="S78" s="657">
        <f t="shared" si="11"/>
        <v>0</v>
      </c>
      <c r="T78" s="657">
        <f t="shared" si="11"/>
        <v>0</v>
      </c>
      <c r="U78" s="657">
        <f t="shared" si="11"/>
        <v>0</v>
      </c>
      <c r="V78" s="657">
        <f t="shared" si="11"/>
        <v>0</v>
      </c>
      <c r="W78" s="657">
        <f t="shared" si="11"/>
        <v>0</v>
      </c>
      <c r="X78" s="657">
        <f t="shared" si="11"/>
        <v>0</v>
      </c>
      <c r="Y78" s="657">
        <f t="shared" si="11"/>
        <v>0</v>
      </c>
      <c r="Z78" s="657">
        <f t="shared" si="11"/>
        <v>0</v>
      </c>
    </row>
    <row r="79" spans="3:26" ht="16.5" customHeight="1" x14ac:dyDescent="0.2">
      <c r="C79" s="513"/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</row>
    <row r="80" spans="3:26" ht="16.5" customHeight="1" x14ac:dyDescent="0.25">
      <c r="C80" s="513"/>
      <c r="D80" s="651" t="str">
        <f>'User Input'!D111</f>
        <v xml:space="preserve">Option 3: </v>
      </c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</row>
    <row r="81" spans="3:26" ht="16.5" customHeight="1" x14ac:dyDescent="0.25">
      <c r="C81" s="513"/>
      <c r="D81" s="499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3"/>
    </row>
    <row r="82" spans="3:26" ht="16.5" customHeight="1" x14ac:dyDescent="0.25">
      <c r="C82" s="513"/>
      <c r="D82" s="654"/>
      <c r="E82" s="711"/>
      <c r="F82" s="711"/>
      <c r="G82" s="711"/>
      <c r="H82" s="711"/>
      <c r="I82" s="711"/>
      <c r="J82" s="711"/>
      <c r="K82" s="711"/>
      <c r="L82" s="711"/>
      <c r="M82" s="711"/>
      <c r="N82" s="711"/>
      <c r="O82" s="711"/>
      <c r="P82" s="711"/>
      <c r="Q82" s="711"/>
      <c r="R82" s="711"/>
      <c r="S82" s="711"/>
      <c r="T82" s="711"/>
      <c r="U82" s="711"/>
      <c r="V82" s="711"/>
      <c r="W82" s="711"/>
      <c r="X82" s="711"/>
      <c r="Y82" s="711"/>
      <c r="Z82" s="711"/>
    </row>
    <row r="83" spans="3:26" ht="16.5" customHeight="1" x14ac:dyDescent="0.25">
      <c r="C83" s="513"/>
      <c r="D83" s="654"/>
      <c r="E83" s="655" t="s">
        <v>254</v>
      </c>
      <c r="F83" s="655">
        <f>'User Input'!$E$6</f>
        <v>2019</v>
      </c>
      <c r="G83" s="655">
        <f>F83+1</f>
        <v>2020</v>
      </c>
      <c r="H83" s="655">
        <f t="shared" ref="H83:Z83" si="12">G83+1</f>
        <v>2021</v>
      </c>
      <c r="I83" s="655">
        <f t="shared" si="12"/>
        <v>2022</v>
      </c>
      <c r="J83" s="655">
        <f t="shared" si="12"/>
        <v>2023</v>
      </c>
      <c r="K83" s="655">
        <f t="shared" si="12"/>
        <v>2024</v>
      </c>
      <c r="L83" s="655">
        <f t="shared" si="12"/>
        <v>2025</v>
      </c>
      <c r="M83" s="655">
        <f t="shared" si="12"/>
        <v>2026</v>
      </c>
      <c r="N83" s="655">
        <f t="shared" si="12"/>
        <v>2027</v>
      </c>
      <c r="O83" s="655">
        <f t="shared" si="12"/>
        <v>2028</v>
      </c>
      <c r="P83" s="655">
        <f t="shared" si="12"/>
        <v>2029</v>
      </c>
      <c r="Q83" s="655">
        <f t="shared" si="12"/>
        <v>2030</v>
      </c>
      <c r="R83" s="655">
        <f t="shared" si="12"/>
        <v>2031</v>
      </c>
      <c r="S83" s="655">
        <f t="shared" si="12"/>
        <v>2032</v>
      </c>
      <c r="T83" s="655">
        <f t="shared" si="12"/>
        <v>2033</v>
      </c>
      <c r="U83" s="655">
        <f t="shared" si="12"/>
        <v>2034</v>
      </c>
      <c r="V83" s="655">
        <f t="shared" si="12"/>
        <v>2035</v>
      </c>
      <c r="W83" s="655">
        <f t="shared" si="12"/>
        <v>2036</v>
      </c>
      <c r="X83" s="655">
        <f t="shared" si="12"/>
        <v>2037</v>
      </c>
      <c r="Y83" s="655">
        <f t="shared" si="12"/>
        <v>2038</v>
      </c>
      <c r="Z83" s="655">
        <f t="shared" si="12"/>
        <v>2039</v>
      </c>
    </row>
    <row r="84" spans="3:26" ht="16.5" customHeight="1" x14ac:dyDescent="0.2">
      <c r="C84" s="513"/>
      <c r="D84" s="656" t="str">
        <f>Calculations!C86</f>
        <v>Capital Costs</v>
      </c>
      <c r="E84" s="657">
        <f>SUM(F84:Z84)</f>
        <v>0</v>
      </c>
      <c r="F84" s="659">
        <f>Calculations!E86/Calculations!E$9</f>
        <v>0</v>
      </c>
      <c r="G84" s="659">
        <f>Calculations!F86/Calculations!F$9</f>
        <v>0</v>
      </c>
      <c r="H84" s="659">
        <f>Calculations!G86/Calculations!G$9</f>
        <v>0</v>
      </c>
      <c r="I84" s="659">
        <f>Calculations!H86/Calculations!H$9</f>
        <v>0</v>
      </c>
      <c r="J84" s="659">
        <f>Calculations!I86/Calculations!I$9</f>
        <v>0</v>
      </c>
      <c r="K84" s="659">
        <f>Calculations!J86/Calculations!J$9</f>
        <v>0</v>
      </c>
      <c r="L84" s="659">
        <f>Calculations!K86/Calculations!K$9</f>
        <v>0</v>
      </c>
      <c r="M84" s="659">
        <f>Calculations!L86/Calculations!L$9</f>
        <v>0</v>
      </c>
      <c r="N84" s="659">
        <f>Calculations!M86/Calculations!M$9</f>
        <v>0</v>
      </c>
      <c r="O84" s="659">
        <f>Calculations!N86/Calculations!N$9</f>
        <v>0</v>
      </c>
      <c r="P84" s="659">
        <f>Calculations!O86/Calculations!O$9</f>
        <v>0</v>
      </c>
      <c r="Q84" s="659">
        <f>Calculations!P86/Calculations!P$9</f>
        <v>0</v>
      </c>
      <c r="R84" s="659">
        <f>Calculations!Q86/Calculations!Q$9</f>
        <v>0</v>
      </c>
      <c r="S84" s="659">
        <f>Calculations!R86/Calculations!R$9</f>
        <v>0</v>
      </c>
      <c r="T84" s="659">
        <f>Calculations!S86/Calculations!S$9</f>
        <v>0</v>
      </c>
      <c r="U84" s="659">
        <f>Calculations!T86/Calculations!T$9</f>
        <v>0</v>
      </c>
      <c r="V84" s="659">
        <f>Calculations!U86/Calculations!U$9</f>
        <v>0</v>
      </c>
      <c r="W84" s="659">
        <f>Calculations!V86/Calculations!V$9</f>
        <v>0</v>
      </c>
      <c r="X84" s="659">
        <f>Calculations!W86/Calculations!W$9</f>
        <v>0</v>
      </c>
      <c r="Y84" s="659">
        <f>Calculations!X86/Calculations!X$9</f>
        <v>0</v>
      </c>
      <c r="Z84" s="659">
        <f>Calculations!Y86/Calculations!Y$9</f>
        <v>0</v>
      </c>
    </row>
    <row r="85" spans="3:26" ht="16.5" customHeight="1" x14ac:dyDescent="0.2">
      <c r="C85" s="513"/>
      <c r="D85" s="656" t="str">
        <f>Calculations!C87</f>
        <v>Maintenance Costs</v>
      </c>
      <c r="E85" s="657">
        <f>SUM(F85:Z85)</f>
        <v>0</v>
      </c>
      <c r="F85" s="659">
        <f>Calculations!E87/Calculations!E$9</f>
        <v>0</v>
      </c>
      <c r="G85" s="659">
        <f>Calculations!F87/Calculations!F$9</f>
        <v>0</v>
      </c>
      <c r="H85" s="659">
        <f>Calculations!G87/Calculations!G$9</f>
        <v>0</v>
      </c>
      <c r="I85" s="659">
        <f>Calculations!H87/Calculations!H$9</f>
        <v>0</v>
      </c>
      <c r="J85" s="659">
        <f>Calculations!I87/Calculations!I$9</f>
        <v>0</v>
      </c>
      <c r="K85" s="659">
        <f>Calculations!J87/Calculations!J$9</f>
        <v>0</v>
      </c>
      <c r="L85" s="659">
        <f>Calculations!K87/Calculations!K$9</f>
        <v>0</v>
      </c>
      <c r="M85" s="659">
        <f>Calculations!L87/Calculations!L$9</f>
        <v>0</v>
      </c>
      <c r="N85" s="659">
        <f>Calculations!M87/Calculations!M$9</f>
        <v>0</v>
      </c>
      <c r="O85" s="659">
        <f>Calculations!N87/Calculations!N$9</f>
        <v>0</v>
      </c>
      <c r="P85" s="659">
        <f>Calculations!O87/Calculations!O$9</f>
        <v>0</v>
      </c>
      <c r="Q85" s="659">
        <f>Calculations!P87/Calculations!P$9</f>
        <v>0</v>
      </c>
      <c r="R85" s="659">
        <f>Calculations!Q87/Calculations!Q$9</f>
        <v>0</v>
      </c>
      <c r="S85" s="659">
        <f>Calculations!R87/Calculations!R$9</f>
        <v>0</v>
      </c>
      <c r="T85" s="659">
        <f>Calculations!S87/Calculations!S$9</f>
        <v>0</v>
      </c>
      <c r="U85" s="659">
        <f>Calculations!T87/Calculations!T$9</f>
        <v>0</v>
      </c>
      <c r="V85" s="659">
        <f>Calculations!U87/Calculations!U$9</f>
        <v>0</v>
      </c>
      <c r="W85" s="659">
        <f>Calculations!V87/Calculations!V$9</f>
        <v>0</v>
      </c>
      <c r="X85" s="659">
        <f>Calculations!W87/Calculations!W$9</f>
        <v>0</v>
      </c>
      <c r="Y85" s="659">
        <f>Calculations!X87/Calculations!X$9</f>
        <v>0</v>
      </c>
      <c r="Z85" s="659">
        <f>Calculations!Y87/Calculations!Y$9</f>
        <v>0</v>
      </c>
    </row>
    <row r="86" spans="3:26" ht="16.5" customHeight="1" x14ac:dyDescent="0.2">
      <c r="C86" s="513"/>
      <c r="D86" s="656" t="str">
        <f>Calculations!C88</f>
        <v>Negative Impact on Revenue (STPIS)</v>
      </c>
      <c r="E86" s="657">
        <f t="shared" ref="E86:Z86" si="13">SUM(E87:E90)</f>
        <v>0</v>
      </c>
      <c r="F86" s="657">
        <f t="shared" si="13"/>
        <v>0</v>
      </c>
      <c r="G86" s="657">
        <f t="shared" si="13"/>
        <v>0</v>
      </c>
      <c r="H86" s="657">
        <f t="shared" si="13"/>
        <v>0</v>
      </c>
      <c r="I86" s="657">
        <f t="shared" si="13"/>
        <v>0</v>
      </c>
      <c r="J86" s="657">
        <f t="shared" si="13"/>
        <v>0</v>
      </c>
      <c r="K86" s="657">
        <f t="shared" si="13"/>
        <v>0</v>
      </c>
      <c r="L86" s="657">
        <f t="shared" si="13"/>
        <v>0</v>
      </c>
      <c r="M86" s="657">
        <f t="shared" si="13"/>
        <v>0</v>
      </c>
      <c r="N86" s="657">
        <f t="shared" si="13"/>
        <v>0</v>
      </c>
      <c r="O86" s="657">
        <f t="shared" si="13"/>
        <v>0</v>
      </c>
      <c r="P86" s="657">
        <f t="shared" si="13"/>
        <v>0</v>
      </c>
      <c r="Q86" s="657">
        <f t="shared" si="13"/>
        <v>0</v>
      </c>
      <c r="R86" s="657">
        <f t="shared" si="13"/>
        <v>0</v>
      </c>
      <c r="S86" s="657">
        <f t="shared" si="13"/>
        <v>0</v>
      </c>
      <c r="T86" s="657">
        <f t="shared" si="13"/>
        <v>0</v>
      </c>
      <c r="U86" s="657">
        <f t="shared" si="13"/>
        <v>0</v>
      </c>
      <c r="V86" s="657">
        <f t="shared" si="13"/>
        <v>0</v>
      </c>
      <c r="W86" s="657">
        <f t="shared" si="13"/>
        <v>0</v>
      </c>
      <c r="X86" s="657">
        <f t="shared" si="13"/>
        <v>0</v>
      </c>
      <c r="Y86" s="657">
        <f t="shared" si="13"/>
        <v>0</v>
      </c>
      <c r="Z86" s="657">
        <f t="shared" si="13"/>
        <v>0</v>
      </c>
    </row>
    <row r="87" spans="3:26" ht="16.5" customHeight="1" x14ac:dyDescent="0.2">
      <c r="C87" s="513"/>
      <c r="D87" s="660" t="str">
        <f>Calculations!C89</f>
        <v>SAIFI sustained</v>
      </c>
      <c r="E87" s="657">
        <f t="shared" ref="E87:E102" si="14">SUM(F87:Z87)</f>
        <v>0</v>
      </c>
      <c r="F87" s="659">
        <f>Calculations!E89/Calculations!E$9</f>
        <v>0</v>
      </c>
      <c r="G87" s="659">
        <f>Calculations!F89/Calculations!F$9</f>
        <v>0</v>
      </c>
      <c r="H87" s="659">
        <f>Calculations!G89/Calculations!G$9</f>
        <v>0</v>
      </c>
      <c r="I87" s="659">
        <f>Calculations!H89/Calculations!H$9</f>
        <v>0</v>
      </c>
      <c r="J87" s="659">
        <f>Calculations!I89/Calculations!I$9</f>
        <v>0</v>
      </c>
      <c r="K87" s="659">
        <f>Calculations!J89/Calculations!J$9</f>
        <v>0</v>
      </c>
      <c r="L87" s="659">
        <f>Calculations!K89/Calculations!K$9</f>
        <v>0</v>
      </c>
      <c r="M87" s="659">
        <f>Calculations!L89/Calculations!L$9</f>
        <v>0</v>
      </c>
      <c r="N87" s="659">
        <f>Calculations!M89/Calculations!M$9</f>
        <v>0</v>
      </c>
      <c r="O87" s="659">
        <f>Calculations!N89/Calculations!N$9</f>
        <v>0</v>
      </c>
      <c r="P87" s="659">
        <f>Calculations!O89/Calculations!O$9</f>
        <v>0</v>
      </c>
      <c r="Q87" s="659">
        <f>Calculations!P89/Calculations!P$9</f>
        <v>0</v>
      </c>
      <c r="R87" s="659">
        <f>Calculations!Q89/Calculations!Q$9</f>
        <v>0</v>
      </c>
      <c r="S87" s="659">
        <f>Calculations!R89/Calculations!R$9</f>
        <v>0</v>
      </c>
      <c r="T87" s="659">
        <f>Calculations!S89/Calculations!S$9</f>
        <v>0</v>
      </c>
      <c r="U87" s="659">
        <f>Calculations!T89/Calculations!T$9</f>
        <v>0</v>
      </c>
      <c r="V87" s="659">
        <f>Calculations!U89/Calculations!U$9</f>
        <v>0</v>
      </c>
      <c r="W87" s="659">
        <f>Calculations!V89/Calculations!V$9</f>
        <v>0</v>
      </c>
      <c r="X87" s="659">
        <f>Calculations!W89/Calculations!W$9</f>
        <v>0</v>
      </c>
      <c r="Y87" s="659">
        <f>Calculations!X89/Calculations!X$9</f>
        <v>0</v>
      </c>
      <c r="Z87" s="659">
        <f>Calculations!Y89/Calculations!Y$9</f>
        <v>0</v>
      </c>
    </row>
    <row r="88" spans="3:26" ht="16.5" customHeight="1" x14ac:dyDescent="0.2">
      <c r="C88" s="513"/>
      <c r="D88" s="660" t="str">
        <f>Calculations!C90</f>
        <v>SAIDI accidental</v>
      </c>
      <c r="E88" s="657">
        <f t="shared" si="14"/>
        <v>0</v>
      </c>
      <c r="F88" s="659">
        <f>Calculations!E90/Calculations!E$9</f>
        <v>0</v>
      </c>
      <c r="G88" s="659">
        <f>Calculations!F90/Calculations!F$9</f>
        <v>0</v>
      </c>
      <c r="H88" s="659">
        <f>Calculations!G90/Calculations!G$9</f>
        <v>0</v>
      </c>
      <c r="I88" s="659">
        <f>Calculations!H90/Calculations!H$9</f>
        <v>0</v>
      </c>
      <c r="J88" s="659">
        <f>Calculations!I90/Calculations!I$9</f>
        <v>0</v>
      </c>
      <c r="K88" s="659">
        <f>Calculations!J90/Calculations!J$9</f>
        <v>0</v>
      </c>
      <c r="L88" s="659">
        <f>Calculations!K90/Calculations!K$9</f>
        <v>0</v>
      </c>
      <c r="M88" s="659">
        <f>Calculations!L90/Calculations!L$9</f>
        <v>0</v>
      </c>
      <c r="N88" s="659">
        <f>Calculations!M90/Calculations!M$9</f>
        <v>0</v>
      </c>
      <c r="O88" s="659">
        <f>Calculations!N90/Calculations!N$9</f>
        <v>0</v>
      </c>
      <c r="P88" s="659">
        <f>Calculations!O90/Calculations!O$9</f>
        <v>0</v>
      </c>
      <c r="Q88" s="659">
        <f>Calculations!P90/Calculations!P$9</f>
        <v>0</v>
      </c>
      <c r="R88" s="659">
        <f>Calculations!Q90/Calculations!Q$9</f>
        <v>0</v>
      </c>
      <c r="S88" s="659">
        <f>Calculations!R90/Calculations!R$9</f>
        <v>0</v>
      </c>
      <c r="T88" s="659">
        <f>Calculations!S90/Calculations!S$9</f>
        <v>0</v>
      </c>
      <c r="U88" s="659">
        <f>Calculations!T90/Calculations!T$9</f>
        <v>0</v>
      </c>
      <c r="V88" s="659">
        <f>Calculations!U90/Calculations!U$9</f>
        <v>0</v>
      </c>
      <c r="W88" s="659">
        <f>Calculations!V90/Calculations!V$9</f>
        <v>0</v>
      </c>
      <c r="X88" s="659">
        <f>Calculations!W90/Calculations!W$9</f>
        <v>0</v>
      </c>
      <c r="Y88" s="659">
        <f>Calculations!X90/Calculations!X$9</f>
        <v>0</v>
      </c>
      <c r="Z88" s="659">
        <f>Calculations!Y90/Calculations!Y$9</f>
        <v>0</v>
      </c>
    </row>
    <row r="89" spans="3:26" ht="16.5" customHeight="1" x14ac:dyDescent="0.2">
      <c r="C89" s="513"/>
      <c r="D89" s="660" t="str">
        <f>Calculations!C91</f>
        <v>MAIFI momentary</v>
      </c>
      <c r="E89" s="657">
        <f t="shared" si="14"/>
        <v>0</v>
      </c>
      <c r="F89" s="659">
        <f>Calculations!E91/Calculations!E$9</f>
        <v>0</v>
      </c>
      <c r="G89" s="659">
        <f>Calculations!F91/Calculations!F$9</f>
        <v>0</v>
      </c>
      <c r="H89" s="659">
        <f>Calculations!G91/Calculations!G$9</f>
        <v>0</v>
      </c>
      <c r="I89" s="659">
        <f>Calculations!H91/Calculations!H$9</f>
        <v>0</v>
      </c>
      <c r="J89" s="659">
        <f>Calculations!I91/Calculations!I$9</f>
        <v>0</v>
      </c>
      <c r="K89" s="659">
        <f>Calculations!J91/Calculations!J$9</f>
        <v>0</v>
      </c>
      <c r="L89" s="659">
        <f>Calculations!K91/Calculations!K$9</f>
        <v>0</v>
      </c>
      <c r="M89" s="659">
        <f>Calculations!L91/Calculations!L$9</f>
        <v>0</v>
      </c>
      <c r="N89" s="659">
        <f>Calculations!M91/Calculations!M$9</f>
        <v>0</v>
      </c>
      <c r="O89" s="659">
        <f>Calculations!N91/Calculations!N$9</f>
        <v>0</v>
      </c>
      <c r="P89" s="659">
        <f>Calculations!O91/Calculations!O$9</f>
        <v>0</v>
      </c>
      <c r="Q89" s="659">
        <f>Calculations!P91/Calculations!P$9</f>
        <v>0</v>
      </c>
      <c r="R89" s="659">
        <f>Calculations!Q91/Calculations!Q$9</f>
        <v>0</v>
      </c>
      <c r="S89" s="659">
        <f>Calculations!R91/Calculations!R$9</f>
        <v>0</v>
      </c>
      <c r="T89" s="659">
        <f>Calculations!S91/Calculations!S$9</f>
        <v>0</v>
      </c>
      <c r="U89" s="659">
        <f>Calculations!T91/Calculations!T$9</f>
        <v>0</v>
      </c>
      <c r="V89" s="659">
        <f>Calculations!U91/Calculations!U$9</f>
        <v>0</v>
      </c>
      <c r="W89" s="659">
        <f>Calculations!V91/Calculations!V$9</f>
        <v>0</v>
      </c>
      <c r="X89" s="659">
        <f>Calculations!W91/Calculations!W$9</f>
        <v>0</v>
      </c>
      <c r="Y89" s="659">
        <f>Calculations!X91/Calculations!X$9</f>
        <v>0</v>
      </c>
      <c r="Z89" s="659">
        <f>Calculations!Y91/Calculations!Y$9</f>
        <v>0</v>
      </c>
    </row>
    <row r="90" spans="3:26" ht="16.5" customHeight="1" x14ac:dyDescent="0.2">
      <c r="C90" s="513"/>
      <c r="D90" s="660" t="str">
        <f>Calculations!C92</f>
        <v>Call centre response</v>
      </c>
      <c r="E90" s="657">
        <f t="shared" si="14"/>
        <v>0</v>
      </c>
      <c r="F90" s="659">
        <f>Calculations!E92/Calculations!E$9</f>
        <v>0</v>
      </c>
      <c r="G90" s="659">
        <f>Calculations!F92/Calculations!F$9</f>
        <v>0</v>
      </c>
      <c r="H90" s="659">
        <f>Calculations!G92/Calculations!G$9</f>
        <v>0</v>
      </c>
      <c r="I90" s="659">
        <f>Calculations!H92/Calculations!H$9</f>
        <v>0</v>
      </c>
      <c r="J90" s="659">
        <f>Calculations!I92/Calculations!I$9</f>
        <v>0</v>
      </c>
      <c r="K90" s="659">
        <f>Calculations!J92/Calculations!J$9</f>
        <v>0</v>
      </c>
      <c r="L90" s="659">
        <f>Calculations!K92/Calculations!K$9</f>
        <v>0</v>
      </c>
      <c r="M90" s="659">
        <f>Calculations!L92/Calculations!L$9</f>
        <v>0</v>
      </c>
      <c r="N90" s="659">
        <f>Calculations!M92/Calculations!M$9</f>
        <v>0</v>
      </c>
      <c r="O90" s="659">
        <f>Calculations!N92/Calculations!N$9</f>
        <v>0</v>
      </c>
      <c r="P90" s="659">
        <f>Calculations!O92/Calculations!O$9</f>
        <v>0</v>
      </c>
      <c r="Q90" s="659">
        <f>Calculations!P92/Calculations!P$9</f>
        <v>0</v>
      </c>
      <c r="R90" s="659">
        <f>Calculations!Q92/Calculations!Q$9</f>
        <v>0</v>
      </c>
      <c r="S90" s="659">
        <f>Calculations!R92/Calculations!R$9</f>
        <v>0</v>
      </c>
      <c r="T90" s="659">
        <f>Calculations!S92/Calculations!S$9</f>
        <v>0</v>
      </c>
      <c r="U90" s="659">
        <f>Calculations!T92/Calculations!T$9</f>
        <v>0</v>
      </c>
      <c r="V90" s="659">
        <f>Calculations!U92/Calculations!U$9</f>
        <v>0</v>
      </c>
      <c r="W90" s="659">
        <f>Calculations!V92/Calculations!V$9</f>
        <v>0</v>
      </c>
      <c r="X90" s="659">
        <f>Calculations!W92/Calculations!W$9</f>
        <v>0</v>
      </c>
      <c r="Y90" s="659">
        <f>Calculations!X92/Calculations!X$9</f>
        <v>0</v>
      </c>
      <c r="Z90" s="659">
        <f>Calculations!Y92/Calculations!Y$9</f>
        <v>0</v>
      </c>
    </row>
    <row r="91" spans="3:26" ht="16.5" customHeight="1" x14ac:dyDescent="0.2">
      <c r="C91" s="513"/>
      <c r="D91" s="656" t="str">
        <f>Calculations!C93</f>
        <v>Network Outage Costs</v>
      </c>
      <c r="E91" s="657">
        <f t="shared" si="14"/>
        <v>0</v>
      </c>
      <c r="F91" s="659">
        <f>Calculations!E93/Calculations!E$9</f>
        <v>0</v>
      </c>
      <c r="G91" s="659">
        <f>Calculations!F93/Calculations!F$9</f>
        <v>0</v>
      </c>
      <c r="H91" s="659">
        <f>Calculations!G93/Calculations!G$9</f>
        <v>0</v>
      </c>
      <c r="I91" s="659">
        <f>Calculations!H93/Calculations!H$9</f>
        <v>0</v>
      </c>
      <c r="J91" s="659">
        <f>Calculations!I93/Calculations!I$9</f>
        <v>0</v>
      </c>
      <c r="K91" s="659">
        <f>Calculations!J93/Calculations!J$9</f>
        <v>0</v>
      </c>
      <c r="L91" s="659">
        <f>Calculations!K93/Calculations!K$9</f>
        <v>0</v>
      </c>
      <c r="M91" s="659">
        <f>Calculations!L93/Calculations!L$9</f>
        <v>0</v>
      </c>
      <c r="N91" s="659">
        <f>Calculations!M93/Calculations!M$9</f>
        <v>0</v>
      </c>
      <c r="O91" s="659">
        <f>Calculations!N93/Calculations!N$9</f>
        <v>0</v>
      </c>
      <c r="P91" s="659">
        <f>Calculations!O93/Calculations!O$9</f>
        <v>0</v>
      </c>
      <c r="Q91" s="659">
        <f>Calculations!P93/Calculations!P$9</f>
        <v>0</v>
      </c>
      <c r="R91" s="659">
        <f>Calculations!Q93/Calculations!Q$9</f>
        <v>0</v>
      </c>
      <c r="S91" s="659">
        <f>Calculations!R93/Calculations!R$9</f>
        <v>0</v>
      </c>
      <c r="T91" s="659">
        <f>Calculations!S93/Calculations!S$9</f>
        <v>0</v>
      </c>
      <c r="U91" s="659">
        <f>Calculations!T93/Calculations!T$9</f>
        <v>0</v>
      </c>
      <c r="V91" s="659">
        <f>Calculations!U93/Calculations!U$9</f>
        <v>0</v>
      </c>
      <c r="W91" s="659">
        <f>Calculations!V93/Calculations!V$9</f>
        <v>0</v>
      </c>
      <c r="X91" s="659">
        <f>Calculations!W93/Calculations!W$9</f>
        <v>0</v>
      </c>
      <c r="Y91" s="659">
        <f>Calculations!X93/Calculations!X$9</f>
        <v>0</v>
      </c>
      <c r="Z91" s="659">
        <f>Calculations!Y93/Calculations!Y$9</f>
        <v>0</v>
      </c>
    </row>
    <row r="92" spans="3:26" ht="16.5" customHeight="1" x14ac:dyDescent="0.2">
      <c r="C92" s="513"/>
      <c r="D92" s="656" t="str">
        <f>Calculations!C94</f>
        <v>Loss of F Factor Benefit</v>
      </c>
      <c r="E92" s="657">
        <f t="shared" si="14"/>
        <v>0</v>
      </c>
      <c r="F92" s="659">
        <f>Calculations!E94/Calculations!E$9</f>
        <v>0</v>
      </c>
      <c r="G92" s="659">
        <f>Calculations!F94/Calculations!F$9</f>
        <v>0</v>
      </c>
      <c r="H92" s="659">
        <f>Calculations!G94/Calculations!G$9</f>
        <v>0</v>
      </c>
      <c r="I92" s="659">
        <f>Calculations!H94/Calculations!H$9</f>
        <v>0</v>
      </c>
      <c r="J92" s="659">
        <f>Calculations!I94/Calculations!I$9</f>
        <v>0</v>
      </c>
      <c r="K92" s="659">
        <f>Calculations!J94/Calculations!J$9</f>
        <v>0</v>
      </c>
      <c r="L92" s="659">
        <f>Calculations!K94/Calculations!K$9</f>
        <v>0</v>
      </c>
      <c r="M92" s="659">
        <f>Calculations!L94/Calculations!L$9</f>
        <v>0</v>
      </c>
      <c r="N92" s="659">
        <f>Calculations!M94/Calculations!M$9</f>
        <v>0</v>
      </c>
      <c r="O92" s="659">
        <f>Calculations!N94/Calculations!N$9</f>
        <v>0</v>
      </c>
      <c r="P92" s="659">
        <f>Calculations!O94/Calculations!O$9</f>
        <v>0</v>
      </c>
      <c r="Q92" s="659">
        <f>Calculations!P94/Calculations!P$9</f>
        <v>0</v>
      </c>
      <c r="R92" s="659">
        <f>Calculations!Q94/Calculations!Q$9</f>
        <v>0</v>
      </c>
      <c r="S92" s="659">
        <f>Calculations!R94/Calculations!R$9</f>
        <v>0</v>
      </c>
      <c r="T92" s="659">
        <f>Calculations!S94/Calculations!S$9</f>
        <v>0</v>
      </c>
      <c r="U92" s="659">
        <f>Calculations!T94/Calculations!T$9</f>
        <v>0</v>
      </c>
      <c r="V92" s="659">
        <f>Calculations!U94/Calculations!U$9</f>
        <v>0</v>
      </c>
      <c r="W92" s="659">
        <f>Calculations!V94/Calculations!V$9</f>
        <v>0</v>
      </c>
      <c r="X92" s="659">
        <f>Calculations!W94/Calculations!W$9</f>
        <v>0</v>
      </c>
      <c r="Y92" s="659">
        <f>Calculations!X94/Calculations!X$9</f>
        <v>0</v>
      </c>
      <c r="Z92" s="659">
        <f>Calculations!Y94/Calculations!Y$9</f>
        <v>0</v>
      </c>
    </row>
    <row r="93" spans="3:26" ht="16.5" customHeight="1" x14ac:dyDescent="0.2">
      <c r="C93" s="513"/>
      <c r="D93" s="656" t="str">
        <f>Calculations!C95</f>
        <v>Cost 1</v>
      </c>
      <c r="E93" s="657">
        <f t="shared" si="14"/>
        <v>0</v>
      </c>
      <c r="F93" s="659">
        <f>Calculations!E95/Calculations!E$9</f>
        <v>0</v>
      </c>
      <c r="G93" s="659">
        <f>Calculations!F95/Calculations!F$9</f>
        <v>0</v>
      </c>
      <c r="H93" s="659">
        <f>Calculations!G95/Calculations!G$9</f>
        <v>0</v>
      </c>
      <c r="I93" s="659">
        <f>Calculations!H95/Calculations!H$9</f>
        <v>0</v>
      </c>
      <c r="J93" s="659">
        <f>Calculations!I95/Calculations!I$9</f>
        <v>0</v>
      </c>
      <c r="K93" s="659">
        <f>Calculations!J95/Calculations!J$9</f>
        <v>0</v>
      </c>
      <c r="L93" s="659">
        <f>Calculations!K95/Calculations!K$9</f>
        <v>0</v>
      </c>
      <c r="M93" s="659">
        <f>Calculations!L95/Calculations!L$9</f>
        <v>0</v>
      </c>
      <c r="N93" s="659">
        <f>Calculations!M95/Calculations!M$9</f>
        <v>0</v>
      </c>
      <c r="O93" s="659">
        <f>Calculations!N95/Calculations!N$9</f>
        <v>0</v>
      </c>
      <c r="P93" s="659">
        <f>Calculations!O95/Calculations!O$9</f>
        <v>0</v>
      </c>
      <c r="Q93" s="659">
        <f>Calculations!P95/Calculations!P$9</f>
        <v>0</v>
      </c>
      <c r="R93" s="659">
        <f>Calculations!Q95/Calculations!Q$9</f>
        <v>0</v>
      </c>
      <c r="S93" s="659">
        <f>Calculations!R95/Calculations!R$9</f>
        <v>0</v>
      </c>
      <c r="T93" s="659">
        <f>Calculations!S95/Calculations!S$9</f>
        <v>0</v>
      </c>
      <c r="U93" s="659">
        <f>Calculations!T95/Calculations!T$9</f>
        <v>0</v>
      </c>
      <c r="V93" s="659">
        <f>Calculations!U95/Calculations!U$9</f>
        <v>0</v>
      </c>
      <c r="W93" s="659">
        <f>Calculations!V95/Calculations!V$9</f>
        <v>0</v>
      </c>
      <c r="X93" s="659">
        <f>Calculations!W95/Calculations!W$9</f>
        <v>0</v>
      </c>
      <c r="Y93" s="659">
        <f>Calculations!X95/Calculations!X$9</f>
        <v>0</v>
      </c>
      <c r="Z93" s="659">
        <f>Calculations!Y95/Calculations!Y$9</f>
        <v>0</v>
      </c>
    </row>
    <row r="94" spans="3:26" ht="16.5" customHeight="1" x14ac:dyDescent="0.2">
      <c r="C94" s="513"/>
      <c r="D94" s="656" t="str">
        <f>Calculations!C96</f>
        <v>Cost 2</v>
      </c>
      <c r="E94" s="657">
        <f t="shared" si="14"/>
        <v>0</v>
      </c>
      <c r="F94" s="659">
        <f>Calculations!E96/Calculations!E$9</f>
        <v>0</v>
      </c>
      <c r="G94" s="659">
        <f>Calculations!F96/Calculations!F$9</f>
        <v>0</v>
      </c>
      <c r="H94" s="659">
        <f>Calculations!G96/Calculations!G$9</f>
        <v>0</v>
      </c>
      <c r="I94" s="659">
        <f>Calculations!H96/Calculations!H$9</f>
        <v>0</v>
      </c>
      <c r="J94" s="659">
        <f>Calculations!I96/Calculations!I$9</f>
        <v>0</v>
      </c>
      <c r="K94" s="659">
        <f>Calculations!J96/Calculations!J$9</f>
        <v>0</v>
      </c>
      <c r="L94" s="659">
        <f>Calculations!K96/Calculations!K$9</f>
        <v>0</v>
      </c>
      <c r="M94" s="659">
        <f>Calculations!L96/Calculations!L$9</f>
        <v>0</v>
      </c>
      <c r="N94" s="659">
        <f>Calculations!M96/Calculations!M$9</f>
        <v>0</v>
      </c>
      <c r="O94" s="659">
        <f>Calculations!N96/Calculations!N$9</f>
        <v>0</v>
      </c>
      <c r="P94" s="659">
        <f>Calculations!O96/Calculations!O$9</f>
        <v>0</v>
      </c>
      <c r="Q94" s="659">
        <f>Calculations!P96/Calculations!P$9</f>
        <v>0</v>
      </c>
      <c r="R94" s="659">
        <f>Calculations!Q96/Calculations!Q$9</f>
        <v>0</v>
      </c>
      <c r="S94" s="659">
        <f>Calculations!R96/Calculations!R$9</f>
        <v>0</v>
      </c>
      <c r="T94" s="659">
        <f>Calculations!S96/Calculations!S$9</f>
        <v>0</v>
      </c>
      <c r="U94" s="659">
        <f>Calculations!T96/Calculations!T$9</f>
        <v>0</v>
      </c>
      <c r="V94" s="659">
        <f>Calculations!U96/Calculations!U$9</f>
        <v>0</v>
      </c>
      <c r="W94" s="659">
        <f>Calculations!V96/Calculations!V$9</f>
        <v>0</v>
      </c>
      <c r="X94" s="659">
        <f>Calculations!W96/Calculations!W$9</f>
        <v>0</v>
      </c>
      <c r="Y94" s="659">
        <f>Calculations!X96/Calculations!X$9</f>
        <v>0</v>
      </c>
      <c r="Z94" s="659">
        <f>Calculations!Y96/Calculations!Y$9</f>
        <v>0</v>
      </c>
    </row>
    <row r="95" spans="3:26" ht="16.5" customHeight="1" x14ac:dyDescent="0.2">
      <c r="C95" s="513"/>
      <c r="D95" s="656" t="str">
        <f>Calculations!C97</f>
        <v>Cost 3</v>
      </c>
      <c r="E95" s="657">
        <f t="shared" si="14"/>
        <v>0</v>
      </c>
      <c r="F95" s="659">
        <f>Calculations!E97/Calculations!E$9</f>
        <v>0</v>
      </c>
      <c r="G95" s="659">
        <f>Calculations!F97/Calculations!F$9</f>
        <v>0</v>
      </c>
      <c r="H95" s="659">
        <f>Calculations!G97/Calculations!G$9</f>
        <v>0</v>
      </c>
      <c r="I95" s="659">
        <f>Calculations!H97/Calculations!H$9</f>
        <v>0</v>
      </c>
      <c r="J95" s="659">
        <f>Calculations!I97/Calculations!I$9</f>
        <v>0</v>
      </c>
      <c r="K95" s="659">
        <f>Calculations!J97/Calculations!J$9</f>
        <v>0</v>
      </c>
      <c r="L95" s="659">
        <f>Calculations!K97/Calculations!K$9</f>
        <v>0</v>
      </c>
      <c r="M95" s="659">
        <f>Calculations!L97/Calculations!L$9</f>
        <v>0</v>
      </c>
      <c r="N95" s="659">
        <f>Calculations!M97/Calculations!M$9</f>
        <v>0</v>
      </c>
      <c r="O95" s="659">
        <f>Calculations!N97/Calculations!N$9</f>
        <v>0</v>
      </c>
      <c r="P95" s="659">
        <f>Calculations!O97/Calculations!O$9</f>
        <v>0</v>
      </c>
      <c r="Q95" s="659">
        <f>Calculations!P97/Calculations!P$9</f>
        <v>0</v>
      </c>
      <c r="R95" s="659">
        <f>Calculations!Q97/Calculations!Q$9</f>
        <v>0</v>
      </c>
      <c r="S95" s="659">
        <f>Calculations!R97/Calculations!R$9</f>
        <v>0</v>
      </c>
      <c r="T95" s="659">
        <f>Calculations!S97/Calculations!S$9</f>
        <v>0</v>
      </c>
      <c r="U95" s="659">
        <f>Calculations!T97/Calculations!T$9</f>
        <v>0</v>
      </c>
      <c r="V95" s="659">
        <f>Calculations!U97/Calculations!U$9</f>
        <v>0</v>
      </c>
      <c r="W95" s="659">
        <f>Calculations!V97/Calculations!V$9</f>
        <v>0</v>
      </c>
      <c r="X95" s="659">
        <f>Calculations!W97/Calculations!W$9</f>
        <v>0</v>
      </c>
      <c r="Y95" s="659">
        <f>Calculations!X97/Calculations!X$9</f>
        <v>0</v>
      </c>
      <c r="Z95" s="659">
        <f>Calculations!Y97/Calculations!Y$9</f>
        <v>0</v>
      </c>
    </row>
    <row r="96" spans="3:26" ht="16.5" customHeight="1" x14ac:dyDescent="0.2">
      <c r="C96" s="513"/>
      <c r="D96" s="656" t="str">
        <f>Calculations!C98</f>
        <v>Cost 4</v>
      </c>
      <c r="E96" s="657">
        <f t="shared" si="14"/>
        <v>0</v>
      </c>
      <c r="F96" s="659">
        <f>Calculations!E98/Calculations!E$9</f>
        <v>0</v>
      </c>
      <c r="G96" s="659">
        <f>Calculations!F98/Calculations!F$9</f>
        <v>0</v>
      </c>
      <c r="H96" s="659">
        <f>Calculations!G98/Calculations!G$9</f>
        <v>0</v>
      </c>
      <c r="I96" s="659">
        <f>Calculations!H98/Calculations!H$9</f>
        <v>0</v>
      </c>
      <c r="J96" s="659">
        <f>Calculations!I98/Calculations!I$9</f>
        <v>0</v>
      </c>
      <c r="K96" s="659">
        <f>Calculations!J98/Calculations!J$9</f>
        <v>0</v>
      </c>
      <c r="L96" s="659">
        <f>Calculations!K98/Calculations!K$9</f>
        <v>0</v>
      </c>
      <c r="M96" s="659">
        <f>Calculations!L98/Calculations!L$9</f>
        <v>0</v>
      </c>
      <c r="N96" s="659">
        <f>Calculations!M98/Calculations!M$9</f>
        <v>0</v>
      </c>
      <c r="O96" s="659">
        <f>Calculations!N98/Calculations!N$9</f>
        <v>0</v>
      </c>
      <c r="P96" s="659">
        <f>Calculations!O98/Calculations!O$9</f>
        <v>0</v>
      </c>
      <c r="Q96" s="659">
        <f>Calculations!P98/Calculations!P$9</f>
        <v>0</v>
      </c>
      <c r="R96" s="659">
        <f>Calculations!Q98/Calculations!Q$9</f>
        <v>0</v>
      </c>
      <c r="S96" s="659">
        <f>Calculations!R98/Calculations!R$9</f>
        <v>0</v>
      </c>
      <c r="T96" s="659">
        <f>Calculations!S98/Calculations!S$9</f>
        <v>0</v>
      </c>
      <c r="U96" s="659">
        <f>Calculations!T98/Calculations!T$9</f>
        <v>0</v>
      </c>
      <c r="V96" s="659">
        <f>Calculations!U98/Calculations!U$9</f>
        <v>0</v>
      </c>
      <c r="W96" s="659">
        <f>Calculations!V98/Calculations!V$9</f>
        <v>0</v>
      </c>
      <c r="X96" s="659">
        <f>Calculations!W98/Calculations!W$9</f>
        <v>0</v>
      </c>
      <c r="Y96" s="659">
        <f>Calculations!X98/Calculations!X$9</f>
        <v>0</v>
      </c>
      <c r="Z96" s="659">
        <f>Calculations!Y98/Calculations!Y$9</f>
        <v>0</v>
      </c>
    </row>
    <row r="97" spans="3:26" ht="16.5" customHeight="1" x14ac:dyDescent="0.2">
      <c r="C97" s="513"/>
      <c r="D97" s="656" t="str">
        <f>Calculations!C99</f>
        <v>Cost 5</v>
      </c>
      <c r="E97" s="657">
        <f t="shared" si="14"/>
        <v>0</v>
      </c>
      <c r="F97" s="659">
        <f>Calculations!E99/Calculations!E$9</f>
        <v>0</v>
      </c>
      <c r="G97" s="659">
        <f>Calculations!F99/Calculations!F$9</f>
        <v>0</v>
      </c>
      <c r="H97" s="659">
        <f>Calculations!G99/Calculations!G$9</f>
        <v>0</v>
      </c>
      <c r="I97" s="659">
        <f>Calculations!H99/Calculations!H$9</f>
        <v>0</v>
      </c>
      <c r="J97" s="659">
        <f>Calculations!I99/Calculations!I$9</f>
        <v>0</v>
      </c>
      <c r="K97" s="659">
        <f>Calculations!J99/Calculations!J$9</f>
        <v>0</v>
      </c>
      <c r="L97" s="659">
        <f>Calculations!K99/Calculations!K$9</f>
        <v>0</v>
      </c>
      <c r="M97" s="659">
        <f>Calculations!L99/Calculations!L$9</f>
        <v>0</v>
      </c>
      <c r="N97" s="659">
        <f>Calculations!M99/Calculations!M$9</f>
        <v>0</v>
      </c>
      <c r="O97" s="659">
        <f>Calculations!N99/Calculations!N$9</f>
        <v>0</v>
      </c>
      <c r="P97" s="659">
        <f>Calculations!O99/Calculations!O$9</f>
        <v>0</v>
      </c>
      <c r="Q97" s="659">
        <f>Calculations!P99/Calculations!P$9</f>
        <v>0</v>
      </c>
      <c r="R97" s="659">
        <f>Calculations!Q99/Calculations!Q$9</f>
        <v>0</v>
      </c>
      <c r="S97" s="659">
        <f>Calculations!R99/Calculations!R$9</f>
        <v>0</v>
      </c>
      <c r="T97" s="659">
        <f>Calculations!S99/Calculations!S$9</f>
        <v>0</v>
      </c>
      <c r="U97" s="659">
        <f>Calculations!T99/Calculations!T$9</f>
        <v>0</v>
      </c>
      <c r="V97" s="659">
        <f>Calculations!U99/Calculations!U$9</f>
        <v>0</v>
      </c>
      <c r="W97" s="659">
        <f>Calculations!V99/Calculations!V$9</f>
        <v>0</v>
      </c>
      <c r="X97" s="659">
        <f>Calculations!W99/Calculations!W$9</f>
        <v>0</v>
      </c>
      <c r="Y97" s="659">
        <f>Calculations!X99/Calculations!X$9</f>
        <v>0</v>
      </c>
      <c r="Z97" s="659">
        <f>Calculations!Y99/Calculations!Y$9</f>
        <v>0</v>
      </c>
    </row>
    <row r="98" spans="3:26" ht="16.5" customHeight="1" x14ac:dyDescent="0.2">
      <c r="C98" s="513"/>
      <c r="D98" s="656" t="str">
        <f>Calculations!C100</f>
        <v>Risk 1</v>
      </c>
      <c r="E98" s="657">
        <f t="shared" si="14"/>
        <v>0</v>
      </c>
      <c r="F98" s="659">
        <f>Calculations!E100/Calculations!E$9</f>
        <v>0</v>
      </c>
      <c r="G98" s="659">
        <f>Calculations!F100/Calculations!F$9</f>
        <v>0</v>
      </c>
      <c r="H98" s="659">
        <f>Calculations!G100/Calculations!G$9</f>
        <v>0</v>
      </c>
      <c r="I98" s="659">
        <f>Calculations!H100/Calculations!H$9</f>
        <v>0</v>
      </c>
      <c r="J98" s="659">
        <f>Calculations!I100/Calculations!I$9</f>
        <v>0</v>
      </c>
      <c r="K98" s="659">
        <f>Calculations!J100/Calculations!J$9</f>
        <v>0</v>
      </c>
      <c r="L98" s="659">
        <f>Calculations!K100/Calculations!K$9</f>
        <v>0</v>
      </c>
      <c r="M98" s="659">
        <f>Calculations!L100/Calculations!L$9</f>
        <v>0</v>
      </c>
      <c r="N98" s="659">
        <f>Calculations!M100/Calculations!M$9</f>
        <v>0</v>
      </c>
      <c r="O98" s="659">
        <f>Calculations!N100/Calculations!N$9</f>
        <v>0</v>
      </c>
      <c r="P98" s="659">
        <f>Calculations!O100/Calculations!O$9</f>
        <v>0</v>
      </c>
      <c r="Q98" s="659">
        <f>Calculations!P100/Calculations!P$9</f>
        <v>0</v>
      </c>
      <c r="R98" s="659">
        <f>Calculations!Q100/Calculations!Q$9</f>
        <v>0</v>
      </c>
      <c r="S98" s="659">
        <f>Calculations!R100/Calculations!R$9</f>
        <v>0</v>
      </c>
      <c r="T98" s="659">
        <f>Calculations!S100/Calculations!S$9</f>
        <v>0</v>
      </c>
      <c r="U98" s="659">
        <f>Calculations!T100/Calculations!T$9</f>
        <v>0</v>
      </c>
      <c r="V98" s="659">
        <f>Calculations!U100/Calculations!U$9</f>
        <v>0</v>
      </c>
      <c r="W98" s="659">
        <f>Calculations!V100/Calculations!V$9</f>
        <v>0</v>
      </c>
      <c r="X98" s="659">
        <f>Calculations!W100/Calculations!W$9</f>
        <v>0</v>
      </c>
      <c r="Y98" s="659">
        <f>Calculations!X100/Calculations!X$9</f>
        <v>0</v>
      </c>
      <c r="Z98" s="659">
        <f>Calculations!Y100/Calculations!Y$9</f>
        <v>0</v>
      </c>
    </row>
    <row r="99" spans="3:26" ht="16.5" customHeight="1" x14ac:dyDescent="0.2">
      <c r="C99" s="513"/>
      <c r="D99" s="656" t="str">
        <f>Calculations!C101</f>
        <v>Risk 2</v>
      </c>
      <c r="E99" s="657">
        <f t="shared" si="14"/>
        <v>0</v>
      </c>
      <c r="F99" s="659">
        <f>Calculations!E101/Calculations!E$9</f>
        <v>0</v>
      </c>
      <c r="G99" s="659">
        <f>Calculations!F101/Calculations!F$9</f>
        <v>0</v>
      </c>
      <c r="H99" s="659">
        <f>Calculations!G101/Calculations!G$9</f>
        <v>0</v>
      </c>
      <c r="I99" s="659">
        <f>Calculations!H101/Calculations!H$9</f>
        <v>0</v>
      </c>
      <c r="J99" s="659">
        <f>Calculations!I101/Calculations!I$9</f>
        <v>0</v>
      </c>
      <c r="K99" s="659">
        <f>Calculations!J101/Calculations!J$9</f>
        <v>0</v>
      </c>
      <c r="L99" s="659">
        <f>Calculations!K101/Calculations!K$9</f>
        <v>0</v>
      </c>
      <c r="M99" s="659">
        <f>Calculations!L101/Calculations!L$9</f>
        <v>0</v>
      </c>
      <c r="N99" s="659">
        <f>Calculations!M101/Calculations!M$9</f>
        <v>0</v>
      </c>
      <c r="O99" s="659">
        <f>Calculations!N101/Calculations!N$9</f>
        <v>0</v>
      </c>
      <c r="P99" s="659">
        <f>Calculations!O101/Calculations!O$9</f>
        <v>0</v>
      </c>
      <c r="Q99" s="659">
        <f>Calculations!P101/Calculations!P$9</f>
        <v>0</v>
      </c>
      <c r="R99" s="659">
        <f>Calculations!Q101/Calculations!Q$9</f>
        <v>0</v>
      </c>
      <c r="S99" s="659">
        <f>Calculations!R101/Calculations!R$9</f>
        <v>0</v>
      </c>
      <c r="T99" s="659">
        <f>Calculations!S101/Calculations!S$9</f>
        <v>0</v>
      </c>
      <c r="U99" s="659">
        <f>Calculations!T101/Calculations!T$9</f>
        <v>0</v>
      </c>
      <c r="V99" s="659">
        <f>Calculations!U101/Calculations!U$9</f>
        <v>0</v>
      </c>
      <c r="W99" s="659">
        <f>Calculations!V101/Calculations!V$9</f>
        <v>0</v>
      </c>
      <c r="X99" s="659">
        <f>Calculations!W101/Calculations!W$9</f>
        <v>0</v>
      </c>
      <c r="Y99" s="659">
        <f>Calculations!X101/Calculations!X$9</f>
        <v>0</v>
      </c>
      <c r="Z99" s="659">
        <f>Calculations!Y101/Calculations!Y$9</f>
        <v>0</v>
      </c>
    </row>
    <row r="100" spans="3:26" ht="16.5" customHeight="1" x14ac:dyDescent="0.2">
      <c r="C100" s="513"/>
      <c r="D100" s="656" t="str">
        <f>Calculations!C102</f>
        <v>Risk 3</v>
      </c>
      <c r="E100" s="657">
        <f t="shared" si="14"/>
        <v>0</v>
      </c>
      <c r="F100" s="659">
        <f>Calculations!E102/Calculations!E$9</f>
        <v>0</v>
      </c>
      <c r="G100" s="659">
        <f>Calculations!F102/Calculations!F$9</f>
        <v>0</v>
      </c>
      <c r="H100" s="659">
        <f>Calculations!G102/Calculations!G$9</f>
        <v>0</v>
      </c>
      <c r="I100" s="659">
        <f>Calculations!H102/Calculations!H$9</f>
        <v>0</v>
      </c>
      <c r="J100" s="659">
        <f>Calculations!I102/Calculations!I$9</f>
        <v>0</v>
      </c>
      <c r="K100" s="659">
        <f>Calculations!J102/Calculations!J$9</f>
        <v>0</v>
      </c>
      <c r="L100" s="659">
        <f>Calculations!K102/Calculations!K$9</f>
        <v>0</v>
      </c>
      <c r="M100" s="659">
        <f>Calculations!L102/Calculations!L$9</f>
        <v>0</v>
      </c>
      <c r="N100" s="659">
        <f>Calculations!M102/Calculations!M$9</f>
        <v>0</v>
      </c>
      <c r="O100" s="659">
        <f>Calculations!N102/Calculations!N$9</f>
        <v>0</v>
      </c>
      <c r="P100" s="659">
        <f>Calculations!O102/Calculations!O$9</f>
        <v>0</v>
      </c>
      <c r="Q100" s="659">
        <f>Calculations!P102/Calculations!P$9</f>
        <v>0</v>
      </c>
      <c r="R100" s="659">
        <f>Calculations!Q102/Calculations!Q$9</f>
        <v>0</v>
      </c>
      <c r="S100" s="659">
        <f>Calculations!R102/Calculations!R$9</f>
        <v>0</v>
      </c>
      <c r="T100" s="659">
        <f>Calculations!S102/Calculations!S$9</f>
        <v>0</v>
      </c>
      <c r="U100" s="659">
        <f>Calculations!T102/Calculations!T$9</f>
        <v>0</v>
      </c>
      <c r="V100" s="659">
        <f>Calculations!U102/Calculations!U$9</f>
        <v>0</v>
      </c>
      <c r="W100" s="659">
        <f>Calculations!V102/Calculations!V$9</f>
        <v>0</v>
      </c>
      <c r="X100" s="659">
        <f>Calculations!W102/Calculations!W$9</f>
        <v>0</v>
      </c>
      <c r="Y100" s="659">
        <f>Calculations!X102/Calculations!X$9</f>
        <v>0</v>
      </c>
      <c r="Z100" s="659">
        <f>Calculations!Y102/Calculations!Y$9</f>
        <v>0</v>
      </c>
    </row>
    <row r="101" spans="3:26" ht="16.5" customHeight="1" x14ac:dyDescent="0.2">
      <c r="C101" s="513"/>
      <c r="D101" s="656" t="str">
        <f>Calculations!C103</f>
        <v>Risk 4</v>
      </c>
      <c r="E101" s="657">
        <f t="shared" si="14"/>
        <v>0</v>
      </c>
      <c r="F101" s="659">
        <f>Calculations!E103/Calculations!E$9</f>
        <v>0</v>
      </c>
      <c r="G101" s="659">
        <f>Calculations!F103/Calculations!F$9</f>
        <v>0</v>
      </c>
      <c r="H101" s="659">
        <f>Calculations!G103/Calculations!G$9</f>
        <v>0</v>
      </c>
      <c r="I101" s="659">
        <f>Calculations!H103/Calculations!H$9</f>
        <v>0</v>
      </c>
      <c r="J101" s="659">
        <f>Calculations!I103/Calculations!I$9</f>
        <v>0</v>
      </c>
      <c r="K101" s="659">
        <f>Calculations!J103/Calculations!J$9</f>
        <v>0</v>
      </c>
      <c r="L101" s="659">
        <f>Calculations!K103/Calculations!K$9</f>
        <v>0</v>
      </c>
      <c r="M101" s="659">
        <f>Calculations!L103/Calculations!L$9</f>
        <v>0</v>
      </c>
      <c r="N101" s="659">
        <f>Calculations!M103/Calculations!M$9</f>
        <v>0</v>
      </c>
      <c r="O101" s="659">
        <f>Calculations!N103/Calculations!N$9</f>
        <v>0</v>
      </c>
      <c r="P101" s="659">
        <f>Calculations!O103/Calculations!O$9</f>
        <v>0</v>
      </c>
      <c r="Q101" s="659">
        <f>Calculations!P103/Calculations!P$9</f>
        <v>0</v>
      </c>
      <c r="R101" s="659">
        <f>Calculations!Q103/Calculations!Q$9</f>
        <v>0</v>
      </c>
      <c r="S101" s="659">
        <f>Calculations!R103/Calculations!R$9</f>
        <v>0</v>
      </c>
      <c r="T101" s="659">
        <f>Calculations!S103/Calculations!S$9</f>
        <v>0</v>
      </c>
      <c r="U101" s="659">
        <f>Calculations!T103/Calculations!T$9</f>
        <v>0</v>
      </c>
      <c r="V101" s="659">
        <f>Calculations!U103/Calculations!U$9</f>
        <v>0</v>
      </c>
      <c r="W101" s="659">
        <f>Calculations!V103/Calculations!V$9</f>
        <v>0</v>
      </c>
      <c r="X101" s="659">
        <f>Calculations!W103/Calculations!W$9</f>
        <v>0</v>
      </c>
      <c r="Y101" s="659">
        <f>Calculations!X103/Calculations!X$9</f>
        <v>0</v>
      </c>
      <c r="Z101" s="659">
        <f>Calculations!Y103/Calculations!Y$9</f>
        <v>0</v>
      </c>
    </row>
    <row r="102" spans="3:26" ht="16.5" customHeight="1" x14ac:dyDescent="0.2">
      <c r="C102" s="513"/>
      <c r="D102" s="656" t="str">
        <f>Calculations!C104</f>
        <v>Risk 5</v>
      </c>
      <c r="E102" s="657">
        <f t="shared" si="14"/>
        <v>0</v>
      </c>
      <c r="F102" s="659">
        <f>Calculations!E104/Calculations!E$9</f>
        <v>0</v>
      </c>
      <c r="G102" s="659">
        <f>Calculations!F104/Calculations!F$9</f>
        <v>0</v>
      </c>
      <c r="H102" s="659">
        <f>Calculations!G104/Calculations!G$9</f>
        <v>0</v>
      </c>
      <c r="I102" s="659">
        <f>Calculations!H104/Calculations!H$9</f>
        <v>0</v>
      </c>
      <c r="J102" s="659">
        <f>Calculations!I104/Calculations!I$9</f>
        <v>0</v>
      </c>
      <c r="K102" s="659">
        <f>Calculations!J104/Calculations!J$9</f>
        <v>0</v>
      </c>
      <c r="L102" s="659">
        <f>Calculations!K104/Calculations!K$9</f>
        <v>0</v>
      </c>
      <c r="M102" s="659">
        <f>Calculations!L104/Calculations!L$9</f>
        <v>0</v>
      </c>
      <c r="N102" s="659">
        <f>Calculations!M104/Calculations!M$9</f>
        <v>0</v>
      </c>
      <c r="O102" s="659">
        <f>Calculations!N104/Calculations!N$9</f>
        <v>0</v>
      </c>
      <c r="P102" s="659">
        <f>Calculations!O104/Calculations!O$9</f>
        <v>0</v>
      </c>
      <c r="Q102" s="659">
        <f>Calculations!P104/Calculations!P$9</f>
        <v>0</v>
      </c>
      <c r="R102" s="659">
        <f>Calculations!Q104/Calculations!Q$9</f>
        <v>0</v>
      </c>
      <c r="S102" s="659">
        <f>Calculations!R104/Calculations!R$9</f>
        <v>0</v>
      </c>
      <c r="T102" s="659">
        <f>Calculations!S104/Calculations!S$9</f>
        <v>0</v>
      </c>
      <c r="U102" s="659">
        <f>Calculations!T104/Calculations!T$9</f>
        <v>0</v>
      </c>
      <c r="V102" s="659">
        <f>Calculations!U104/Calculations!U$9</f>
        <v>0</v>
      </c>
      <c r="W102" s="659">
        <f>Calculations!V104/Calculations!V$9</f>
        <v>0</v>
      </c>
      <c r="X102" s="659">
        <f>Calculations!W104/Calculations!W$9</f>
        <v>0</v>
      </c>
      <c r="Y102" s="659">
        <f>Calculations!X104/Calculations!X$9</f>
        <v>0</v>
      </c>
      <c r="Z102" s="659">
        <f>Calculations!Y104/Calculations!Y$9</f>
        <v>0</v>
      </c>
    </row>
    <row r="103" spans="3:26" ht="16.5" customHeight="1" x14ac:dyDescent="0.2">
      <c r="C103" s="513"/>
      <c r="D103" s="656" t="s">
        <v>254</v>
      </c>
      <c r="E103" s="657">
        <f t="shared" ref="E103:Z103" si="15">SUM(E84:E102)-E86</f>
        <v>0</v>
      </c>
      <c r="F103" s="657">
        <f t="shared" si="15"/>
        <v>0</v>
      </c>
      <c r="G103" s="657">
        <f t="shared" si="15"/>
        <v>0</v>
      </c>
      <c r="H103" s="657">
        <f t="shared" si="15"/>
        <v>0</v>
      </c>
      <c r="I103" s="657">
        <f t="shared" si="15"/>
        <v>0</v>
      </c>
      <c r="J103" s="657">
        <f t="shared" si="15"/>
        <v>0</v>
      </c>
      <c r="K103" s="657">
        <f t="shared" si="15"/>
        <v>0</v>
      </c>
      <c r="L103" s="657">
        <f t="shared" si="15"/>
        <v>0</v>
      </c>
      <c r="M103" s="657">
        <f t="shared" si="15"/>
        <v>0</v>
      </c>
      <c r="N103" s="657">
        <f t="shared" si="15"/>
        <v>0</v>
      </c>
      <c r="O103" s="657">
        <f t="shared" si="15"/>
        <v>0</v>
      </c>
      <c r="P103" s="657">
        <f t="shared" si="15"/>
        <v>0</v>
      </c>
      <c r="Q103" s="657">
        <f t="shared" si="15"/>
        <v>0</v>
      </c>
      <c r="R103" s="657">
        <f t="shared" si="15"/>
        <v>0</v>
      </c>
      <c r="S103" s="657">
        <f t="shared" si="15"/>
        <v>0</v>
      </c>
      <c r="T103" s="657">
        <f t="shared" si="15"/>
        <v>0</v>
      </c>
      <c r="U103" s="657">
        <f t="shared" si="15"/>
        <v>0</v>
      </c>
      <c r="V103" s="657">
        <f t="shared" si="15"/>
        <v>0</v>
      </c>
      <c r="W103" s="657">
        <f t="shared" si="15"/>
        <v>0</v>
      </c>
      <c r="X103" s="657">
        <f t="shared" si="15"/>
        <v>0</v>
      </c>
      <c r="Y103" s="657">
        <f t="shared" si="15"/>
        <v>0</v>
      </c>
      <c r="Z103" s="657">
        <f t="shared" si="15"/>
        <v>0</v>
      </c>
    </row>
    <row r="104" spans="3:26" ht="16.5" customHeight="1" x14ac:dyDescent="0.2">
      <c r="C104" s="513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</row>
    <row r="105" spans="3:26" ht="16.5" customHeight="1" x14ac:dyDescent="0.25">
      <c r="C105" s="513"/>
      <c r="D105" s="651" t="str">
        <f>'User Input'!D140</f>
        <v xml:space="preserve">Option 4: </v>
      </c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</row>
    <row r="106" spans="3:26" ht="16.5" customHeight="1" x14ac:dyDescent="0.25">
      <c r="C106" s="513"/>
      <c r="D106" s="499"/>
      <c r="E106" s="513"/>
      <c r="F106" s="513"/>
      <c r="G106" s="513"/>
      <c r="H106" s="513"/>
      <c r="I106" s="513"/>
      <c r="J106" s="513"/>
      <c r="K106" s="513"/>
      <c r="L106" s="513"/>
      <c r="M106" s="513"/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  <c r="X106" s="513"/>
      <c r="Y106" s="513"/>
      <c r="Z106" s="513"/>
    </row>
    <row r="107" spans="3:26" ht="16.5" customHeight="1" x14ac:dyDescent="0.25">
      <c r="C107" s="513"/>
      <c r="D107" s="654"/>
      <c r="E107" s="711"/>
      <c r="F107" s="711"/>
      <c r="G107" s="711"/>
      <c r="H107" s="711"/>
      <c r="I107" s="711"/>
      <c r="J107" s="711"/>
      <c r="K107" s="711"/>
      <c r="L107" s="711"/>
      <c r="M107" s="711"/>
      <c r="N107" s="711"/>
      <c r="O107" s="711"/>
      <c r="P107" s="711"/>
      <c r="Q107" s="711"/>
      <c r="R107" s="711"/>
      <c r="S107" s="711"/>
      <c r="T107" s="711"/>
      <c r="U107" s="711"/>
      <c r="V107" s="711"/>
      <c r="W107" s="711"/>
      <c r="X107" s="711"/>
      <c r="Y107" s="711"/>
      <c r="Z107" s="711"/>
    </row>
    <row r="108" spans="3:26" ht="16.5" customHeight="1" x14ac:dyDescent="0.25">
      <c r="C108" s="513"/>
      <c r="D108" s="654"/>
      <c r="E108" s="655" t="s">
        <v>254</v>
      </c>
      <c r="F108" s="655">
        <f>'User Input'!$E$6</f>
        <v>2019</v>
      </c>
      <c r="G108" s="655">
        <f>F108+1</f>
        <v>2020</v>
      </c>
      <c r="H108" s="655">
        <f t="shared" ref="H108:Z108" si="16">G108+1</f>
        <v>2021</v>
      </c>
      <c r="I108" s="655">
        <f t="shared" si="16"/>
        <v>2022</v>
      </c>
      <c r="J108" s="655">
        <f t="shared" si="16"/>
        <v>2023</v>
      </c>
      <c r="K108" s="655">
        <f t="shared" si="16"/>
        <v>2024</v>
      </c>
      <c r="L108" s="655">
        <f t="shared" si="16"/>
        <v>2025</v>
      </c>
      <c r="M108" s="655">
        <f t="shared" si="16"/>
        <v>2026</v>
      </c>
      <c r="N108" s="655">
        <f t="shared" si="16"/>
        <v>2027</v>
      </c>
      <c r="O108" s="655">
        <f t="shared" si="16"/>
        <v>2028</v>
      </c>
      <c r="P108" s="655">
        <f t="shared" si="16"/>
        <v>2029</v>
      </c>
      <c r="Q108" s="655">
        <f t="shared" si="16"/>
        <v>2030</v>
      </c>
      <c r="R108" s="655">
        <f t="shared" si="16"/>
        <v>2031</v>
      </c>
      <c r="S108" s="655">
        <f t="shared" si="16"/>
        <v>2032</v>
      </c>
      <c r="T108" s="655">
        <f t="shared" si="16"/>
        <v>2033</v>
      </c>
      <c r="U108" s="655">
        <f t="shared" si="16"/>
        <v>2034</v>
      </c>
      <c r="V108" s="655">
        <f t="shared" si="16"/>
        <v>2035</v>
      </c>
      <c r="W108" s="655">
        <f t="shared" si="16"/>
        <v>2036</v>
      </c>
      <c r="X108" s="655">
        <f t="shared" si="16"/>
        <v>2037</v>
      </c>
      <c r="Y108" s="655">
        <f t="shared" si="16"/>
        <v>2038</v>
      </c>
      <c r="Z108" s="655">
        <f t="shared" si="16"/>
        <v>2039</v>
      </c>
    </row>
    <row r="109" spans="3:26" ht="16.5" customHeight="1" x14ac:dyDescent="0.2">
      <c r="C109" s="513"/>
      <c r="D109" s="656" t="str">
        <f>Calculations!C110</f>
        <v>Capital Costs</v>
      </c>
      <c r="E109" s="657">
        <f>SUM(F109:Z109)</f>
        <v>0</v>
      </c>
      <c r="F109" s="659">
        <f>Calculations!E110/Calculations!E$9</f>
        <v>0</v>
      </c>
      <c r="G109" s="659">
        <f>Calculations!F110/Calculations!F$9</f>
        <v>0</v>
      </c>
      <c r="H109" s="659">
        <f>Calculations!G110/Calculations!G$9</f>
        <v>0</v>
      </c>
      <c r="I109" s="659">
        <f>Calculations!H110/Calculations!H$9</f>
        <v>0</v>
      </c>
      <c r="J109" s="659">
        <f>Calculations!I110/Calculations!I$9</f>
        <v>0</v>
      </c>
      <c r="K109" s="659">
        <f>Calculations!J110/Calculations!J$9</f>
        <v>0</v>
      </c>
      <c r="L109" s="659">
        <f>Calculations!K110/Calculations!K$9</f>
        <v>0</v>
      </c>
      <c r="M109" s="659">
        <f>Calculations!L110/Calculations!L$9</f>
        <v>0</v>
      </c>
      <c r="N109" s="659">
        <f>Calculations!M110/Calculations!M$9</f>
        <v>0</v>
      </c>
      <c r="O109" s="659">
        <f>Calculations!N110/Calculations!N$9</f>
        <v>0</v>
      </c>
      <c r="P109" s="659">
        <f>Calculations!O110/Calculations!O$9</f>
        <v>0</v>
      </c>
      <c r="Q109" s="659">
        <f>Calculations!P110/Calculations!P$9</f>
        <v>0</v>
      </c>
      <c r="R109" s="659">
        <f>Calculations!Q110/Calculations!Q$9</f>
        <v>0</v>
      </c>
      <c r="S109" s="659">
        <f>Calculations!R110/Calculations!R$9</f>
        <v>0</v>
      </c>
      <c r="T109" s="659">
        <f>Calculations!S110/Calculations!S$9</f>
        <v>0</v>
      </c>
      <c r="U109" s="659">
        <f>Calculations!T110/Calculations!T$9</f>
        <v>0</v>
      </c>
      <c r="V109" s="659">
        <f>Calculations!U110/Calculations!U$9</f>
        <v>0</v>
      </c>
      <c r="W109" s="659">
        <f>Calculations!V110/Calculations!V$9</f>
        <v>0</v>
      </c>
      <c r="X109" s="659">
        <f>Calculations!W110/Calculations!W$9</f>
        <v>0</v>
      </c>
      <c r="Y109" s="659">
        <f>Calculations!X110/Calculations!X$9</f>
        <v>0</v>
      </c>
      <c r="Z109" s="659">
        <f>Calculations!Y110/Calculations!Y$9</f>
        <v>0</v>
      </c>
    </row>
    <row r="110" spans="3:26" ht="16.5" customHeight="1" x14ac:dyDescent="0.2">
      <c r="C110" s="513"/>
      <c r="D110" s="656" t="str">
        <f>Calculations!C111</f>
        <v>Maintenance Costs</v>
      </c>
      <c r="E110" s="657">
        <f>SUM(F110:Z110)</f>
        <v>0</v>
      </c>
      <c r="F110" s="659">
        <f>Calculations!E111/Calculations!E$9</f>
        <v>0</v>
      </c>
      <c r="G110" s="659">
        <f>Calculations!F111/Calculations!F$9</f>
        <v>0</v>
      </c>
      <c r="H110" s="659">
        <f>Calculations!G111/Calculations!G$9</f>
        <v>0</v>
      </c>
      <c r="I110" s="659">
        <f>Calculations!H111/Calculations!H$9</f>
        <v>0</v>
      </c>
      <c r="J110" s="659">
        <f>Calculations!I111/Calculations!I$9</f>
        <v>0</v>
      </c>
      <c r="K110" s="659">
        <f>Calculations!J111/Calculations!J$9</f>
        <v>0</v>
      </c>
      <c r="L110" s="659">
        <f>Calculations!K111/Calculations!K$9</f>
        <v>0</v>
      </c>
      <c r="M110" s="659">
        <f>Calculations!L111/Calculations!L$9</f>
        <v>0</v>
      </c>
      <c r="N110" s="659">
        <f>Calculations!M111/Calculations!M$9</f>
        <v>0</v>
      </c>
      <c r="O110" s="659">
        <f>Calculations!N111/Calculations!N$9</f>
        <v>0</v>
      </c>
      <c r="P110" s="659">
        <f>Calculations!O111/Calculations!O$9</f>
        <v>0</v>
      </c>
      <c r="Q110" s="659">
        <f>Calculations!P111/Calculations!P$9</f>
        <v>0</v>
      </c>
      <c r="R110" s="659">
        <f>Calculations!Q111/Calculations!Q$9</f>
        <v>0</v>
      </c>
      <c r="S110" s="659">
        <f>Calculations!R111/Calculations!R$9</f>
        <v>0</v>
      </c>
      <c r="T110" s="659">
        <f>Calculations!S111/Calculations!S$9</f>
        <v>0</v>
      </c>
      <c r="U110" s="659">
        <f>Calculations!T111/Calculations!T$9</f>
        <v>0</v>
      </c>
      <c r="V110" s="659">
        <f>Calculations!U111/Calculations!U$9</f>
        <v>0</v>
      </c>
      <c r="W110" s="659">
        <f>Calculations!V111/Calculations!V$9</f>
        <v>0</v>
      </c>
      <c r="X110" s="659">
        <f>Calculations!W111/Calculations!W$9</f>
        <v>0</v>
      </c>
      <c r="Y110" s="659">
        <f>Calculations!X111/Calculations!X$9</f>
        <v>0</v>
      </c>
      <c r="Z110" s="659">
        <f>Calculations!Y111/Calculations!Y$9</f>
        <v>0</v>
      </c>
    </row>
    <row r="111" spans="3:26" ht="16.5" customHeight="1" x14ac:dyDescent="0.2">
      <c r="C111" s="513"/>
      <c r="D111" s="656" t="str">
        <f>Calculations!C112</f>
        <v>Negative Impact on Revenue (STPIS)</v>
      </c>
      <c r="E111" s="657">
        <f t="shared" ref="E111:Z111" si="17">SUM(E112:E115)</f>
        <v>0</v>
      </c>
      <c r="F111" s="657">
        <f t="shared" si="17"/>
        <v>0</v>
      </c>
      <c r="G111" s="657">
        <f t="shared" si="17"/>
        <v>0</v>
      </c>
      <c r="H111" s="657">
        <f t="shared" si="17"/>
        <v>0</v>
      </c>
      <c r="I111" s="657">
        <f t="shared" si="17"/>
        <v>0</v>
      </c>
      <c r="J111" s="657">
        <f t="shared" si="17"/>
        <v>0</v>
      </c>
      <c r="K111" s="657">
        <f t="shared" si="17"/>
        <v>0</v>
      </c>
      <c r="L111" s="657">
        <f t="shared" si="17"/>
        <v>0</v>
      </c>
      <c r="M111" s="657">
        <f t="shared" si="17"/>
        <v>0</v>
      </c>
      <c r="N111" s="657">
        <f t="shared" si="17"/>
        <v>0</v>
      </c>
      <c r="O111" s="657">
        <f t="shared" si="17"/>
        <v>0</v>
      </c>
      <c r="P111" s="657">
        <f t="shared" si="17"/>
        <v>0</v>
      </c>
      <c r="Q111" s="657">
        <f t="shared" si="17"/>
        <v>0</v>
      </c>
      <c r="R111" s="657">
        <f t="shared" si="17"/>
        <v>0</v>
      </c>
      <c r="S111" s="657">
        <f t="shared" si="17"/>
        <v>0</v>
      </c>
      <c r="T111" s="657">
        <f t="shared" si="17"/>
        <v>0</v>
      </c>
      <c r="U111" s="657">
        <f t="shared" si="17"/>
        <v>0</v>
      </c>
      <c r="V111" s="657">
        <f t="shared" si="17"/>
        <v>0</v>
      </c>
      <c r="W111" s="657">
        <f t="shared" si="17"/>
        <v>0</v>
      </c>
      <c r="X111" s="657">
        <f t="shared" si="17"/>
        <v>0</v>
      </c>
      <c r="Y111" s="657">
        <f t="shared" si="17"/>
        <v>0</v>
      </c>
      <c r="Z111" s="657">
        <f t="shared" si="17"/>
        <v>0</v>
      </c>
    </row>
    <row r="112" spans="3:26" ht="16.5" customHeight="1" x14ac:dyDescent="0.2">
      <c r="C112" s="513"/>
      <c r="D112" s="660" t="str">
        <f>Calculations!C113</f>
        <v>SAIFI sustained</v>
      </c>
      <c r="E112" s="657">
        <f t="shared" ref="E112:E127" si="18">SUM(F112:Z112)</f>
        <v>0</v>
      </c>
      <c r="F112" s="659">
        <f>Calculations!E113/Calculations!E$9</f>
        <v>0</v>
      </c>
      <c r="G112" s="659">
        <f>Calculations!F113/Calculations!F$9</f>
        <v>0</v>
      </c>
      <c r="H112" s="659">
        <f>Calculations!G113/Calculations!G$9</f>
        <v>0</v>
      </c>
      <c r="I112" s="659">
        <f>Calculations!H113/Calculations!H$9</f>
        <v>0</v>
      </c>
      <c r="J112" s="659">
        <f>Calculations!I113/Calculations!I$9</f>
        <v>0</v>
      </c>
      <c r="K112" s="659">
        <f>Calculations!J113/Calculations!J$9</f>
        <v>0</v>
      </c>
      <c r="L112" s="659">
        <f>Calculations!K113/Calculations!K$9</f>
        <v>0</v>
      </c>
      <c r="M112" s="659">
        <f>Calculations!L113/Calculations!L$9</f>
        <v>0</v>
      </c>
      <c r="N112" s="659">
        <f>Calculations!M113/Calculations!M$9</f>
        <v>0</v>
      </c>
      <c r="O112" s="659">
        <f>Calculations!N113/Calculations!N$9</f>
        <v>0</v>
      </c>
      <c r="P112" s="659">
        <f>Calculations!O113/Calculations!O$9</f>
        <v>0</v>
      </c>
      <c r="Q112" s="659">
        <f>Calculations!P113/Calculations!P$9</f>
        <v>0</v>
      </c>
      <c r="R112" s="659">
        <f>Calculations!Q113/Calculations!Q$9</f>
        <v>0</v>
      </c>
      <c r="S112" s="659">
        <f>Calculations!R113/Calculations!R$9</f>
        <v>0</v>
      </c>
      <c r="T112" s="659">
        <f>Calculations!S113/Calculations!S$9</f>
        <v>0</v>
      </c>
      <c r="U112" s="659">
        <f>Calculations!T113/Calculations!T$9</f>
        <v>0</v>
      </c>
      <c r="V112" s="659">
        <f>Calculations!U113/Calculations!U$9</f>
        <v>0</v>
      </c>
      <c r="W112" s="659">
        <f>Calculations!V113/Calculations!V$9</f>
        <v>0</v>
      </c>
      <c r="X112" s="659">
        <f>Calculations!W113/Calculations!W$9</f>
        <v>0</v>
      </c>
      <c r="Y112" s="659">
        <f>Calculations!X113/Calculations!X$9</f>
        <v>0</v>
      </c>
      <c r="Z112" s="659">
        <f>Calculations!Y113/Calculations!Y$9</f>
        <v>0</v>
      </c>
    </row>
    <row r="113" spans="3:26" ht="16.5" customHeight="1" x14ac:dyDescent="0.2">
      <c r="C113" s="513"/>
      <c r="D113" s="660" t="str">
        <f>Calculations!C114</f>
        <v>SAIDI accidental</v>
      </c>
      <c r="E113" s="657">
        <f t="shared" si="18"/>
        <v>0</v>
      </c>
      <c r="F113" s="659">
        <f>Calculations!E114/Calculations!E$9</f>
        <v>0</v>
      </c>
      <c r="G113" s="659">
        <f>Calculations!F114/Calculations!F$9</f>
        <v>0</v>
      </c>
      <c r="H113" s="659">
        <f>Calculations!G114/Calculations!G$9</f>
        <v>0</v>
      </c>
      <c r="I113" s="659">
        <f>Calculations!H114/Calculations!H$9</f>
        <v>0</v>
      </c>
      <c r="J113" s="659">
        <f>Calculations!I114/Calculations!I$9</f>
        <v>0</v>
      </c>
      <c r="K113" s="659">
        <f>Calculations!J114/Calculations!J$9</f>
        <v>0</v>
      </c>
      <c r="L113" s="659">
        <f>Calculations!K114/Calculations!K$9</f>
        <v>0</v>
      </c>
      <c r="M113" s="659">
        <f>Calculations!L114/Calculations!L$9</f>
        <v>0</v>
      </c>
      <c r="N113" s="659">
        <f>Calculations!M114/Calculations!M$9</f>
        <v>0</v>
      </c>
      <c r="O113" s="659">
        <f>Calculations!N114/Calculations!N$9</f>
        <v>0</v>
      </c>
      <c r="P113" s="659">
        <f>Calculations!O114/Calculations!O$9</f>
        <v>0</v>
      </c>
      <c r="Q113" s="659">
        <f>Calculations!P114/Calculations!P$9</f>
        <v>0</v>
      </c>
      <c r="R113" s="659">
        <f>Calculations!Q114/Calculations!Q$9</f>
        <v>0</v>
      </c>
      <c r="S113" s="659">
        <f>Calculations!R114/Calculations!R$9</f>
        <v>0</v>
      </c>
      <c r="T113" s="659">
        <f>Calculations!S114/Calculations!S$9</f>
        <v>0</v>
      </c>
      <c r="U113" s="659">
        <f>Calculations!T114/Calculations!T$9</f>
        <v>0</v>
      </c>
      <c r="V113" s="659">
        <f>Calculations!U114/Calculations!U$9</f>
        <v>0</v>
      </c>
      <c r="W113" s="659">
        <f>Calculations!V114/Calculations!V$9</f>
        <v>0</v>
      </c>
      <c r="X113" s="659">
        <f>Calculations!W114/Calculations!W$9</f>
        <v>0</v>
      </c>
      <c r="Y113" s="659">
        <f>Calculations!X114/Calculations!X$9</f>
        <v>0</v>
      </c>
      <c r="Z113" s="659">
        <f>Calculations!Y114/Calculations!Y$9</f>
        <v>0</v>
      </c>
    </row>
    <row r="114" spans="3:26" ht="16.5" customHeight="1" x14ac:dyDescent="0.2">
      <c r="C114" s="513"/>
      <c r="D114" s="660" t="str">
        <f>Calculations!C115</f>
        <v>MAIFI momentary</v>
      </c>
      <c r="E114" s="657">
        <f t="shared" si="18"/>
        <v>0</v>
      </c>
      <c r="F114" s="659">
        <f>Calculations!E115/Calculations!E$9</f>
        <v>0</v>
      </c>
      <c r="G114" s="659">
        <f>Calculations!F115/Calculations!F$9</f>
        <v>0</v>
      </c>
      <c r="H114" s="659">
        <f>Calculations!G115/Calculations!G$9</f>
        <v>0</v>
      </c>
      <c r="I114" s="659">
        <f>Calculations!H115/Calculations!H$9</f>
        <v>0</v>
      </c>
      <c r="J114" s="659">
        <f>Calculations!I115/Calculations!I$9</f>
        <v>0</v>
      </c>
      <c r="K114" s="659">
        <f>Calculations!J115/Calculations!J$9</f>
        <v>0</v>
      </c>
      <c r="L114" s="659">
        <f>Calculations!K115/Calculations!K$9</f>
        <v>0</v>
      </c>
      <c r="M114" s="659">
        <f>Calculations!L115/Calculations!L$9</f>
        <v>0</v>
      </c>
      <c r="N114" s="659">
        <f>Calculations!M115/Calculations!M$9</f>
        <v>0</v>
      </c>
      <c r="O114" s="659">
        <f>Calculations!N115/Calculations!N$9</f>
        <v>0</v>
      </c>
      <c r="P114" s="659">
        <f>Calculations!O115/Calculations!O$9</f>
        <v>0</v>
      </c>
      <c r="Q114" s="659">
        <f>Calculations!P115/Calculations!P$9</f>
        <v>0</v>
      </c>
      <c r="R114" s="659">
        <f>Calculations!Q115/Calculations!Q$9</f>
        <v>0</v>
      </c>
      <c r="S114" s="659">
        <f>Calculations!R115/Calculations!R$9</f>
        <v>0</v>
      </c>
      <c r="T114" s="659">
        <f>Calculations!S115/Calculations!S$9</f>
        <v>0</v>
      </c>
      <c r="U114" s="659">
        <f>Calculations!T115/Calculations!T$9</f>
        <v>0</v>
      </c>
      <c r="V114" s="659">
        <f>Calculations!U115/Calculations!U$9</f>
        <v>0</v>
      </c>
      <c r="W114" s="659">
        <f>Calculations!V115/Calculations!V$9</f>
        <v>0</v>
      </c>
      <c r="X114" s="659">
        <f>Calculations!W115/Calculations!W$9</f>
        <v>0</v>
      </c>
      <c r="Y114" s="659">
        <f>Calculations!X115/Calculations!X$9</f>
        <v>0</v>
      </c>
      <c r="Z114" s="659">
        <f>Calculations!Y115/Calculations!Y$9</f>
        <v>0</v>
      </c>
    </row>
    <row r="115" spans="3:26" ht="16.5" customHeight="1" x14ac:dyDescent="0.2">
      <c r="C115" s="513"/>
      <c r="D115" s="660" t="str">
        <f>Calculations!C116</f>
        <v>Call centre response</v>
      </c>
      <c r="E115" s="657">
        <f t="shared" si="18"/>
        <v>0</v>
      </c>
      <c r="F115" s="659">
        <f>Calculations!E116/Calculations!E$9</f>
        <v>0</v>
      </c>
      <c r="G115" s="659">
        <f>Calculations!F116/Calculations!F$9</f>
        <v>0</v>
      </c>
      <c r="H115" s="659">
        <f>Calculations!G116/Calculations!G$9</f>
        <v>0</v>
      </c>
      <c r="I115" s="659">
        <f>Calculations!H116/Calculations!H$9</f>
        <v>0</v>
      </c>
      <c r="J115" s="659">
        <f>Calculations!I116/Calculations!I$9</f>
        <v>0</v>
      </c>
      <c r="K115" s="659">
        <f>Calculations!J116/Calculations!J$9</f>
        <v>0</v>
      </c>
      <c r="L115" s="659">
        <f>Calculations!K116/Calculations!K$9</f>
        <v>0</v>
      </c>
      <c r="M115" s="659">
        <f>Calculations!L116/Calculations!L$9</f>
        <v>0</v>
      </c>
      <c r="N115" s="659">
        <f>Calculations!M116/Calculations!M$9</f>
        <v>0</v>
      </c>
      <c r="O115" s="659">
        <f>Calculations!N116/Calculations!N$9</f>
        <v>0</v>
      </c>
      <c r="P115" s="659">
        <f>Calculations!O116/Calculations!O$9</f>
        <v>0</v>
      </c>
      <c r="Q115" s="659">
        <f>Calculations!P116/Calculations!P$9</f>
        <v>0</v>
      </c>
      <c r="R115" s="659">
        <f>Calculations!Q116/Calculations!Q$9</f>
        <v>0</v>
      </c>
      <c r="S115" s="659">
        <f>Calculations!R116/Calculations!R$9</f>
        <v>0</v>
      </c>
      <c r="T115" s="659">
        <f>Calculations!S116/Calculations!S$9</f>
        <v>0</v>
      </c>
      <c r="U115" s="659">
        <f>Calculations!T116/Calculations!T$9</f>
        <v>0</v>
      </c>
      <c r="V115" s="659">
        <f>Calculations!U116/Calculations!U$9</f>
        <v>0</v>
      </c>
      <c r="W115" s="659">
        <f>Calculations!V116/Calculations!V$9</f>
        <v>0</v>
      </c>
      <c r="X115" s="659">
        <f>Calculations!W116/Calculations!W$9</f>
        <v>0</v>
      </c>
      <c r="Y115" s="659">
        <f>Calculations!X116/Calculations!X$9</f>
        <v>0</v>
      </c>
      <c r="Z115" s="659">
        <f>Calculations!Y116/Calculations!Y$9</f>
        <v>0</v>
      </c>
    </row>
    <row r="116" spans="3:26" ht="16.5" customHeight="1" x14ac:dyDescent="0.2">
      <c r="C116" s="513"/>
      <c r="D116" s="656" t="str">
        <f>Calculations!C117</f>
        <v>Network Outage Costs</v>
      </c>
      <c r="E116" s="657">
        <f t="shared" si="18"/>
        <v>0</v>
      </c>
      <c r="F116" s="659">
        <f>Calculations!E117/Calculations!E$9</f>
        <v>0</v>
      </c>
      <c r="G116" s="659">
        <f>Calculations!F117/Calculations!F$9</f>
        <v>0</v>
      </c>
      <c r="H116" s="659">
        <f>Calculations!G117/Calculations!G$9</f>
        <v>0</v>
      </c>
      <c r="I116" s="659">
        <f>Calculations!H117/Calculations!H$9</f>
        <v>0</v>
      </c>
      <c r="J116" s="659">
        <f>Calculations!I117/Calculations!I$9</f>
        <v>0</v>
      </c>
      <c r="K116" s="659">
        <f>Calculations!J117/Calculations!J$9</f>
        <v>0</v>
      </c>
      <c r="L116" s="659">
        <f>Calculations!K117/Calculations!K$9</f>
        <v>0</v>
      </c>
      <c r="M116" s="659">
        <f>Calculations!L117/Calculations!L$9</f>
        <v>0</v>
      </c>
      <c r="N116" s="659">
        <f>Calculations!M117/Calculations!M$9</f>
        <v>0</v>
      </c>
      <c r="O116" s="659">
        <f>Calculations!N117/Calculations!N$9</f>
        <v>0</v>
      </c>
      <c r="P116" s="659">
        <f>Calculations!O117/Calculations!O$9</f>
        <v>0</v>
      </c>
      <c r="Q116" s="659">
        <f>Calculations!P117/Calculations!P$9</f>
        <v>0</v>
      </c>
      <c r="R116" s="659">
        <f>Calculations!Q117/Calculations!Q$9</f>
        <v>0</v>
      </c>
      <c r="S116" s="659">
        <f>Calculations!R117/Calculations!R$9</f>
        <v>0</v>
      </c>
      <c r="T116" s="659">
        <f>Calculations!S117/Calculations!S$9</f>
        <v>0</v>
      </c>
      <c r="U116" s="659">
        <f>Calculations!T117/Calculations!T$9</f>
        <v>0</v>
      </c>
      <c r="V116" s="659">
        <f>Calculations!U117/Calculations!U$9</f>
        <v>0</v>
      </c>
      <c r="W116" s="659">
        <f>Calculations!V117/Calculations!V$9</f>
        <v>0</v>
      </c>
      <c r="X116" s="659">
        <f>Calculations!W117/Calculations!W$9</f>
        <v>0</v>
      </c>
      <c r="Y116" s="659">
        <f>Calculations!X117/Calculations!X$9</f>
        <v>0</v>
      </c>
      <c r="Z116" s="659">
        <f>Calculations!Y117/Calculations!Y$9</f>
        <v>0</v>
      </c>
    </row>
    <row r="117" spans="3:26" ht="16.5" customHeight="1" x14ac:dyDescent="0.2">
      <c r="C117" s="513"/>
      <c r="D117" s="656" t="str">
        <f>Calculations!C118</f>
        <v>Loss of F Factor Benefit</v>
      </c>
      <c r="E117" s="657">
        <f t="shared" si="18"/>
        <v>0</v>
      </c>
      <c r="F117" s="659">
        <f>Calculations!E118/Calculations!E$9</f>
        <v>0</v>
      </c>
      <c r="G117" s="659">
        <f>Calculations!F118/Calculations!F$9</f>
        <v>0</v>
      </c>
      <c r="H117" s="659">
        <f>Calculations!G118/Calculations!G$9</f>
        <v>0</v>
      </c>
      <c r="I117" s="659">
        <f>Calculations!H118/Calculations!H$9</f>
        <v>0</v>
      </c>
      <c r="J117" s="659">
        <f>Calculations!I118/Calculations!I$9</f>
        <v>0</v>
      </c>
      <c r="K117" s="659">
        <f>Calculations!J118/Calculations!J$9</f>
        <v>0</v>
      </c>
      <c r="L117" s="659">
        <f>Calculations!K118/Calculations!K$9</f>
        <v>0</v>
      </c>
      <c r="M117" s="659">
        <f>Calculations!L118/Calculations!L$9</f>
        <v>0</v>
      </c>
      <c r="N117" s="659">
        <f>Calculations!M118/Calculations!M$9</f>
        <v>0</v>
      </c>
      <c r="O117" s="659">
        <f>Calculations!N118/Calculations!N$9</f>
        <v>0</v>
      </c>
      <c r="P117" s="659">
        <f>Calculations!O118/Calculations!O$9</f>
        <v>0</v>
      </c>
      <c r="Q117" s="659">
        <f>Calculations!P118/Calculations!P$9</f>
        <v>0</v>
      </c>
      <c r="R117" s="659">
        <f>Calculations!Q118/Calculations!Q$9</f>
        <v>0</v>
      </c>
      <c r="S117" s="659">
        <f>Calculations!R118/Calculations!R$9</f>
        <v>0</v>
      </c>
      <c r="T117" s="659">
        <f>Calculations!S118/Calculations!S$9</f>
        <v>0</v>
      </c>
      <c r="U117" s="659">
        <f>Calculations!T118/Calculations!T$9</f>
        <v>0</v>
      </c>
      <c r="V117" s="659">
        <f>Calculations!U118/Calculations!U$9</f>
        <v>0</v>
      </c>
      <c r="W117" s="659">
        <f>Calculations!V118/Calculations!V$9</f>
        <v>0</v>
      </c>
      <c r="X117" s="659">
        <f>Calculations!W118/Calculations!W$9</f>
        <v>0</v>
      </c>
      <c r="Y117" s="659">
        <f>Calculations!X118/Calculations!X$9</f>
        <v>0</v>
      </c>
      <c r="Z117" s="659">
        <f>Calculations!Y118/Calculations!Y$9</f>
        <v>0</v>
      </c>
    </row>
    <row r="118" spans="3:26" ht="16.5" customHeight="1" x14ac:dyDescent="0.2">
      <c r="C118" s="513"/>
      <c r="D118" s="656" t="str">
        <f>Calculations!C119</f>
        <v>Cost 1</v>
      </c>
      <c r="E118" s="657">
        <f t="shared" si="18"/>
        <v>0</v>
      </c>
      <c r="F118" s="659">
        <f>Calculations!E119/Calculations!E$9</f>
        <v>0</v>
      </c>
      <c r="G118" s="659">
        <f>Calculations!F119/Calculations!F$9</f>
        <v>0</v>
      </c>
      <c r="H118" s="659">
        <f>Calculations!G119/Calculations!G$9</f>
        <v>0</v>
      </c>
      <c r="I118" s="659">
        <f>Calculations!H119/Calculations!H$9</f>
        <v>0</v>
      </c>
      <c r="J118" s="659">
        <f>Calculations!I119/Calculations!I$9</f>
        <v>0</v>
      </c>
      <c r="K118" s="659">
        <f>Calculations!J119/Calculations!J$9</f>
        <v>0</v>
      </c>
      <c r="L118" s="659">
        <f>Calculations!K119/Calculations!K$9</f>
        <v>0</v>
      </c>
      <c r="M118" s="659">
        <f>Calculations!L119/Calculations!L$9</f>
        <v>0</v>
      </c>
      <c r="N118" s="659">
        <f>Calculations!M119/Calculations!M$9</f>
        <v>0</v>
      </c>
      <c r="O118" s="659">
        <f>Calculations!N119/Calculations!N$9</f>
        <v>0</v>
      </c>
      <c r="P118" s="659">
        <f>Calculations!O119/Calculations!O$9</f>
        <v>0</v>
      </c>
      <c r="Q118" s="659">
        <f>Calculations!P119/Calculations!P$9</f>
        <v>0</v>
      </c>
      <c r="R118" s="659">
        <f>Calculations!Q119/Calculations!Q$9</f>
        <v>0</v>
      </c>
      <c r="S118" s="659">
        <f>Calculations!R119/Calculations!R$9</f>
        <v>0</v>
      </c>
      <c r="T118" s="659">
        <f>Calculations!S119/Calculations!S$9</f>
        <v>0</v>
      </c>
      <c r="U118" s="659">
        <f>Calculations!T119/Calculations!T$9</f>
        <v>0</v>
      </c>
      <c r="V118" s="659">
        <f>Calculations!U119/Calculations!U$9</f>
        <v>0</v>
      </c>
      <c r="W118" s="659">
        <f>Calculations!V119/Calculations!V$9</f>
        <v>0</v>
      </c>
      <c r="X118" s="659">
        <f>Calculations!W119/Calculations!W$9</f>
        <v>0</v>
      </c>
      <c r="Y118" s="659">
        <f>Calculations!X119/Calculations!X$9</f>
        <v>0</v>
      </c>
      <c r="Z118" s="659">
        <f>Calculations!Y119/Calculations!Y$9</f>
        <v>0</v>
      </c>
    </row>
    <row r="119" spans="3:26" ht="16.5" customHeight="1" x14ac:dyDescent="0.2">
      <c r="C119" s="513"/>
      <c r="D119" s="656" t="str">
        <f>Calculations!C120</f>
        <v>Cost 2</v>
      </c>
      <c r="E119" s="657">
        <f t="shared" si="18"/>
        <v>0</v>
      </c>
      <c r="F119" s="659">
        <f>Calculations!E120/Calculations!E$9</f>
        <v>0</v>
      </c>
      <c r="G119" s="659">
        <f>Calculations!F120/Calculations!F$9</f>
        <v>0</v>
      </c>
      <c r="H119" s="659">
        <f>Calculations!G120/Calculations!G$9</f>
        <v>0</v>
      </c>
      <c r="I119" s="659">
        <f>Calculations!H120/Calculations!H$9</f>
        <v>0</v>
      </c>
      <c r="J119" s="659">
        <f>Calculations!I120/Calculations!I$9</f>
        <v>0</v>
      </c>
      <c r="K119" s="659">
        <f>Calculations!J120/Calculations!J$9</f>
        <v>0</v>
      </c>
      <c r="L119" s="659">
        <f>Calculations!K120/Calculations!K$9</f>
        <v>0</v>
      </c>
      <c r="M119" s="659">
        <f>Calculations!L120/Calculations!L$9</f>
        <v>0</v>
      </c>
      <c r="N119" s="659">
        <f>Calculations!M120/Calculations!M$9</f>
        <v>0</v>
      </c>
      <c r="O119" s="659">
        <f>Calculations!N120/Calculations!N$9</f>
        <v>0</v>
      </c>
      <c r="P119" s="659">
        <f>Calculations!O120/Calculations!O$9</f>
        <v>0</v>
      </c>
      <c r="Q119" s="659">
        <f>Calculations!P120/Calculations!P$9</f>
        <v>0</v>
      </c>
      <c r="R119" s="659">
        <f>Calculations!Q120/Calculations!Q$9</f>
        <v>0</v>
      </c>
      <c r="S119" s="659">
        <f>Calculations!R120/Calculations!R$9</f>
        <v>0</v>
      </c>
      <c r="T119" s="659">
        <f>Calculations!S120/Calculations!S$9</f>
        <v>0</v>
      </c>
      <c r="U119" s="659">
        <f>Calculations!T120/Calculations!T$9</f>
        <v>0</v>
      </c>
      <c r="V119" s="659">
        <f>Calculations!U120/Calculations!U$9</f>
        <v>0</v>
      </c>
      <c r="W119" s="659">
        <f>Calculations!V120/Calculations!V$9</f>
        <v>0</v>
      </c>
      <c r="X119" s="659">
        <f>Calculations!W120/Calculations!W$9</f>
        <v>0</v>
      </c>
      <c r="Y119" s="659">
        <f>Calculations!X120/Calculations!X$9</f>
        <v>0</v>
      </c>
      <c r="Z119" s="659">
        <f>Calculations!Y120/Calculations!Y$9</f>
        <v>0</v>
      </c>
    </row>
    <row r="120" spans="3:26" ht="16.5" customHeight="1" x14ac:dyDescent="0.2">
      <c r="C120" s="513"/>
      <c r="D120" s="656" t="str">
        <f>Calculations!C121</f>
        <v>Cost 3</v>
      </c>
      <c r="E120" s="657">
        <f t="shared" si="18"/>
        <v>0</v>
      </c>
      <c r="F120" s="659">
        <f>Calculations!E121/Calculations!E$9</f>
        <v>0</v>
      </c>
      <c r="G120" s="659">
        <f>Calculations!F121/Calculations!F$9</f>
        <v>0</v>
      </c>
      <c r="H120" s="659">
        <f>Calculations!G121/Calculations!G$9</f>
        <v>0</v>
      </c>
      <c r="I120" s="659">
        <f>Calculations!H121/Calculations!H$9</f>
        <v>0</v>
      </c>
      <c r="J120" s="659">
        <f>Calculations!I121/Calculations!I$9</f>
        <v>0</v>
      </c>
      <c r="K120" s="659">
        <f>Calculations!J121/Calculations!J$9</f>
        <v>0</v>
      </c>
      <c r="L120" s="659">
        <f>Calculations!K121/Calculations!K$9</f>
        <v>0</v>
      </c>
      <c r="M120" s="659">
        <f>Calculations!L121/Calculations!L$9</f>
        <v>0</v>
      </c>
      <c r="N120" s="659">
        <f>Calculations!M121/Calculations!M$9</f>
        <v>0</v>
      </c>
      <c r="O120" s="659">
        <f>Calculations!N121/Calculations!N$9</f>
        <v>0</v>
      </c>
      <c r="P120" s="659">
        <f>Calculations!O121/Calculations!O$9</f>
        <v>0</v>
      </c>
      <c r="Q120" s="659">
        <f>Calculations!P121/Calculations!P$9</f>
        <v>0</v>
      </c>
      <c r="R120" s="659">
        <f>Calculations!Q121/Calculations!Q$9</f>
        <v>0</v>
      </c>
      <c r="S120" s="659">
        <f>Calculations!R121/Calculations!R$9</f>
        <v>0</v>
      </c>
      <c r="T120" s="659">
        <f>Calculations!S121/Calculations!S$9</f>
        <v>0</v>
      </c>
      <c r="U120" s="659">
        <f>Calculations!T121/Calculations!T$9</f>
        <v>0</v>
      </c>
      <c r="V120" s="659">
        <f>Calculations!U121/Calculations!U$9</f>
        <v>0</v>
      </c>
      <c r="W120" s="659">
        <f>Calculations!V121/Calculations!V$9</f>
        <v>0</v>
      </c>
      <c r="X120" s="659">
        <f>Calculations!W121/Calculations!W$9</f>
        <v>0</v>
      </c>
      <c r="Y120" s="659">
        <f>Calculations!X121/Calculations!X$9</f>
        <v>0</v>
      </c>
      <c r="Z120" s="659">
        <f>Calculations!Y121/Calculations!Y$9</f>
        <v>0</v>
      </c>
    </row>
    <row r="121" spans="3:26" ht="16.5" customHeight="1" x14ac:dyDescent="0.2">
      <c r="C121" s="513"/>
      <c r="D121" s="656" t="str">
        <f>Calculations!C122</f>
        <v>Cost 4</v>
      </c>
      <c r="E121" s="657">
        <f t="shared" si="18"/>
        <v>0</v>
      </c>
      <c r="F121" s="659">
        <f>Calculations!E122/Calculations!E$9</f>
        <v>0</v>
      </c>
      <c r="G121" s="659">
        <f>Calculations!F122/Calculations!F$9</f>
        <v>0</v>
      </c>
      <c r="H121" s="659">
        <f>Calculations!G122/Calculations!G$9</f>
        <v>0</v>
      </c>
      <c r="I121" s="659">
        <f>Calculations!H122/Calculations!H$9</f>
        <v>0</v>
      </c>
      <c r="J121" s="659">
        <f>Calculations!I122/Calculations!I$9</f>
        <v>0</v>
      </c>
      <c r="K121" s="659">
        <f>Calculations!J122/Calculations!J$9</f>
        <v>0</v>
      </c>
      <c r="L121" s="659">
        <f>Calculations!K122/Calculations!K$9</f>
        <v>0</v>
      </c>
      <c r="M121" s="659">
        <f>Calculations!L122/Calculations!L$9</f>
        <v>0</v>
      </c>
      <c r="N121" s="659">
        <f>Calculations!M122/Calculations!M$9</f>
        <v>0</v>
      </c>
      <c r="O121" s="659">
        <f>Calculations!N122/Calculations!N$9</f>
        <v>0</v>
      </c>
      <c r="P121" s="659">
        <f>Calculations!O122/Calculations!O$9</f>
        <v>0</v>
      </c>
      <c r="Q121" s="659">
        <f>Calculations!P122/Calculations!P$9</f>
        <v>0</v>
      </c>
      <c r="R121" s="659">
        <f>Calculations!Q122/Calculations!Q$9</f>
        <v>0</v>
      </c>
      <c r="S121" s="659">
        <f>Calculations!R122/Calculations!R$9</f>
        <v>0</v>
      </c>
      <c r="T121" s="659">
        <f>Calculations!S122/Calculations!S$9</f>
        <v>0</v>
      </c>
      <c r="U121" s="659">
        <f>Calculations!T122/Calculations!T$9</f>
        <v>0</v>
      </c>
      <c r="V121" s="659">
        <f>Calculations!U122/Calculations!U$9</f>
        <v>0</v>
      </c>
      <c r="W121" s="659">
        <f>Calculations!V122/Calculations!V$9</f>
        <v>0</v>
      </c>
      <c r="X121" s="659">
        <f>Calculations!W122/Calculations!W$9</f>
        <v>0</v>
      </c>
      <c r="Y121" s="659">
        <f>Calculations!X122/Calculations!X$9</f>
        <v>0</v>
      </c>
      <c r="Z121" s="659">
        <f>Calculations!Y122/Calculations!Y$9</f>
        <v>0</v>
      </c>
    </row>
    <row r="122" spans="3:26" ht="16.5" customHeight="1" x14ac:dyDescent="0.2">
      <c r="C122" s="513"/>
      <c r="D122" s="656" t="str">
        <f>Calculations!C123</f>
        <v>Cost 5</v>
      </c>
      <c r="E122" s="657">
        <f t="shared" si="18"/>
        <v>0</v>
      </c>
      <c r="F122" s="659">
        <f>Calculations!E123/Calculations!E$9</f>
        <v>0</v>
      </c>
      <c r="G122" s="659">
        <f>Calculations!F123/Calculations!F$9</f>
        <v>0</v>
      </c>
      <c r="H122" s="659">
        <f>Calculations!G123/Calculations!G$9</f>
        <v>0</v>
      </c>
      <c r="I122" s="659">
        <f>Calculations!H123/Calculations!H$9</f>
        <v>0</v>
      </c>
      <c r="J122" s="659">
        <f>Calculations!I123/Calculations!I$9</f>
        <v>0</v>
      </c>
      <c r="K122" s="659">
        <f>Calculations!J123/Calculations!J$9</f>
        <v>0</v>
      </c>
      <c r="L122" s="659">
        <f>Calculations!K123/Calculations!K$9</f>
        <v>0</v>
      </c>
      <c r="M122" s="659">
        <f>Calculations!L123/Calculations!L$9</f>
        <v>0</v>
      </c>
      <c r="N122" s="659">
        <f>Calculations!M123/Calculations!M$9</f>
        <v>0</v>
      </c>
      <c r="O122" s="659">
        <f>Calculations!N123/Calculations!N$9</f>
        <v>0</v>
      </c>
      <c r="P122" s="659">
        <f>Calculations!O123/Calculations!O$9</f>
        <v>0</v>
      </c>
      <c r="Q122" s="659">
        <f>Calculations!P123/Calculations!P$9</f>
        <v>0</v>
      </c>
      <c r="R122" s="659">
        <f>Calculations!Q123/Calculations!Q$9</f>
        <v>0</v>
      </c>
      <c r="S122" s="659">
        <f>Calculations!R123/Calculations!R$9</f>
        <v>0</v>
      </c>
      <c r="T122" s="659">
        <f>Calculations!S123/Calculations!S$9</f>
        <v>0</v>
      </c>
      <c r="U122" s="659">
        <f>Calculations!T123/Calculations!T$9</f>
        <v>0</v>
      </c>
      <c r="V122" s="659">
        <f>Calculations!U123/Calculations!U$9</f>
        <v>0</v>
      </c>
      <c r="W122" s="659">
        <f>Calculations!V123/Calculations!V$9</f>
        <v>0</v>
      </c>
      <c r="X122" s="659">
        <f>Calculations!W123/Calculations!W$9</f>
        <v>0</v>
      </c>
      <c r="Y122" s="659">
        <f>Calculations!X123/Calculations!X$9</f>
        <v>0</v>
      </c>
      <c r="Z122" s="659">
        <f>Calculations!Y123/Calculations!Y$9</f>
        <v>0</v>
      </c>
    </row>
    <row r="123" spans="3:26" ht="16.5" customHeight="1" x14ac:dyDescent="0.2">
      <c r="C123" s="513"/>
      <c r="D123" s="656" t="str">
        <f>Calculations!C124</f>
        <v>Risk 1</v>
      </c>
      <c r="E123" s="657">
        <f t="shared" si="18"/>
        <v>0</v>
      </c>
      <c r="F123" s="659">
        <f>Calculations!E124/Calculations!E$9</f>
        <v>0</v>
      </c>
      <c r="G123" s="659">
        <f>Calculations!F124/Calculations!F$9</f>
        <v>0</v>
      </c>
      <c r="H123" s="659">
        <f>Calculations!G124/Calculations!G$9</f>
        <v>0</v>
      </c>
      <c r="I123" s="659">
        <f>Calculations!H124/Calculations!H$9</f>
        <v>0</v>
      </c>
      <c r="J123" s="659">
        <f>Calculations!I124/Calculations!I$9</f>
        <v>0</v>
      </c>
      <c r="K123" s="659">
        <f>Calculations!J124/Calculations!J$9</f>
        <v>0</v>
      </c>
      <c r="L123" s="659">
        <f>Calculations!K124/Calculations!K$9</f>
        <v>0</v>
      </c>
      <c r="M123" s="659">
        <f>Calculations!L124/Calculations!L$9</f>
        <v>0</v>
      </c>
      <c r="N123" s="659">
        <f>Calculations!M124/Calculations!M$9</f>
        <v>0</v>
      </c>
      <c r="O123" s="659">
        <f>Calculations!N124/Calculations!N$9</f>
        <v>0</v>
      </c>
      <c r="P123" s="659">
        <f>Calculations!O124/Calculations!O$9</f>
        <v>0</v>
      </c>
      <c r="Q123" s="659">
        <f>Calculations!P124/Calculations!P$9</f>
        <v>0</v>
      </c>
      <c r="R123" s="659">
        <f>Calculations!Q124/Calculations!Q$9</f>
        <v>0</v>
      </c>
      <c r="S123" s="659">
        <f>Calculations!R124/Calculations!R$9</f>
        <v>0</v>
      </c>
      <c r="T123" s="659">
        <f>Calculations!S124/Calculations!S$9</f>
        <v>0</v>
      </c>
      <c r="U123" s="659">
        <f>Calculations!T124/Calculations!T$9</f>
        <v>0</v>
      </c>
      <c r="V123" s="659">
        <f>Calculations!U124/Calculations!U$9</f>
        <v>0</v>
      </c>
      <c r="W123" s="659">
        <f>Calculations!V124/Calculations!V$9</f>
        <v>0</v>
      </c>
      <c r="X123" s="659">
        <f>Calculations!W124/Calculations!W$9</f>
        <v>0</v>
      </c>
      <c r="Y123" s="659">
        <f>Calculations!X124/Calculations!X$9</f>
        <v>0</v>
      </c>
      <c r="Z123" s="659">
        <f>Calculations!Y124/Calculations!Y$9</f>
        <v>0</v>
      </c>
    </row>
    <row r="124" spans="3:26" ht="16.5" customHeight="1" x14ac:dyDescent="0.2">
      <c r="C124" s="513"/>
      <c r="D124" s="656" t="str">
        <f>Calculations!C125</f>
        <v>Risk 2</v>
      </c>
      <c r="E124" s="657">
        <f t="shared" si="18"/>
        <v>0</v>
      </c>
      <c r="F124" s="659">
        <f>Calculations!E125/Calculations!E$9</f>
        <v>0</v>
      </c>
      <c r="G124" s="659">
        <f>Calculations!F125/Calculations!F$9</f>
        <v>0</v>
      </c>
      <c r="H124" s="659">
        <f>Calculations!G125/Calculations!G$9</f>
        <v>0</v>
      </c>
      <c r="I124" s="659">
        <f>Calculations!H125/Calculations!H$9</f>
        <v>0</v>
      </c>
      <c r="J124" s="659">
        <f>Calculations!I125/Calculations!I$9</f>
        <v>0</v>
      </c>
      <c r="K124" s="659">
        <f>Calculations!J125/Calculations!J$9</f>
        <v>0</v>
      </c>
      <c r="L124" s="659">
        <f>Calculations!K125/Calculations!K$9</f>
        <v>0</v>
      </c>
      <c r="M124" s="659">
        <f>Calculations!L125/Calculations!L$9</f>
        <v>0</v>
      </c>
      <c r="N124" s="659">
        <f>Calculations!M125/Calculations!M$9</f>
        <v>0</v>
      </c>
      <c r="O124" s="659">
        <f>Calculations!N125/Calculations!N$9</f>
        <v>0</v>
      </c>
      <c r="P124" s="659">
        <f>Calculations!O125/Calculations!O$9</f>
        <v>0</v>
      </c>
      <c r="Q124" s="659">
        <f>Calculations!P125/Calculations!P$9</f>
        <v>0</v>
      </c>
      <c r="R124" s="659">
        <f>Calculations!Q125/Calculations!Q$9</f>
        <v>0</v>
      </c>
      <c r="S124" s="659">
        <f>Calculations!R125/Calculations!R$9</f>
        <v>0</v>
      </c>
      <c r="T124" s="659">
        <f>Calculations!S125/Calculations!S$9</f>
        <v>0</v>
      </c>
      <c r="U124" s="659">
        <f>Calculations!T125/Calculations!T$9</f>
        <v>0</v>
      </c>
      <c r="V124" s="659">
        <f>Calculations!U125/Calculations!U$9</f>
        <v>0</v>
      </c>
      <c r="W124" s="659">
        <f>Calculations!V125/Calculations!V$9</f>
        <v>0</v>
      </c>
      <c r="X124" s="659">
        <f>Calculations!W125/Calculations!W$9</f>
        <v>0</v>
      </c>
      <c r="Y124" s="659">
        <f>Calculations!X125/Calculations!X$9</f>
        <v>0</v>
      </c>
      <c r="Z124" s="659">
        <f>Calculations!Y125/Calculations!Y$9</f>
        <v>0</v>
      </c>
    </row>
    <row r="125" spans="3:26" ht="16.5" customHeight="1" x14ac:dyDescent="0.2">
      <c r="C125" s="513"/>
      <c r="D125" s="656" t="str">
        <f>Calculations!C126</f>
        <v>Risk 3</v>
      </c>
      <c r="E125" s="657">
        <f t="shared" si="18"/>
        <v>0</v>
      </c>
      <c r="F125" s="659">
        <f>Calculations!E126/Calculations!E$9</f>
        <v>0</v>
      </c>
      <c r="G125" s="659">
        <f>Calculations!F126/Calculations!F$9</f>
        <v>0</v>
      </c>
      <c r="H125" s="659">
        <f>Calculations!G126/Calculations!G$9</f>
        <v>0</v>
      </c>
      <c r="I125" s="659">
        <f>Calculations!H126/Calculations!H$9</f>
        <v>0</v>
      </c>
      <c r="J125" s="659">
        <f>Calculations!I126/Calculations!I$9</f>
        <v>0</v>
      </c>
      <c r="K125" s="659">
        <f>Calculations!J126/Calculations!J$9</f>
        <v>0</v>
      </c>
      <c r="L125" s="659">
        <f>Calculations!K126/Calculations!K$9</f>
        <v>0</v>
      </c>
      <c r="M125" s="659">
        <f>Calculations!L126/Calculations!L$9</f>
        <v>0</v>
      </c>
      <c r="N125" s="659">
        <f>Calculations!M126/Calculations!M$9</f>
        <v>0</v>
      </c>
      <c r="O125" s="659">
        <f>Calculations!N126/Calculations!N$9</f>
        <v>0</v>
      </c>
      <c r="P125" s="659">
        <f>Calculations!O126/Calculations!O$9</f>
        <v>0</v>
      </c>
      <c r="Q125" s="659">
        <f>Calculations!P126/Calculations!P$9</f>
        <v>0</v>
      </c>
      <c r="R125" s="659">
        <f>Calculations!Q126/Calculations!Q$9</f>
        <v>0</v>
      </c>
      <c r="S125" s="659">
        <f>Calculations!R126/Calculations!R$9</f>
        <v>0</v>
      </c>
      <c r="T125" s="659">
        <f>Calculations!S126/Calculations!S$9</f>
        <v>0</v>
      </c>
      <c r="U125" s="659">
        <f>Calculations!T126/Calculations!T$9</f>
        <v>0</v>
      </c>
      <c r="V125" s="659">
        <f>Calculations!U126/Calculations!U$9</f>
        <v>0</v>
      </c>
      <c r="W125" s="659">
        <f>Calculations!V126/Calculations!V$9</f>
        <v>0</v>
      </c>
      <c r="X125" s="659">
        <f>Calculations!W126/Calculations!W$9</f>
        <v>0</v>
      </c>
      <c r="Y125" s="659">
        <f>Calculations!X126/Calculations!X$9</f>
        <v>0</v>
      </c>
      <c r="Z125" s="659">
        <f>Calculations!Y126/Calculations!Y$9</f>
        <v>0</v>
      </c>
    </row>
    <row r="126" spans="3:26" ht="16.5" customHeight="1" x14ac:dyDescent="0.2">
      <c r="C126" s="513"/>
      <c r="D126" s="656" t="str">
        <f>Calculations!C127</f>
        <v>Risk 4</v>
      </c>
      <c r="E126" s="657">
        <f t="shared" si="18"/>
        <v>0</v>
      </c>
      <c r="F126" s="659">
        <f>Calculations!E127/Calculations!E$9</f>
        <v>0</v>
      </c>
      <c r="G126" s="659">
        <f>Calculations!F127/Calculations!F$9</f>
        <v>0</v>
      </c>
      <c r="H126" s="659">
        <f>Calculations!G127/Calculations!G$9</f>
        <v>0</v>
      </c>
      <c r="I126" s="659">
        <f>Calculations!H127/Calculations!H$9</f>
        <v>0</v>
      </c>
      <c r="J126" s="659">
        <f>Calculations!I127/Calculations!I$9</f>
        <v>0</v>
      </c>
      <c r="K126" s="659">
        <f>Calculations!J127/Calculations!J$9</f>
        <v>0</v>
      </c>
      <c r="L126" s="659">
        <f>Calculations!K127/Calculations!K$9</f>
        <v>0</v>
      </c>
      <c r="M126" s="659">
        <f>Calculations!L127/Calculations!L$9</f>
        <v>0</v>
      </c>
      <c r="N126" s="659">
        <f>Calculations!M127/Calculations!M$9</f>
        <v>0</v>
      </c>
      <c r="O126" s="659">
        <f>Calculations!N127/Calculations!N$9</f>
        <v>0</v>
      </c>
      <c r="P126" s="659">
        <f>Calculations!O127/Calculations!O$9</f>
        <v>0</v>
      </c>
      <c r="Q126" s="659">
        <f>Calculations!P127/Calculations!P$9</f>
        <v>0</v>
      </c>
      <c r="R126" s="659">
        <f>Calculations!Q127/Calculations!Q$9</f>
        <v>0</v>
      </c>
      <c r="S126" s="659">
        <f>Calculations!R127/Calculations!R$9</f>
        <v>0</v>
      </c>
      <c r="T126" s="659">
        <f>Calculations!S127/Calculations!S$9</f>
        <v>0</v>
      </c>
      <c r="U126" s="659">
        <f>Calculations!T127/Calculations!T$9</f>
        <v>0</v>
      </c>
      <c r="V126" s="659">
        <f>Calculations!U127/Calculations!U$9</f>
        <v>0</v>
      </c>
      <c r="W126" s="659">
        <f>Calculations!V127/Calculations!V$9</f>
        <v>0</v>
      </c>
      <c r="X126" s="659">
        <f>Calculations!W127/Calculations!W$9</f>
        <v>0</v>
      </c>
      <c r="Y126" s="659">
        <f>Calculations!X127/Calculations!X$9</f>
        <v>0</v>
      </c>
      <c r="Z126" s="659">
        <f>Calculations!Y127/Calculations!Y$9</f>
        <v>0</v>
      </c>
    </row>
    <row r="127" spans="3:26" ht="16.5" customHeight="1" x14ac:dyDescent="0.2">
      <c r="C127" s="513"/>
      <c r="D127" s="656" t="str">
        <f>Calculations!C128</f>
        <v>Risk 5</v>
      </c>
      <c r="E127" s="657">
        <f t="shared" si="18"/>
        <v>0</v>
      </c>
      <c r="F127" s="659">
        <f>Calculations!E128/Calculations!E$9</f>
        <v>0</v>
      </c>
      <c r="G127" s="659">
        <f>Calculations!F128/Calculations!F$9</f>
        <v>0</v>
      </c>
      <c r="H127" s="659">
        <f>Calculations!G128/Calculations!G$9</f>
        <v>0</v>
      </c>
      <c r="I127" s="659">
        <f>Calculations!H128/Calculations!H$9</f>
        <v>0</v>
      </c>
      <c r="J127" s="659">
        <f>Calculations!I128/Calculations!I$9</f>
        <v>0</v>
      </c>
      <c r="K127" s="659">
        <f>Calculations!J128/Calculations!J$9</f>
        <v>0</v>
      </c>
      <c r="L127" s="659">
        <f>Calculations!K128/Calculations!K$9</f>
        <v>0</v>
      </c>
      <c r="M127" s="659">
        <f>Calculations!L128/Calculations!L$9</f>
        <v>0</v>
      </c>
      <c r="N127" s="659">
        <f>Calculations!M128/Calculations!M$9</f>
        <v>0</v>
      </c>
      <c r="O127" s="659">
        <f>Calculations!N128/Calculations!N$9</f>
        <v>0</v>
      </c>
      <c r="P127" s="659">
        <f>Calculations!O128/Calculations!O$9</f>
        <v>0</v>
      </c>
      <c r="Q127" s="659">
        <f>Calculations!P128/Calculations!P$9</f>
        <v>0</v>
      </c>
      <c r="R127" s="659">
        <f>Calculations!Q128/Calculations!Q$9</f>
        <v>0</v>
      </c>
      <c r="S127" s="659">
        <f>Calculations!R128/Calculations!R$9</f>
        <v>0</v>
      </c>
      <c r="T127" s="659">
        <f>Calculations!S128/Calculations!S$9</f>
        <v>0</v>
      </c>
      <c r="U127" s="659">
        <f>Calculations!T128/Calculations!T$9</f>
        <v>0</v>
      </c>
      <c r="V127" s="659">
        <f>Calculations!U128/Calculations!U$9</f>
        <v>0</v>
      </c>
      <c r="W127" s="659">
        <f>Calculations!V128/Calculations!V$9</f>
        <v>0</v>
      </c>
      <c r="X127" s="659">
        <f>Calculations!W128/Calculations!W$9</f>
        <v>0</v>
      </c>
      <c r="Y127" s="659">
        <f>Calculations!X128/Calculations!X$9</f>
        <v>0</v>
      </c>
      <c r="Z127" s="659">
        <f>Calculations!Y128/Calculations!Y$9</f>
        <v>0</v>
      </c>
    </row>
    <row r="128" spans="3:26" ht="16.5" customHeight="1" x14ac:dyDescent="0.2">
      <c r="C128" s="513"/>
      <c r="D128" s="656" t="s">
        <v>254</v>
      </c>
      <c r="E128" s="657">
        <f t="shared" ref="E128:Z128" si="19">SUM(E109:E127)-E111</f>
        <v>0</v>
      </c>
      <c r="F128" s="657">
        <f t="shared" si="19"/>
        <v>0</v>
      </c>
      <c r="G128" s="657">
        <f t="shared" si="19"/>
        <v>0</v>
      </c>
      <c r="H128" s="657">
        <f t="shared" si="19"/>
        <v>0</v>
      </c>
      <c r="I128" s="657">
        <f t="shared" si="19"/>
        <v>0</v>
      </c>
      <c r="J128" s="657">
        <f t="shared" si="19"/>
        <v>0</v>
      </c>
      <c r="K128" s="657">
        <f t="shared" si="19"/>
        <v>0</v>
      </c>
      <c r="L128" s="657">
        <f t="shared" si="19"/>
        <v>0</v>
      </c>
      <c r="M128" s="657">
        <f t="shared" si="19"/>
        <v>0</v>
      </c>
      <c r="N128" s="657">
        <f t="shared" si="19"/>
        <v>0</v>
      </c>
      <c r="O128" s="657">
        <f t="shared" si="19"/>
        <v>0</v>
      </c>
      <c r="P128" s="657">
        <f t="shared" si="19"/>
        <v>0</v>
      </c>
      <c r="Q128" s="657">
        <f t="shared" si="19"/>
        <v>0</v>
      </c>
      <c r="R128" s="657">
        <f t="shared" si="19"/>
        <v>0</v>
      </c>
      <c r="S128" s="657">
        <f t="shared" si="19"/>
        <v>0</v>
      </c>
      <c r="T128" s="657">
        <f t="shared" si="19"/>
        <v>0</v>
      </c>
      <c r="U128" s="657">
        <f t="shared" si="19"/>
        <v>0</v>
      </c>
      <c r="V128" s="657">
        <f t="shared" si="19"/>
        <v>0</v>
      </c>
      <c r="W128" s="657">
        <f t="shared" si="19"/>
        <v>0</v>
      </c>
      <c r="X128" s="657">
        <f t="shared" si="19"/>
        <v>0</v>
      </c>
      <c r="Y128" s="657">
        <f t="shared" si="19"/>
        <v>0</v>
      </c>
      <c r="Z128" s="657">
        <f t="shared" si="19"/>
        <v>0</v>
      </c>
    </row>
    <row r="129" spans="3:26" ht="16.5" customHeight="1" x14ac:dyDescent="0.2">
      <c r="C129" s="513"/>
      <c r="D129" s="513"/>
      <c r="E129" s="513"/>
      <c r="F129" s="513"/>
      <c r="G129" s="513"/>
      <c r="H129" s="513"/>
      <c r="I129" s="513"/>
      <c r="J129" s="513"/>
      <c r="K129" s="513"/>
      <c r="L129" s="513"/>
      <c r="M129" s="513"/>
      <c r="N129" s="513"/>
      <c r="O129" s="513"/>
      <c r="P129" s="513"/>
      <c r="Q129" s="513"/>
      <c r="R129" s="513"/>
      <c r="S129" s="513"/>
      <c r="T129" s="513"/>
      <c r="U129" s="513"/>
      <c r="V129" s="513"/>
      <c r="W129" s="513"/>
      <c r="X129" s="513"/>
      <c r="Y129" s="513"/>
      <c r="Z129" s="513"/>
    </row>
    <row r="130" spans="3:26" ht="16.5" customHeight="1" x14ac:dyDescent="0.25">
      <c r="C130" s="513"/>
      <c r="D130" s="651" t="str">
        <f>'User Input'!D169</f>
        <v xml:space="preserve">Option 5: </v>
      </c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13"/>
      <c r="T130" s="513"/>
      <c r="U130" s="513"/>
      <c r="V130" s="513"/>
      <c r="W130" s="513"/>
      <c r="X130" s="513"/>
      <c r="Y130" s="513"/>
      <c r="Z130" s="513"/>
    </row>
    <row r="131" spans="3:26" ht="16.5" customHeight="1" x14ac:dyDescent="0.25">
      <c r="C131" s="513"/>
      <c r="D131" s="499"/>
      <c r="E131" s="513"/>
      <c r="F131" s="513"/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  <c r="X131" s="513"/>
      <c r="Y131" s="513"/>
      <c r="Z131" s="513"/>
    </row>
    <row r="132" spans="3:26" ht="16.5" customHeight="1" x14ac:dyDescent="0.25">
      <c r="C132" s="513"/>
      <c r="D132" s="654"/>
      <c r="E132" s="711"/>
      <c r="F132" s="711"/>
      <c r="G132" s="711"/>
      <c r="H132" s="711"/>
      <c r="I132" s="711"/>
      <c r="J132" s="711"/>
      <c r="K132" s="711"/>
      <c r="L132" s="711"/>
      <c r="M132" s="711"/>
      <c r="N132" s="711"/>
      <c r="O132" s="711"/>
      <c r="P132" s="711"/>
      <c r="Q132" s="711"/>
      <c r="R132" s="711"/>
      <c r="S132" s="711"/>
      <c r="T132" s="711"/>
      <c r="U132" s="711"/>
      <c r="V132" s="711"/>
      <c r="W132" s="711"/>
      <c r="X132" s="711"/>
      <c r="Y132" s="711"/>
      <c r="Z132" s="711"/>
    </row>
    <row r="133" spans="3:26" ht="16.5" customHeight="1" x14ac:dyDescent="0.25">
      <c r="C133" s="513"/>
      <c r="D133" s="654"/>
      <c r="E133" s="655" t="s">
        <v>254</v>
      </c>
      <c r="F133" s="655">
        <f>'User Input'!$E$6</f>
        <v>2019</v>
      </c>
      <c r="G133" s="655">
        <f>F133+1</f>
        <v>2020</v>
      </c>
      <c r="H133" s="655">
        <f t="shared" ref="H133:Z133" si="20">G133+1</f>
        <v>2021</v>
      </c>
      <c r="I133" s="655">
        <f t="shared" si="20"/>
        <v>2022</v>
      </c>
      <c r="J133" s="655">
        <f t="shared" si="20"/>
        <v>2023</v>
      </c>
      <c r="K133" s="655">
        <f t="shared" si="20"/>
        <v>2024</v>
      </c>
      <c r="L133" s="655">
        <f t="shared" si="20"/>
        <v>2025</v>
      </c>
      <c r="M133" s="655">
        <f t="shared" si="20"/>
        <v>2026</v>
      </c>
      <c r="N133" s="655">
        <f t="shared" si="20"/>
        <v>2027</v>
      </c>
      <c r="O133" s="655">
        <f t="shared" si="20"/>
        <v>2028</v>
      </c>
      <c r="P133" s="655">
        <f t="shared" si="20"/>
        <v>2029</v>
      </c>
      <c r="Q133" s="655">
        <f t="shared" si="20"/>
        <v>2030</v>
      </c>
      <c r="R133" s="655">
        <f t="shared" si="20"/>
        <v>2031</v>
      </c>
      <c r="S133" s="655">
        <f t="shared" si="20"/>
        <v>2032</v>
      </c>
      <c r="T133" s="655">
        <f t="shared" si="20"/>
        <v>2033</v>
      </c>
      <c r="U133" s="655">
        <f t="shared" si="20"/>
        <v>2034</v>
      </c>
      <c r="V133" s="655">
        <f t="shared" si="20"/>
        <v>2035</v>
      </c>
      <c r="W133" s="655">
        <f t="shared" si="20"/>
        <v>2036</v>
      </c>
      <c r="X133" s="655">
        <f t="shared" si="20"/>
        <v>2037</v>
      </c>
      <c r="Y133" s="655">
        <f t="shared" si="20"/>
        <v>2038</v>
      </c>
      <c r="Z133" s="655">
        <f t="shared" si="20"/>
        <v>2039</v>
      </c>
    </row>
    <row r="134" spans="3:26" ht="16.5" customHeight="1" x14ac:dyDescent="0.2">
      <c r="C134" s="513"/>
      <c r="D134" s="656" t="str">
        <f>Calculations!C134</f>
        <v>Capital Costs</v>
      </c>
      <c r="E134" s="657">
        <f>SUM(F134:Z134)</f>
        <v>0</v>
      </c>
      <c r="F134" s="659">
        <f>Calculations!E134/Calculations!E$9</f>
        <v>0</v>
      </c>
      <c r="G134" s="659">
        <f>Calculations!F134/Calculations!F$9</f>
        <v>0</v>
      </c>
      <c r="H134" s="659">
        <f>Calculations!G134/Calculations!G$9</f>
        <v>0</v>
      </c>
      <c r="I134" s="659">
        <f>Calculations!H134/Calculations!H$9</f>
        <v>0</v>
      </c>
      <c r="J134" s="659">
        <f>Calculations!I134/Calculations!I$9</f>
        <v>0</v>
      </c>
      <c r="K134" s="659">
        <f>Calculations!J134/Calculations!J$9</f>
        <v>0</v>
      </c>
      <c r="L134" s="659">
        <f>Calculations!K134/Calculations!K$9</f>
        <v>0</v>
      </c>
      <c r="M134" s="659">
        <f>Calculations!L134/Calculations!L$9</f>
        <v>0</v>
      </c>
      <c r="N134" s="659">
        <f>Calculations!M134/Calculations!M$9</f>
        <v>0</v>
      </c>
      <c r="O134" s="659">
        <f>Calculations!N134/Calculations!N$9</f>
        <v>0</v>
      </c>
      <c r="P134" s="659">
        <f>Calculations!O134/Calculations!O$9</f>
        <v>0</v>
      </c>
      <c r="Q134" s="659">
        <f>Calculations!P134/Calculations!P$9</f>
        <v>0</v>
      </c>
      <c r="R134" s="659">
        <f>Calculations!Q134/Calculations!Q$9</f>
        <v>0</v>
      </c>
      <c r="S134" s="659">
        <f>Calculations!R134/Calculations!R$9</f>
        <v>0</v>
      </c>
      <c r="T134" s="659">
        <f>Calculations!S134/Calculations!S$9</f>
        <v>0</v>
      </c>
      <c r="U134" s="659">
        <f>Calculations!T134/Calculations!T$9</f>
        <v>0</v>
      </c>
      <c r="V134" s="659">
        <f>Calculations!U134/Calculations!U$9</f>
        <v>0</v>
      </c>
      <c r="W134" s="659">
        <f>Calculations!V134/Calculations!V$9</f>
        <v>0</v>
      </c>
      <c r="X134" s="659">
        <f>Calculations!W134/Calculations!W$9</f>
        <v>0</v>
      </c>
      <c r="Y134" s="659">
        <f>Calculations!X134/Calculations!X$9</f>
        <v>0</v>
      </c>
      <c r="Z134" s="659">
        <f>Calculations!Y134/Calculations!Y$9</f>
        <v>0</v>
      </c>
    </row>
    <row r="135" spans="3:26" ht="16.5" customHeight="1" x14ac:dyDescent="0.2">
      <c r="C135" s="513"/>
      <c r="D135" s="656" t="str">
        <f>Calculations!C135</f>
        <v>Maintenance Costs</v>
      </c>
      <c r="E135" s="657">
        <f>SUM(F135:Z135)</f>
        <v>0</v>
      </c>
      <c r="F135" s="659">
        <f>Calculations!E135/Calculations!E$9</f>
        <v>0</v>
      </c>
      <c r="G135" s="659">
        <f>Calculations!F135/Calculations!F$9</f>
        <v>0</v>
      </c>
      <c r="H135" s="659">
        <f>Calculations!G135/Calculations!G$9</f>
        <v>0</v>
      </c>
      <c r="I135" s="659">
        <f>Calculations!H135/Calculations!H$9</f>
        <v>0</v>
      </c>
      <c r="J135" s="659">
        <f>Calculations!I135/Calculations!I$9</f>
        <v>0</v>
      </c>
      <c r="K135" s="659">
        <f>Calculations!J135/Calculations!J$9</f>
        <v>0</v>
      </c>
      <c r="L135" s="659">
        <f>Calculations!K135/Calculations!K$9</f>
        <v>0</v>
      </c>
      <c r="M135" s="659">
        <f>Calculations!L135/Calculations!L$9</f>
        <v>0</v>
      </c>
      <c r="N135" s="659">
        <f>Calculations!M135/Calculations!M$9</f>
        <v>0</v>
      </c>
      <c r="O135" s="659">
        <f>Calculations!N135/Calculations!N$9</f>
        <v>0</v>
      </c>
      <c r="P135" s="659">
        <f>Calculations!O135/Calculations!O$9</f>
        <v>0</v>
      </c>
      <c r="Q135" s="659">
        <f>Calculations!P135/Calculations!P$9</f>
        <v>0</v>
      </c>
      <c r="R135" s="659">
        <f>Calculations!Q135/Calculations!Q$9</f>
        <v>0</v>
      </c>
      <c r="S135" s="659">
        <f>Calculations!R135/Calculations!R$9</f>
        <v>0</v>
      </c>
      <c r="T135" s="659">
        <f>Calculations!S135/Calculations!S$9</f>
        <v>0</v>
      </c>
      <c r="U135" s="659">
        <f>Calculations!T135/Calculations!T$9</f>
        <v>0</v>
      </c>
      <c r="V135" s="659">
        <f>Calculations!U135/Calculations!U$9</f>
        <v>0</v>
      </c>
      <c r="W135" s="659">
        <f>Calculations!V135/Calculations!V$9</f>
        <v>0</v>
      </c>
      <c r="X135" s="659">
        <f>Calculations!W135/Calculations!W$9</f>
        <v>0</v>
      </c>
      <c r="Y135" s="659">
        <f>Calculations!X135/Calculations!X$9</f>
        <v>0</v>
      </c>
      <c r="Z135" s="659">
        <f>Calculations!Y135/Calculations!Y$9</f>
        <v>0</v>
      </c>
    </row>
    <row r="136" spans="3:26" ht="16.5" customHeight="1" x14ac:dyDescent="0.2">
      <c r="C136" s="513"/>
      <c r="D136" s="656" t="str">
        <f>Calculations!C136</f>
        <v>Negative Impact on Revenue (STPIS)</v>
      </c>
      <c r="E136" s="657">
        <f t="shared" ref="E136:Z136" si="21">SUM(E137:E140)</f>
        <v>0</v>
      </c>
      <c r="F136" s="657">
        <f t="shared" si="21"/>
        <v>0</v>
      </c>
      <c r="G136" s="657">
        <f t="shared" si="21"/>
        <v>0</v>
      </c>
      <c r="H136" s="657">
        <f t="shared" si="21"/>
        <v>0</v>
      </c>
      <c r="I136" s="657">
        <f t="shared" si="21"/>
        <v>0</v>
      </c>
      <c r="J136" s="657">
        <f t="shared" si="21"/>
        <v>0</v>
      </c>
      <c r="K136" s="657">
        <f t="shared" si="21"/>
        <v>0</v>
      </c>
      <c r="L136" s="657">
        <f t="shared" si="21"/>
        <v>0</v>
      </c>
      <c r="M136" s="657">
        <f t="shared" si="21"/>
        <v>0</v>
      </c>
      <c r="N136" s="657">
        <f t="shared" si="21"/>
        <v>0</v>
      </c>
      <c r="O136" s="657">
        <f t="shared" si="21"/>
        <v>0</v>
      </c>
      <c r="P136" s="657">
        <f t="shared" si="21"/>
        <v>0</v>
      </c>
      <c r="Q136" s="657">
        <f t="shared" si="21"/>
        <v>0</v>
      </c>
      <c r="R136" s="657">
        <f t="shared" si="21"/>
        <v>0</v>
      </c>
      <c r="S136" s="657">
        <f t="shared" si="21"/>
        <v>0</v>
      </c>
      <c r="T136" s="657">
        <f t="shared" si="21"/>
        <v>0</v>
      </c>
      <c r="U136" s="657">
        <f t="shared" si="21"/>
        <v>0</v>
      </c>
      <c r="V136" s="657">
        <f t="shared" si="21"/>
        <v>0</v>
      </c>
      <c r="W136" s="657">
        <f t="shared" si="21"/>
        <v>0</v>
      </c>
      <c r="X136" s="657">
        <f t="shared" si="21"/>
        <v>0</v>
      </c>
      <c r="Y136" s="657">
        <f t="shared" si="21"/>
        <v>0</v>
      </c>
      <c r="Z136" s="657">
        <f t="shared" si="21"/>
        <v>0</v>
      </c>
    </row>
    <row r="137" spans="3:26" ht="16.5" customHeight="1" x14ac:dyDescent="0.2">
      <c r="C137" s="513"/>
      <c r="D137" s="660" t="str">
        <f>Calculations!C137</f>
        <v>SAIFI sustained</v>
      </c>
      <c r="E137" s="657">
        <f t="shared" ref="E137:E152" si="22">SUM(F137:Z137)</f>
        <v>0</v>
      </c>
      <c r="F137" s="659">
        <f>Calculations!E137/Calculations!E$9</f>
        <v>0</v>
      </c>
      <c r="G137" s="659">
        <f>Calculations!F137/Calculations!F$9</f>
        <v>0</v>
      </c>
      <c r="H137" s="659">
        <f>Calculations!G137/Calculations!G$9</f>
        <v>0</v>
      </c>
      <c r="I137" s="659">
        <f>Calculations!H137/Calculations!H$9</f>
        <v>0</v>
      </c>
      <c r="J137" s="659">
        <f>Calculations!I137/Calculations!I$9</f>
        <v>0</v>
      </c>
      <c r="K137" s="659">
        <f>Calculations!J137/Calculations!J$9</f>
        <v>0</v>
      </c>
      <c r="L137" s="659">
        <f>Calculations!K137/Calculations!K$9</f>
        <v>0</v>
      </c>
      <c r="M137" s="659">
        <f>Calculations!L137/Calculations!L$9</f>
        <v>0</v>
      </c>
      <c r="N137" s="659">
        <f>Calculations!M137/Calculations!M$9</f>
        <v>0</v>
      </c>
      <c r="O137" s="659">
        <f>Calculations!N137/Calculations!N$9</f>
        <v>0</v>
      </c>
      <c r="P137" s="659">
        <f>Calculations!O137/Calculations!O$9</f>
        <v>0</v>
      </c>
      <c r="Q137" s="659">
        <f>Calculations!P137/Calculations!P$9</f>
        <v>0</v>
      </c>
      <c r="R137" s="659">
        <f>Calculations!Q137/Calculations!Q$9</f>
        <v>0</v>
      </c>
      <c r="S137" s="659">
        <f>Calculations!R137/Calculations!R$9</f>
        <v>0</v>
      </c>
      <c r="T137" s="659">
        <f>Calculations!S137/Calculations!S$9</f>
        <v>0</v>
      </c>
      <c r="U137" s="659">
        <f>Calculations!T137/Calculations!T$9</f>
        <v>0</v>
      </c>
      <c r="V137" s="659">
        <f>Calculations!U137/Calculations!U$9</f>
        <v>0</v>
      </c>
      <c r="W137" s="659">
        <f>Calculations!V137/Calculations!V$9</f>
        <v>0</v>
      </c>
      <c r="X137" s="659">
        <f>Calculations!W137/Calculations!W$9</f>
        <v>0</v>
      </c>
      <c r="Y137" s="659">
        <f>Calculations!X137/Calculations!X$9</f>
        <v>0</v>
      </c>
      <c r="Z137" s="659">
        <f>Calculations!Y137/Calculations!Y$9</f>
        <v>0</v>
      </c>
    </row>
    <row r="138" spans="3:26" ht="16.5" customHeight="1" x14ac:dyDescent="0.2">
      <c r="C138" s="513"/>
      <c r="D138" s="660" t="str">
        <f>Calculations!C138</f>
        <v>SAIDI accidental</v>
      </c>
      <c r="E138" s="657">
        <f t="shared" si="22"/>
        <v>0</v>
      </c>
      <c r="F138" s="659">
        <f>Calculations!E138/Calculations!E$9</f>
        <v>0</v>
      </c>
      <c r="G138" s="659">
        <f>Calculations!F138/Calculations!F$9</f>
        <v>0</v>
      </c>
      <c r="H138" s="659">
        <f>Calculations!G138/Calculations!G$9</f>
        <v>0</v>
      </c>
      <c r="I138" s="659">
        <f>Calculations!H138/Calculations!H$9</f>
        <v>0</v>
      </c>
      <c r="J138" s="659">
        <f>Calculations!I138/Calculations!I$9</f>
        <v>0</v>
      </c>
      <c r="K138" s="659">
        <f>Calculations!J138/Calculations!J$9</f>
        <v>0</v>
      </c>
      <c r="L138" s="659">
        <f>Calculations!K138/Calculations!K$9</f>
        <v>0</v>
      </c>
      <c r="M138" s="659">
        <f>Calculations!L138/Calculations!L$9</f>
        <v>0</v>
      </c>
      <c r="N138" s="659">
        <f>Calculations!M138/Calculations!M$9</f>
        <v>0</v>
      </c>
      <c r="O138" s="659">
        <f>Calculations!N138/Calculations!N$9</f>
        <v>0</v>
      </c>
      <c r="P138" s="659">
        <f>Calculations!O138/Calculations!O$9</f>
        <v>0</v>
      </c>
      <c r="Q138" s="659">
        <f>Calculations!P138/Calculations!P$9</f>
        <v>0</v>
      </c>
      <c r="R138" s="659">
        <f>Calculations!Q138/Calculations!Q$9</f>
        <v>0</v>
      </c>
      <c r="S138" s="659">
        <f>Calculations!R138/Calculations!R$9</f>
        <v>0</v>
      </c>
      <c r="T138" s="659">
        <f>Calculations!S138/Calculations!S$9</f>
        <v>0</v>
      </c>
      <c r="U138" s="659">
        <f>Calculations!T138/Calculations!T$9</f>
        <v>0</v>
      </c>
      <c r="V138" s="659">
        <f>Calculations!U138/Calculations!U$9</f>
        <v>0</v>
      </c>
      <c r="W138" s="659">
        <f>Calculations!V138/Calculations!V$9</f>
        <v>0</v>
      </c>
      <c r="X138" s="659">
        <f>Calculations!W138/Calculations!W$9</f>
        <v>0</v>
      </c>
      <c r="Y138" s="659">
        <f>Calculations!X138/Calculations!X$9</f>
        <v>0</v>
      </c>
      <c r="Z138" s="659">
        <f>Calculations!Y138/Calculations!Y$9</f>
        <v>0</v>
      </c>
    </row>
    <row r="139" spans="3:26" ht="16.5" customHeight="1" x14ac:dyDescent="0.2">
      <c r="C139" s="513"/>
      <c r="D139" s="660" t="str">
        <f>Calculations!C139</f>
        <v>MAIFI momentary</v>
      </c>
      <c r="E139" s="657">
        <f t="shared" si="22"/>
        <v>0</v>
      </c>
      <c r="F139" s="659">
        <f>Calculations!E139/Calculations!E$9</f>
        <v>0</v>
      </c>
      <c r="G139" s="659">
        <f>Calculations!F139/Calculations!F$9</f>
        <v>0</v>
      </c>
      <c r="H139" s="659">
        <f>Calculations!G139/Calculations!G$9</f>
        <v>0</v>
      </c>
      <c r="I139" s="659">
        <f>Calculations!H139/Calculations!H$9</f>
        <v>0</v>
      </c>
      <c r="J139" s="659">
        <f>Calculations!I139/Calculations!I$9</f>
        <v>0</v>
      </c>
      <c r="K139" s="659">
        <f>Calculations!J139/Calculations!J$9</f>
        <v>0</v>
      </c>
      <c r="L139" s="659">
        <f>Calculations!K139/Calculations!K$9</f>
        <v>0</v>
      </c>
      <c r="M139" s="659">
        <f>Calculations!L139/Calculations!L$9</f>
        <v>0</v>
      </c>
      <c r="N139" s="659">
        <f>Calculations!M139/Calculations!M$9</f>
        <v>0</v>
      </c>
      <c r="O139" s="659">
        <f>Calculations!N139/Calculations!N$9</f>
        <v>0</v>
      </c>
      <c r="P139" s="659">
        <f>Calculations!O139/Calculations!O$9</f>
        <v>0</v>
      </c>
      <c r="Q139" s="659">
        <f>Calculations!P139/Calculations!P$9</f>
        <v>0</v>
      </c>
      <c r="R139" s="659">
        <f>Calculations!Q139/Calculations!Q$9</f>
        <v>0</v>
      </c>
      <c r="S139" s="659">
        <f>Calculations!R139/Calculations!R$9</f>
        <v>0</v>
      </c>
      <c r="T139" s="659">
        <f>Calculations!S139/Calculations!S$9</f>
        <v>0</v>
      </c>
      <c r="U139" s="659">
        <f>Calculations!T139/Calculations!T$9</f>
        <v>0</v>
      </c>
      <c r="V139" s="659">
        <f>Calculations!U139/Calculations!U$9</f>
        <v>0</v>
      </c>
      <c r="W139" s="659">
        <f>Calculations!V139/Calculations!V$9</f>
        <v>0</v>
      </c>
      <c r="X139" s="659">
        <f>Calculations!W139/Calculations!W$9</f>
        <v>0</v>
      </c>
      <c r="Y139" s="659">
        <f>Calculations!X139/Calculations!X$9</f>
        <v>0</v>
      </c>
      <c r="Z139" s="659">
        <f>Calculations!Y139/Calculations!Y$9</f>
        <v>0</v>
      </c>
    </row>
    <row r="140" spans="3:26" ht="16.5" customHeight="1" x14ac:dyDescent="0.2">
      <c r="C140" s="513"/>
      <c r="D140" s="660" t="str">
        <f>Calculations!C140</f>
        <v>Call centre response</v>
      </c>
      <c r="E140" s="657">
        <f t="shared" si="22"/>
        <v>0</v>
      </c>
      <c r="F140" s="659">
        <f>Calculations!E140/Calculations!E$9</f>
        <v>0</v>
      </c>
      <c r="G140" s="659">
        <f>Calculations!F140/Calculations!F$9</f>
        <v>0</v>
      </c>
      <c r="H140" s="659">
        <f>Calculations!G140/Calculations!G$9</f>
        <v>0</v>
      </c>
      <c r="I140" s="659">
        <f>Calculations!H140/Calculations!H$9</f>
        <v>0</v>
      </c>
      <c r="J140" s="659">
        <f>Calculations!I140/Calculations!I$9</f>
        <v>0</v>
      </c>
      <c r="K140" s="659">
        <f>Calculations!J140/Calculations!J$9</f>
        <v>0</v>
      </c>
      <c r="L140" s="659">
        <f>Calculations!K140/Calculations!K$9</f>
        <v>0</v>
      </c>
      <c r="M140" s="659">
        <f>Calculations!L140/Calculations!L$9</f>
        <v>0</v>
      </c>
      <c r="N140" s="659">
        <f>Calculations!M140/Calculations!M$9</f>
        <v>0</v>
      </c>
      <c r="O140" s="659">
        <f>Calculations!N140/Calculations!N$9</f>
        <v>0</v>
      </c>
      <c r="P140" s="659">
        <f>Calculations!O140/Calculations!O$9</f>
        <v>0</v>
      </c>
      <c r="Q140" s="659">
        <f>Calculations!P140/Calculations!P$9</f>
        <v>0</v>
      </c>
      <c r="R140" s="659">
        <f>Calculations!Q140/Calculations!Q$9</f>
        <v>0</v>
      </c>
      <c r="S140" s="659">
        <f>Calculations!R140/Calculations!R$9</f>
        <v>0</v>
      </c>
      <c r="T140" s="659">
        <f>Calculations!S140/Calculations!S$9</f>
        <v>0</v>
      </c>
      <c r="U140" s="659">
        <f>Calculations!T140/Calculations!T$9</f>
        <v>0</v>
      </c>
      <c r="V140" s="659">
        <f>Calculations!U140/Calculations!U$9</f>
        <v>0</v>
      </c>
      <c r="W140" s="659">
        <f>Calculations!V140/Calculations!V$9</f>
        <v>0</v>
      </c>
      <c r="X140" s="659">
        <f>Calculations!W140/Calculations!W$9</f>
        <v>0</v>
      </c>
      <c r="Y140" s="659">
        <f>Calculations!X140/Calculations!X$9</f>
        <v>0</v>
      </c>
      <c r="Z140" s="659">
        <f>Calculations!Y140/Calculations!Y$9</f>
        <v>0</v>
      </c>
    </row>
    <row r="141" spans="3:26" ht="16.5" customHeight="1" x14ac:dyDescent="0.2">
      <c r="C141" s="513"/>
      <c r="D141" s="656" t="str">
        <f>Calculations!C141</f>
        <v>Network Outage Costs</v>
      </c>
      <c r="E141" s="657">
        <f t="shared" si="22"/>
        <v>0</v>
      </c>
      <c r="F141" s="659">
        <f>Calculations!E141/Calculations!E$9</f>
        <v>0</v>
      </c>
      <c r="G141" s="659">
        <f>Calculations!F141/Calculations!F$9</f>
        <v>0</v>
      </c>
      <c r="H141" s="659">
        <f>Calculations!G141/Calculations!G$9</f>
        <v>0</v>
      </c>
      <c r="I141" s="659">
        <f>Calculations!H141/Calculations!H$9</f>
        <v>0</v>
      </c>
      <c r="J141" s="659">
        <f>Calculations!I141/Calculations!I$9</f>
        <v>0</v>
      </c>
      <c r="K141" s="659">
        <f>Calculations!J141/Calculations!J$9</f>
        <v>0</v>
      </c>
      <c r="L141" s="659">
        <f>Calculations!K141/Calculations!K$9</f>
        <v>0</v>
      </c>
      <c r="M141" s="659">
        <f>Calculations!L141/Calculations!L$9</f>
        <v>0</v>
      </c>
      <c r="N141" s="659">
        <f>Calculations!M141/Calculations!M$9</f>
        <v>0</v>
      </c>
      <c r="O141" s="659">
        <f>Calculations!N141/Calculations!N$9</f>
        <v>0</v>
      </c>
      <c r="P141" s="659">
        <f>Calculations!O141/Calculations!O$9</f>
        <v>0</v>
      </c>
      <c r="Q141" s="659">
        <f>Calculations!P141/Calculations!P$9</f>
        <v>0</v>
      </c>
      <c r="R141" s="659">
        <f>Calculations!Q141/Calculations!Q$9</f>
        <v>0</v>
      </c>
      <c r="S141" s="659">
        <f>Calculations!R141/Calculations!R$9</f>
        <v>0</v>
      </c>
      <c r="T141" s="659">
        <f>Calculations!S141/Calculations!S$9</f>
        <v>0</v>
      </c>
      <c r="U141" s="659">
        <f>Calculations!T141/Calculations!T$9</f>
        <v>0</v>
      </c>
      <c r="V141" s="659">
        <f>Calculations!U141/Calculations!U$9</f>
        <v>0</v>
      </c>
      <c r="W141" s="659">
        <f>Calculations!V141/Calculations!V$9</f>
        <v>0</v>
      </c>
      <c r="X141" s="659">
        <f>Calculations!W141/Calculations!W$9</f>
        <v>0</v>
      </c>
      <c r="Y141" s="659">
        <f>Calculations!X141/Calculations!X$9</f>
        <v>0</v>
      </c>
      <c r="Z141" s="659">
        <f>Calculations!Y141/Calculations!Y$9</f>
        <v>0</v>
      </c>
    </row>
    <row r="142" spans="3:26" ht="16.5" customHeight="1" x14ac:dyDescent="0.2">
      <c r="C142" s="513"/>
      <c r="D142" s="656" t="str">
        <f>Calculations!C142</f>
        <v>Loss of F Factor Benefit</v>
      </c>
      <c r="E142" s="657">
        <f t="shared" si="22"/>
        <v>0</v>
      </c>
      <c r="F142" s="659">
        <f>Calculations!E142/Calculations!E$9</f>
        <v>0</v>
      </c>
      <c r="G142" s="659">
        <f>Calculations!F142/Calculations!F$9</f>
        <v>0</v>
      </c>
      <c r="H142" s="659">
        <f>Calculations!G142/Calculations!G$9</f>
        <v>0</v>
      </c>
      <c r="I142" s="659">
        <f>Calculations!H142/Calculations!H$9</f>
        <v>0</v>
      </c>
      <c r="J142" s="659">
        <f>Calculations!I142/Calculations!I$9</f>
        <v>0</v>
      </c>
      <c r="K142" s="659">
        <f>Calculations!J142/Calculations!J$9</f>
        <v>0</v>
      </c>
      <c r="L142" s="659">
        <f>Calculations!K142/Calculations!K$9</f>
        <v>0</v>
      </c>
      <c r="M142" s="659">
        <f>Calculations!L142/Calculations!L$9</f>
        <v>0</v>
      </c>
      <c r="N142" s="659">
        <f>Calculations!M142/Calculations!M$9</f>
        <v>0</v>
      </c>
      <c r="O142" s="659">
        <f>Calculations!N142/Calculations!N$9</f>
        <v>0</v>
      </c>
      <c r="P142" s="659">
        <f>Calculations!O142/Calculations!O$9</f>
        <v>0</v>
      </c>
      <c r="Q142" s="659">
        <f>Calculations!P142/Calculations!P$9</f>
        <v>0</v>
      </c>
      <c r="R142" s="659">
        <f>Calculations!Q142/Calculations!Q$9</f>
        <v>0</v>
      </c>
      <c r="S142" s="659">
        <f>Calculations!R142/Calculations!R$9</f>
        <v>0</v>
      </c>
      <c r="T142" s="659">
        <f>Calculations!S142/Calculations!S$9</f>
        <v>0</v>
      </c>
      <c r="U142" s="659">
        <f>Calculations!T142/Calculations!T$9</f>
        <v>0</v>
      </c>
      <c r="V142" s="659">
        <f>Calculations!U142/Calculations!U$9</f>
        <v>0</v>
      </c>
      <c r="W142" s="659">
        <f>Calculations!V142/Calculations!V$9</f>
        <v>0</v>
      </c>
      <c r="X142" s="659">
        <f>Calculations!W142/Calculations!W$9</f>
        <v>0</v>
      </c>
      <c r="Y142" s="659">
        <f>Calculations!X142/Calculations!X$9</f>
        <v>0</v>
      </c>
      <c r="Z142" s="659">
        <f>Calculations!Y142/Calculations!Y$9</f>
        <v>0</v>
      </c>
    </row>
    <row r="143" spans="3:26" ht="16.5" customHeight="1" x14ac:dyDescent="0.2">
      <c r="C143" s="513"/>
      <c r="D143" s="656" t="str">
        <f>Calculations!C143</f>
        <v>Cost 1</v>
      </c>
      <c r="E143" s="657">
        <f t="shared" si="22"/>
        <v>0</v>
      </c>
      <c r="F143" s="659">
        <f>Calculations!E143/Calculations!E$9</f>
        <v>0</v>
      </c>
      <c r="G143" s="659">
        <f>Calculations!F143/Calculations!F$9</f>
        <v>0</v>
      </c>
      <c r="H143" s="659">
        <f>Calculations!G143/Calculations!G$9</f>
        <v>0</v>
      </c>
      <c r="I143" s="659">
        <f>Calculations!H143/Calculations!H$9</f>
        <v>0</v>
      </c>
      <c r="J143" s="659">
        <f>Calculations!I143/Calculations!I$9</f>
        <v>0</v>
      </c>
      <c r="K143" s="659">
        <f>Calculations!J143/Calculations!J$9</f>
        <v>0</v>
      </c>
      <c r="L143" s="659">
        <f>Calculations!K143/Calculations!K$9</f>
        <v>0</v>
      </c>
      <c r="M143" s="659">
        <f>Calculations!L143/Calculations!L$9</f>
        <v>0</v>
      </c>
      <c r="N143" s="659">
        <f>Calculations!M143/Calculations!M$9</f>
        <v>0</v>
      </c>
      <c r="O143" s="659">
        <f>Calculations!N143/Calculations!N$9</f>
        <v>0</v>
      </c>
      <c r="P143" s="659">
        <f>Calculations!O143/Calculations!O$9</f>
        <v>0</v>
      </c>
      <c r="Q143" s="659">
        <f>Calculations!P143/Calculations!P$9</f>
        <v>0</v>
      </c>
      <c r="R143" s="659">
        <f>Calculations!Q143/Calculations!Q$9</f>
        <v>0</v>
      </c>
      <c r="S143" s="659">
        <f>Calculations!R143/Calculations!R$9</f>
        <v>0</v>
      </c>
      <c r="T143" s="659">
        <f>Calculations!S143/Calculations!S$9</f>
        <v>0</v>
      </c>
      <c r="U143" s="659">
        <f>Calculations!T143/Calculations!T$9</f>
        <v>0</v>
      </c>
      <c r="V143" s="659">
        <f>Calculations!U143/Calculations!U$9</f>
        <v>0</v>
      </c>
      <c r="W143" s="659">
        <f>Calculations!V143/Calculations!V$9</f>
        <v>0</v>
      </c>
      <c r="X143" s="659">
        <f>Calculations!W143/Calculations!W$9</f>
        <v>0</v>
      </c>
      <c r="Y143" s="659">
        <f>Calculations!X143/Calculations!X$9</f>
        <v>0</v>
      </c>
      <c r="Z143" s="659">
        <f>Calculations!Y143/Calculations!Y$9</f>
        <v>0</v>
      </c>
    </row>
    <row r="144" spans="3:26" ht="16.5" customHeight="1" x14ac:dyDescent="0.2">
      <c r="C144" s="513"/>
      <c r="D144" s="656" t="str">
        <f>Calculations!C144</f>
        <v>Cost 2</v>
      </c>
      <c r="E144" s="657">
        <f t="shared" si="22"/>
        <v>0</v>
      </c>
      <c r="F144" s="659">
        <f>Calculations!E144/Calculations!E$9</f>
        <v>0</v>
      </c>
      <c r="G144" s="659">
        <f>Calculations!F144/Calculations!F$9</f>
        <v>0</v>
      </c>
      <c r="H144" s="659">
        <f>Calculations!G144/Calculations!G$9</f>
        <v>0</v>
      </c>
      <c r="I144" s="659">
        <f>Calculations!H144/Calculations!H$9</f>
        <v>0</v>
      </c>
      <c r="J144" s="659">
        <f>Calculations!I144/Calculations!I$9</f>
        <v>0</v>
      </c>
      <c r="K144" s="659">
        <f>Calculations!J144/Calculations!J$9</f>
        <v>0</v>
      </c>
      <c r="L144" s="659">
        <f>Calculations!K144/Calculations!K$9</f>
        <v>0</v>
      </c>
      <c r="M144" s="659">
        <f>Calculations!L144/Calculations!L$9</f>
        <v>0</v>
      </c>
      <c r="N144" s="659">
        <f>Calculations!M144/Calculations!M$9</f>
        <v>0</v>
      </c>
      <c r="O144" s="659">
        <f>Calculations!N144/Calculations!N$9</f>
        <v>0</v>
      </c>
      <c r="P144" s="659">
        <f>Calculations!O144/Calculations!O$9</f>
        <v>0</v>
      </c>
      <c r="Q144" s="659">
        <f>Calculations!P144/Calculations!P$9</f>
        <v>0</v>
      </c>
      <c r="R144" s="659">
        <f>Calculations!Q144/Calculations!Q$9</f>
        <v>0</v>
      </c>
      <c r="S144" s="659">
        <f>Calculations!R144/Calculations!R$9</f>
        <v>0</v>
      </c>
      <c r="T144" s="659">
        <f>Calculations!S144/Calculations!S$9</f>
        <v>0</v>
      </c>
      <c r="U144" s="659">
        <f>Calculations!T144/Calculations!T$9</f>
        <v>0</v>
      </c>
      <c r="V144" s="659">
        <f>Calculations!U144/Calculations!U$9</f>
        <v>0</v>
      </c>
      <c r="W144" s="659">
        <f>Calculations!V144/Calculations!V$9</f>
        <v>0</v>
      </c>
      <c r="X144" s="659">
        <f>Calculations!W144/Calculations!W$9</f>
        <v>0</v>
      </c>
      <c r="Y144" s="659">
        <f>Calculations!X144/Calculations!X$9</f>
        <v>0</v>
      </c>
      <c r="Z144" s="659">
        <f>Calculations!Y144/Calculations!Y$9</f>
        <v>0</v>
      </c>
    </row>
    <row r="145" spans="3:26" ht="16.5" customHeight="1" x14ac:dyDescent="0.2">
      <c r="C145" s="513"/>
      <c r="D145" s="656" t="str">
        <f>Calculations!C145</f>
        <v>Cost 3</v>
      </c>
      <c r="E145" s="657">
        <f t="shared" si="22"/>
        <v>0</v>
      </c>
      <c r="F145" s="659">
        <f>Calculations!E145/Calculations!E$9</f>
        <v>0</v>
      </c>
      <c r="G145" s="659">
        <f>Calculations!F145/Calculations!F$9</f>
        <v>0</v>
      </c>
      <c r="H145" s="659">
        <f>Calculations!G145/Calculations!G$9</f>
        <v>0</v>
      </c>
      <c r="I145" s="659">
        <f>Calculations!H145/Calculations!H$9</f>
        <v>0</v>
      </c>
      <c r="J145" s="659">
        <f>Calculations!I145/Calculations!I$9</f>
        <v>0</v>
      </c>
      <c r="K145" s="659">
        <f>Calculations!J145/Calculations!J$9</f>
        <v>0</v>
      </c>
      <c r="L145" s="659">
        <f>Calculations!K145/Calculations!K$9</f>
        <v>0</v>
      </c>
      <c r="M145" s="659">
        <f>Calculations!L145/Calculations!L$9</f>
        <v>0</v>
      </c>
      <c r="N145" s="659">
        <f>Calculations!M145/Calculations!M$9</f>
        <v>0</v>
      </c>
      <c r="O145" s="659">
        <f>Calculations!N145/Calculations!N$9</f>
        <v>0</v>
      </c>
      <c r="P145" s="659">
        <f>Calculations!O145/Calculations!O$9</f>
        <v>0</v>
      </c>
      <c r="Q145" s="659">
        <f>Calculations!P145/Calculations!P$9</f>
        <v>0</v>
      </c>
      <c r="R145" s="659">
        <f>Calculations!Q145/Calculations!Q$9</f>
        <v>0</v>
      </c>
      <c r="S145" s="659">
        <f>Calculations!R145/Calculations!R$9</f>
        <v>0</v>
      </c>
      <c r="T145" s="659">
        <f>Calculations!S145/Calculations!S$9</f>
        <v>0</v>
      </c>
      <c r="U145" s="659">
        <f>Calculations!T145/Calculations!T$9</f>
        <v>0</v>
      </c>
      <c r="V145" s="659">
        <f>Calculations!U145/Calculations!U$9</f>
        <v>0</v>
      </c>
      <c r="W145" s="659">
        <f>Calculations!V145/Calculations!V$9</f>
        <v>0</v>
      </c>
      <c r="X145" s="659">
        <f>Calculations!W145/Calculations!W$9</f>
        <v>0</v>
      </c>
      <c r="Y145" s="659">
        <f>Calculations!X145/Calculations!X$9</f>
        <v>0</v>
      </c>
      <c r="Z145" s="659">
        <f>Calculations!Y145/Calculations!Y$9</f>
        <v>0</v>
      </c>
    </row>
    <row r="146" spans="3:26" ht="16.5" customHeight="1" x14ac:dyDescent="0.2">
      <c r="C146" s="513"/>
      <c r="D146" s="656" t="str">
        <f>Calculations!C146</f>
        <v>Cost 4</v>
      </c>
      <c r="E146" s="657">
        <f t="shared" si="22"/>
        <v>0</v>
      </c>
      <c r="F146" s="659">
        <f>Calculations!E146/Calculations!E$9</f>
        <v>0</v>
      </c>
      <c r="G146" s="659">
        <f>Calculations!F146/Calculations!F$9</f>
        <v>0</v>
      </c>
      <c r="H146" s="659">
        <f>Calculations!G146/Calculations!G$9</f>
        <v>0</v>
      </c>
      <c r="I146" s="659">
        <f>Calculations!H146/Calculations!H$9</f>
        <v>0</v>
      </c>
      <c r="J146" s="659">
        <f>Calculations!I146/Calculations!I$9</f>
        <v>0</v>
      </c>
      <c r="K146" s="659">
        <f>Calculations!J146/Calculations!J$9</f>
        <v>0</v>
      </c>
      <c r="L146" s="659">
        <f>Calculations!K146/Calculations!K$9</f>
        <v>0</v>
      </c>
      <c r="M146" s="659">
        <f>Calculations!L146/Calculations!L$9</f>
        <v>0</v>
      </c>
      <c r="N146" s="659">
        <f>Calculations!M146/Calculations!M$9</f>
        <v>0</v>
      </c>
      <c r="O146" s="659">
        <f>Calculations!N146/Calculations!N$9</f>
        <v>0</v>
      </c>
      <c r="P146" s="659">
        <f>Calculations!O146/Calculations!O$9</f>
        <v>0</v>
      </c>
      <c r="Q146" s="659">
        <f>Calculations!P146/Calculations!P$9</f>
        <v>0</v>
      </c>
      <c r="R146" s="659">
        <f>Calculations!Q146/Calculations!Q$9</f>
        <v>0</v>
      </c>
      <c r="S146" s="659">
        <f>Calculations!R146/Calculations!R$9</f>
        <v>0</v>
      </c>
      <c r="T146" s="659">
        <f>Calculations!S146/Calculations!S$9</f>
        <v>0</v>
      </c>
      <c r="U146" s="659">
        <f>Calculations!T146/Calculations!T$9</f>
        <v>0</v>
      </c>
      <c r="V146" s="659">
        <f>Calculations!U146/Calculations!U$9</f>
        <v>0</v>
      </c>
      <c r="W146" s="659">
        <f>Calculations!V146/Calculations!V$9</f>
        <v>0</v>
      </c>
      <c r="X146" s="659">
        <f>Calculations!W146/Calculations!W$9</f>
        <v>0</v>
      </c>
      <c r="Y146" s="659">
        <f>Calculations!X146/Calculations!X$9</f>
        <v>0</v>
      </c>
      <c r="Z146" s="659">
        <f>Calculations!Y146/Calculations!Y$9</f>
        <v>0</v>
      </c>
    </row>
    <row r="147" spans="3:26" ht="16.5" customHeight="1" x14ac:dyDescent="0.2">
      <c r="C147" s="513"/>
      <c r="D147" s="656" t="str">
        <f>Calculations!C147</f>
        <v>Cost 5</v>
      </c>
      <c r="E147" s="657">
        <f t="shared" si="22"/>
        <v>0</v>
      </c>
      <c r="F147" s="659">
        <f>Calculations!E147/Calculations!E$9</f>
        <v>0</v>
      </c>
      <c r="G147" s="659">
        <f>Calculations!F147/Calculations!F$9</f>
        <v>0</v>
      </c>
      <c r="H147" s="659">
        <f>Calculations!G147/Calculations!G$9</f>
        <v>0</v>
      </c>
      <c r="I147" s="659">
        <f>Calculations!H147/Calculations!H$9</f>
        <v>0</v>
      </c>
      <c r="J147" s="659">
        <f>Calculations!I147/Calculations!I$9</f>
        <v>0</v>
      </c>
      <c r="K147" s="659">
        <f>Calculations!J147/Calculations!J$9</f>
        <v>0</v>
      </c>
      <c r="L147" s="659">
        <f>Calculations!K147/Calculations!K$9</f>
        <v>0</v>
      </c>
      <c r="M147" s="659">
        <f>Calculations!L147/Calculations!L$9</f>
        <v>0</v>
      </c>
      <c r="N147" s="659">
        <f>Calculations!M147/Calculations!M$9</f>
        <v>0</v>
      </c>
      <c r="O147" s="659">
        <f>Calculations!N147/Calculations!N$9</f>
        <v>0</v>
      </c>
      <c r="P147" s="659">
        <f>Calculations!O147/Calculations!O$9</f>
        <v>0</v>
      </c>
      <c r="Q147" s="659">
        <f>Calculations!P147/Calculations!P$9</f>
        <v>0</v>
      </c>
      <c r="R147" s="659">
        <f>Calculations!Q147/Calculations!Q$9</f>
        <v>0</v>
      </c>
      <c r="S147" s="659">
        <f>Calculations!R147/Calculations!R$9</f>
        <v>0</v>
      </c>
      <c r="T147" s="659">
        <f>Calculations!S147/Calculations!S$9</f>
        <v>0</v>
      </c>
      <c r="U147" s="659">
        <f>Calculations!T147/Calculations!T$9</f>
        <v>0</v>
      </c>
      <c r="V147" s="659">
        <f>Calculations!U147/Calculations!U$9</f>
        <v>0</v>
      </c>
      <c r="W147" s="659">
        <f>Calculations!V147/Calculations!V$9</f>
        <v>0</v>
      </c>
      <c r="X147" s="659">
        <f>Calculations!W147/Calculations!W$9</f>
        <v>0</v>
      </c>
      <c r="Y147" s="659">
        <f>Calculations!X147/Calculations!X$9</f>
        <v>0</v>
      </c>
      <c r="Z147" s="659">
        <f>Calculations!Y147/Calculations!Y$9</f>
        <v>0</v>
      </c>
    </row>
    <row r="148" spans="3:26" ht="16.5" customHeight="1" x14ac:dyDescent="0.2">
      <c r="C148" s="513"/>
      <c r="D148" s="656" t="str">
        <f>Calculations!C148</f>
        <v>Risk 1</v>
      </c>
      <c r="E148" s="657">
        <f t="shared" si="22"/>
        <v>0</v>
      </c>
      <c r="F148" s="659">
        <f>Calculations!E148/Calculations!E$9</f>
        <v>0</v>
      </c>
      <c r="G148" s="659">
        <f>Calculations!F148/Calculations!F$9</f>
        <v>0</v>
      </c>
      <c r="H148" s="659">
        <f>Calculations!G148/Calculations!G$9</f>
        <v>0</v>
      </c>
      <c r="I148" s="659">
        <f>Calculations!H148/Calculations!H$9</f>
        <v>0</v>
      </c>
      <c r="J148" s="659">
        <f>Calculations!I148/Calculations!I$9</f>
        <v>0</v>
      </c>
      <c r="K148" s="659">
        <f>Calculations!J148/Calculations!J$9</f>
        <v>0</v>
      </c>
      <c r="L148" s="659">
        <f>Calculations!K148/Calculations!K$9</f>
        <v>0</v>
      </c>
      <c r="M148" s="659">
        <f>Calculations!L148/Calculations!L$9</f>
        <v>0</v>
      </c>
      <c r="N148" s="659">
        <f>Calculations!M148/Calculations!M$9</f>
        <v>0</v>
      </c>
      <c r="O148" s="659">
        <f>Calculations!N148/Calculations!N$9</f>
        <v>0</v>
      </c>
      <c r="P148" s="659">
        <f>Calculations!O148/Calculations!O$9</f>
        <v>0</v>
      </c>
      <c r="Q148" s="659">
        <f>Calculations!P148/Calculations!P$9</f>
        <v>0</v>
      </c>
      <c r="R148" s="659">
        <f>Calculations!Q148/Calculations!Q$9</f>
        <v>0</v>
      </c>
      <c r="S148" s="659">
        <f>Calculations!R148/Calculations!R$9</f>
        <v>0</v>
      </c>
      <c r="T148" s="659">
        <f>Calculations!S148/Calculations!S$9</f>
        <v>0</v>
      </c>
      <c r="U148" s="659">
        <f>Calculations!T148/Calculations!T$9</f>
        <v>0</v>
      </c>
      <c r="V148" s="659">
        <f>Calculations!U148/Calculations!U$9</f>
        <v>0</v>
      </c>
      <c r="W148" s="659">
        <f>Calculations!V148/Calculations!V$9</f>
        <v>0</v>
      </c>
      <c r="X148" s="659">
        <f>Calculations!W148/Calculations!W$9</f>
        <v>0</v>
      </c>
      <c r="Y148" s="659">
        <f>Calculations!X148/Calculations!X$9</f>
        <v>0</v>
      </c>
      <c r="Z148" s="659">
        <f>Calculations!Y148/Calculations!Y$9</f>
        <v>0</v>
      </c>
    </row>
    <row r="149" spans="3:26" ht="16.5" customHeight="1" x14ac:dyDescent="0.2">
      <c r="C149" s="513"/>
      <c r="D149" s="656" t="str">
        <f>Calculations!C149</f>
        <v>Risk 2</v>
      </c>
      <c r="E149" s="657">
        <f t="shared" si="22"/>
        <v>0</v>
      </c>
      <c r="F149" s="659">
        <f>Calculations!E149/Calculations!E$9</f>
        <v>0</v>
      </c>
      <c r="G149" s="659">
        <f>Calculations!F149/Calculations!F$9</f>
        <v>0</v>
      </c>
      <c r="H149" s="659">
        <f>Calculations!G149/Calculations!G$9</f>
        <v>0</v>
      </c>
      <c r="I149" s="659">
        <f>Calculations!H149/Calculations!H$9</f>
        <v>0</v>
      </c>
      <c r="J149" s="659">
        <f>Calculations!I149/Calculations!I$9</f>
        <v>0</v>
      </c>
      <c r="K149" s="659">
        <f>Calculations!J149/Calculations!J$9</f>
        <v>0</v>
      </c>
      <c r="L149" s="659">
        <f>Calculations!K149/Calculations!K$9</f>
        <v>0</v>
      </c>
      <c r="M149" s="659">
        <f>Calculations!L149/Calculations!L$9</f>
        <v>0</v>
      </c>
      <c r="N149" s="659">
        <f>Calculations!M149/Calculations!M$9</f>
        <v>0</v>
      </c>
      <c r="O149" s="659">
        <f>Calculations!N149/Calculations!N$9</f>
        <v>0</v>
      </c>
      <c r="P149" s="659">
        <f>Calculations!O149/Calculations!O$9</f>
        <v>0</v>
      </c>
      <c r="Q149" s="659">
        <f>Calculations!P149/Calculations!P$9</f>
        <v>0</v>
      </c>
      <c r="R149" s="659">
        <f>Calculations!Q149/Calculations!Q$9</f>
        <v>0</v>
      </c>
      <c r="S149" s="659">
        <f>Calculations!R149/Calculations!R$9</f>
        <v>0</v>
      </c>
      <c r="T149" s="659">
        <f>Calculations!S149/Calculations!S$9</f>
        <v>0</v>
      </c>
      <c r="U149" s="659">
        <f>Calculations!T149/Calculations!T$9</f>
        <v>0</v>
      </c>
      <c r="V149" s="659">
        <f>Calculations!U149/Calculations!U$9</f>
        <v>0</v>
      </c>
      <c r="W149" s="659">
        <f>Calculations!V149/Calculations!V$9</f>
        <v>0</v>
      </c>
      <c r="X149" s="659">
        <f>Calculations!W149/Calculations!W$9</f>
        <v>0</v>
      </c>
      <c r="Y149" s="659">
        <f>Calculations!X149/Calculations!X$9</f>
        <v>0</v>
      </c>
      <c r="Z149" s="659">
        <f>Calculations!Y149/Calculations!Y$9</f>
        <v>0</v>
      </c>
    </row>
    <row r="150" spans="3:26" ht="16.5" customHeight="1" x14ac:dyDescent="0.2">
      <c r="C150" s="513"/>
      <c r="D150" s="656" t="str">
        <f>Calculations!C150</f>
        <v>Risk 3</v>
      </c>
      <c r="E150" s="657">
        <f t="shared" si="22"/>
        <v>0</v>
      </c>
      <c r="F150" s="659">
        <f>Calculations!E150/Calculations!E$9</f>
        <v>0</v>
      </c>
      <c r="G150" s="659">
        <f>Calculations!F150/Calculations!F$9</f>
        <v>0</v>
      </c>
      <c r="H150" s="659">
        <f>Calculations!G150/Calculations!G$9</f>
        <v>0</v>
      </c>
      <c r="I150" s="659">
        <f>Calculations!H150/Calculations!H$9</f>
        <v>0</v>
      </c>
      <c r="J150" s="659">
        <f>Calculations!I150/Calculations!I$9</f>
        <v>0</v>
      </c>
      <c r="K150" s="659">
        <f>Calculations!J150/Calculations!J$9</f>
        <v>0</v>
      </c>
      <c r="L150" s="659">
        <f>Calculations!K150/Calculations!K$9</f>
        <v>0</v>
      </c>
      <c r="M150" s="659">
        <f>Calculations!L150/Calculations!L$9</f>
        <v>0</v>
      </c>
      <c r="N150" s="659">
        <f>Calculations!M150/Calculations!M$9</f>
        <v>0</v>
      </c>
      <c r="O150" s="659">
        <f>Calculations!N150/Calculations!N$9</f>
        <v>0</v>
      </c>
      <c r="P150" s="659">
        <f>Calculations!O150/Calculations!O$9</f>
        <v>0</v>
      </c>
      <c r="Q150" s="659">
        <f>Calculations!P150/Calculations!P$9</f>
        <v>0</v>
      </c>
      <c r="R150" s="659">
        <f>Calculations!Q150/Calculations!Q$9</f>
        <v>0</v>
      </c>
      <c r="S150" s="659">
        <f>Calculations!R150/Calculations!R$9</f>
        <v>0</v>
      </c>
      <c r="T150" s="659">
        <f>Calculations!S150/Calculations!S$9</f>
        <v>0</v>
      </c>
      <c r="U150" s="659">
        <f>Calculations!T150/Calculations!T$9</f>
        <v>0</v>
      </c>
      <c r="V150" s="659">
        <f>Calculations!U150/Calculations!U$9</f>
        <v>0</v>
      </c>
      <c r="W150" s="659">
        <f>Calculations!V150/Calculations!V$9</f>
        <v>0</v>
      </c>
      <c r="X150" s="659">
        <f>Calculations!W150/Calculations!W$9</f>
        <v>0</v>
      </c>
      <c r="Y150" s="659">
        <f>Calculations!X150/Calculations!X$9</f>
        <v>0</v>
      </c>
      <c r="Z150" s="659">
        <f>Calculations!Y150/Calculations!Y$9</f>
        <v>0</v>
      </c>
    </row>
    <row r="151" spans="3:26" ht="16.5" customHeight="1" x14ac:dyDescent="0.2">
      <c r="C151" s="513"/>
      <c r="D151" s="656" t="str">
        <f>Calculations!C151</f>
        <v>Risk 4</v>
      </c>
      <c r="E151" s="657">
        <f t="shared" si="22"/>
        <v>0</v>
      </c>
      <c r="F151" s="659">
        <f>Calculations!E151/Calculations!E$9</f>
        <v>0</v>
      </c>
      <c r="G151" s="659">
        <f>Calculations!F151/Calculations!F$9</f>
        <v>0</v>
      </c>
      <c r="H151" s="659">
        <f>Calculations!G151/Calculations!G$9</f>
        <v>0</v>
      </c>
      <c r="I151" s="659">
        <f>Calculations!H151/Calculations!H$9</f>
        <v>0</v>
      </c>
      <c r="J151" s="659">
        <f>Calculations!I151/Calculations!I$9</f>
        <v>0</v>
      </c>
      <c r="K151" s="659">
        <f>Calculations!J151/Calculations!J$9</f>
        <v>0</v>
      </c>
      <c r="L151" s="659">
        <f>Calculations!K151/Calculations!K$9</f>
        <v>0</v>
      </c>
      <c r="M151" s="659">
        <f>Calculations!L151/Calculations!L$9</f>
        <v>0</v>
      </c>
      <c r="N151" s="659">
        <f>Calculations!M151/Calculations!M$9</f>
        <v>0</v>
      </c>
      <c r="O151" s="659">
        <f>Calculations!N151/Calculations!N$9</f>
        <v>0</v>
      </c>
      <c r="P151" s="659">
        <f>Calculations!O151/Calculations!O$9</f>
        <v>0</v>
      </c>
      <c r="Q151" s="659">
        <f>Calculations!P151/Calculations!P$9</f>
        <v>0</v>
      </c>
      <c r="R151" s="659">
        <f>Calculations!Q151/Calculations!Q$9</f>
        <v>0</v>
      </c>
      <c r="S151" s="659">
        <f>Calculations!R151/Calculations!R$9</f>
        <v>0</v>
      </c>
      <c r="T151" s="659">
        <f>Calculations!S151/Calculations!S$9</f>
        <v>0</v>
      </c>
      <c r="U151" s="659">
        <f>Calculations!T151/Calculations!T$9</f>
        <v>0</v>
      </c>
      <c r="V151" s="659">
        <f>Calculations!U151/Calculations!U$9</f>
        <v>0</v>
      </c>
      <c r="W151" s="659">
        <f>Calculations!V151/Calculations!V$9</f>
        <v>0</v>
      </c>
      <c r="X151" s="659">
        <f>Calculations!W151/Calculations!W$9</f>
        <v>0</v>
      </c>
      <c r="Y151" s="659">
        <f>Calculations!X151/Calculations!X$9</f>
        <v>0</v>
      </c>
      <c r="Z151" s="659">
        <f>Calculations!Y151/Calculations!Y$9</f>
        <v>0</v>
      </c>
    </row>
    <row r="152" spans="3:26" ht="16.5" customHeight="1" x14ac:dyDescent="0.2">
      <c r="C152" s="513"/>
      <c r="D152" s="656" t="str">
        <f>Calculations!C152</f>
        <v>Risk 5</v>
      </c>
      <c r="E152" s="657">
        <f t="shared" si="22"/>
        <v>0</v>
      </c>
      <c r="F152" s="659">
        <f>Calculations!E152/Calculations!E$9</f>
        <v>0</v>
      </c>
      <c r="G152" s="659">
        <f>Calculations!F152/Calculations!F$9</f>
        <v>0</v>
      </c>
      <c r="H152" s="659">
        <f>Calculations!G152/Calculations!G$9</f>
        <v>0</v>
      </c>
      <c r="I152" s="659">
        <f>Calculations!H152/Calculations!H$9</f>
        <v>0</v>
      </c>
      <c r="J152" s="659">
        <f>Calculations!I152/Calculations!I$9</f>
        <v>0</v>
      </c>
      <c r="K152" s="659">
        <f>Calculations!J152/Calculations!J$9</f>
        <v>0</v>
      </c>
      <c r="L152" s="659">
        <f>Calculations!K152/Calculations!K$9</f>
        <v>0</v>
      </c>
      <c r="M152" s="659">
        <f>Calculations!L152/Calculations!L$9</f>
        <v>0</v>
      </c>
      <c r="N152" s="659">
        <f>Calculations!M152/Calculations!M$9</f>
        <v>0</v>
      </c>
      <c r="O152" s="659">
        <f>Calculations!N152/Calculations!N$9</f>
        <v>0</v>
      </c>
      <c r="P152" s="659">
        <f>Calculations!O152/Calculations!O$9</f>
        <v>0</v>
      </c>
      <c r="Q152" s="659">
        <f>Calculations!P152/Calculations!P$9</f>
        <v>0</v>
      </c>
      <c r="R152" s="659">
        <f>Calculations!Q152/Calculations!Q$9</f>
        <v>0</v>
      </c>
      <c r="S152" s="659">
        <f>Calculations!R152/Calculations!R$9</f>
        <v>0</v>
      </c>
      <c r="T152" s="659">
        <f>Calculations!S152/Calculations!S$9</f>
        <v>0</v>
      </c>
      <c r="U152" s="659">
        <f>Calculations!T152/Calculations!T$9</f>
        <v>0</v>
      </c>
      <c r="V152" s="659">
        <f>Calculations!U152/Calculations!U$9</f>
        <v>0</v>
      </c>
      <c r="W152" s="659">
        <f>Calculations!V152/Calculations!V$9</f>
        <v>0</v>
      </c>
      <c r="X152" s="659">
        <f>Calculations!W152/Calculations!W$9</f>
        <v>0</v>
      </c>
      <c r="Y152" s="659">
        <f>Calculations!X152/Calculations!X$9</f>
        <v>0</v>
      </c>
      <c r="Z152" s="659">
        <f>Calculations!Y152/Calculations!Y$9</f>
        <v>0</v>
      </c>
    </row>
    <row r="153" spans="3:26" ht="16.5" customHeight="1" x14ac:dyDescent="0.2">
      <c r="C153" s="513"/>
      <c r="D153" s="656" t="s">
        <v>254</v>
      </c>
      <c r="E153" s="657">
        <f t="shared" ref="E153:Z153" si="23">SUM(E134:E152)-E136</f>
        <v>0</v>
      </c>
      <c r="F153" s="657">
        <f t="shared" si="23"/>
        <v>0</v>
      </c>
      <c r="G153" s="657">
        <f t="shared" si="23"/>
        <v>0</v>
      </c>
      <c r="H153" s="657">
        <f t="shared" si="23"/>
        <v>0</v>
      </c>
      <c r="I153" s="657">
        <f t="shared" si="23"/>
        <v>0</v>
      </c>
      <c r="J153" s="657">
        <f t="shared" si="23"/>
        <v>0</v>
      </c>
      <c r="K153" s="657">
        <f t="shared" si="23"/>
        <v>0</v>
      </c>
      <c r="L153" s="657">
        <f t="shared" si="23"/>
        <v>0</v>
      </c>
      <c r="M153" s="657">
        <f t="shared" si="23"/>
        <v>0</v>
      </c>
      <c r="N153" s="657">
        <f t="shared" si="23"/>
        <v>0</v>
      </c>
      <c r="O153" s="657">
        <f t="shared" si="23"/>
        <v>0</v>
      </c>
      <c r="P153" s="657">
        <f t="shared" si="23"/>
        <v>0</v>
      </c>
      <c r="Q153" s="657">
        <f t="shared" si="23"/>
        <v>0</v>
      </c>
      <c r="R153" s="657">
        <f t="shared" si="23"/>
        <v>0</v>
      </c>
      <c r="S153" s="657">
        <f t="shared" si="23"/>
        <v>0</v>
      </c>
      <c r="T153" s="657">
        <f t="shared" si="23"/>
        <v>0</v>
      </c>
      <c r="U153" s="657">
        <f t="shared" si="23"/>
        <v>0</v>
      </c>
      <c r="V153" s="657">
        <f t="shared" si="23"/>
        <v>0</v>
      </c>
      <c r="W153" s="657">
        <f t="shared" si="23"/>
        <v>0</v>
      </c>
      <c r="X153" s="657">
        <f t="shared" si="23"/>
        <v>0</v>
      </c>
      <c r="Y153" s="657">
        <f t="shared" si="23"/>
        <v>0</v>
      </c>
      <c r="Z153" s="657">
        <f t="shared" si="23"/>
        <v>0</v>
      </c>
    </row>
    <row r="154" spans="3:26" ht="16.5" customHeight="1" x14ac:dyDescent="0.2">
      <c r="C154" s="513"/>
      <c r="D154" s="513"/>
      <c r="E154" s="513"/>
      <c r="F154" s="513"/>
      <c r="G154" s="513"/>
      <c r="H154" s="513"/>
      <c r="I154" s="513"/>
      <c r="J154" s="513"/>
      <c r="K154" s="513"/>
      <c r="L154" s="513"/>
      <c r="M154" s="513"/>
      <c r="N154" s="513"/>
      <c r="O154" s="513"/>
      <c r="P154" s="513"/>
      <c r="Q154" s="513"/>
      <c r="R154" s="513"/>
      <c r="S154" s="513"/>
      <c r="T154" s="513"/>
      <c r="U154" s="513"/>
      <c r="V154" s="513"/>
      <c r="W154" s="513"/>
      <c r="X154" s="513"/>
      <c r="Y154" s="513"/>
      <c r="Z154" s="513"/>
    </row>
    <row r="155" spans="3:26" ht="16.5" customHeight="1" x14ac:dyDescent="0.2">
      <c r="C155" s="513"/>
      <c r="D155" s="513"/>
      <c r="E155" s="513"/>
      <c r="F155" s="513"/>
      <c r="G155" s="513"/>
      <c r="H155" s="513"/>
      <c r="I155" s="513"/>
      <c r="J155" s="513"/>
      <c r="K155" s="513"/>
      <c r="L155" s="513"/>
      <c r="M155" s="513"/>
      <c r="N155" s="513"/>
      <c r="O155" s="513"/>
      <c r="P155" s="513"/>
      <c r="Q155" s="513"/>
      <c r="R155" s="513"/>
      <c r="S155" s="513"/>
      <c r="T155" s="513"/>
      <c r="U155" s="513"/>
      <c r="V155" s="513"/>
      <c r="W155" s="513"/>
      <c r="X155" s="513"/>
      <c r="Y155" s="513"/>
      <c r="Z155" s="513"/>
    </row>
    <row r="156" spans="3:26" ht="16.5" customHeight="1" x14ac:dyDescent="0.2">
      <c r="C156" s="513"/>
      <c r="D156" s="513"/>
      <c r="E156" s="513"/>
      <c r="F156" s="513"/>
      <c r="G156" s="513"/>
      <c r="H156" s="513"/>
      <c r="I156" s="513"/>
      <c r="J156" s="513"/>
      <c r="K156" s="513"/>
      <c r="L156" s="513"/>
      <c r="M156" s="513"/>
      <c r="N156" s="513"/>
      <c r="O156" s="513"/>
      <c r="P156" s="513"/>
      <c r="Q156" s="513"/>
      <c r="R156" s="513"/>
      <c r="S156" s="513"/>
      <c r="T156" s="513"/>
      <c r="U156" s="513"/>
      <c r="V156" s="513"/>
      <c r="W156" s="513"/>
      <c r="X156" s="513"/>
      <c r="Y156" s="513"/>
      <c r="Z156" s="513"/>
    </row>
    <row r="157" spans="3:26" ht="16.5" customHeight="1" x14ac:dyDescent="0.2">
      <c r="C157" s="513"/>
      <c r="D157" s="513"/>
      <c r="E157" s="513"/>
      <c r="F157" s="513"/>
      <c r="G157" s="513"/>
      <c r="H157" s="513"/>
      <c r="I157" s="513"/>
      <c r="J157" s="513"/>
      <c r="K157" s="513"/>
      <c r="L157" s="513"/>
      <c r="M157" s="513"/>
      <c r="N157" s="513"/>
      <c r="O157" s="513"/>
      <c r="P157" s="513"/>
      <c r="Q157" s="513"/>
      <c r="R157" s="513"/>
      <c r="S157" s="513"/>
      <c r="T157" s="513"/>
      <c r="U157" s="513"/>
      <c r="V157" s="513"/>
      <c r="W157" s="513"/>
      <c r="X157" s="513"/>
      <c r="Y157" s="513"/>
      <c r="Z157" s="513"/>
    </row>
    <row r="158" spans="3:26" ht="16.5" customHeight="1" x14ac:dyDescent="0.2">
      <c r="C158" s="513"/>
      <c r="D158" s="513"/>
      <c r="E158" s="513"/>
      <c r="F158" s="513"/>
      <c r="G158" s="513"/>
      <c r="H158" s="513"/>
      <c r="I158" s="513"/>
      <c r="J158" s="513"/>
      <c r="K158" s="513"/>
      <c r="L158" s="513"/>
      <c r="M158" s="513"/>
      <c r="N158" s="513"/>
      <c r="O158" s="513"/>
      <c r="P158" s="513"/>
      <c r="Q158" s="513"/>
      <c r="R158" s="513"/>
      <c r="S158" s="513"/>
      <c r="T158" s="513"/>
      <c r="U158" s="513"/>
      <c r="V158" s="513"/>
      <c r="W158" s="513"/>
      <c r="X158" s="513"/>
      <c r="Y158" s="513"/>
      <c r="Z158" s="513"/>
    </row>
    <row r="159" spans="3:26" ht="16.5" customHeight="1" x14ac:dyDescent="0.2">
      <c r="C159" s="513"/>
      <c r="D159" s="513"/>
      <c r="E159" s="513"/>
      <c r="F159" s="513"/>
      <c r="G159" s="513"/>
      <c r="H159" s="513"/>
      <c r="I159" s="513"/>
      <c r="J159" s="513"/>
      <c r="K159" s="513"/>
      <c r="L159" s="513"/>
      <c r="M159" s="513"/>
      <c r="N159" s="513"/>
      <c r="O159" s="513"/>
      <c r="P159" s="513"/>
      <c r="Q159" s="513"/>
      <c r="R159" s="513"/>
      <c r="S159" s="513"/>
      <c r="T159" s="513"/>
      <c r="U159" s="513"/>
      <c r="V159" s="513"/>
      <c r="W159" s="513"/>
      <c r="X159" s="513"/>
      <c r="Y159" s="513"/>
      <c r="Z159" s="513"/>
    </row>
    <row r="160" spans="3:26" ht="16.5" customHeight="1" x14ac:dyDescent="0.2">
      <c r="C160" s="513"/>
      <c r="D160" s="513"/>
      <c r="E160" s="513"/>
      <c r="F160" s="513"/>
      <c r="G160" s="513"/>
      <c r="H160" s="513"/>
      <c r="I160" s="513"/>
      <c r="J160" s="513"/>
      <c r="K160" s="513"/>
      <c r="L160" s="513"/>
      <c r="M160" s="513"/>
      <c r="N160" s="513"/>
      <c r="O160" s="513"/>
      <c r="P160" s="513"/>
      <c r="Q160" s="513"/>
      <c r="R160" s="513"/>
      <c r="S160" s="513"/>
      <c r="T160" s="513"/>
      <c r="U160" s="513"/>
      <c r="V160" s="513"/>
      <c r="W160" s="513"/>
      <c r="X160" s="513"/>
      <c r="Y160" s="513"/>
      <c r="Z160" s="513"/>
    </row>
    <row r="161" spans="4:26" ht="16.5" customHeight="1" x14ac:dyDescent="0.2">
      <c r="D161" s="513"/>
      <c r="E161" s="513"/>
      <c r="F161" s="513"/>
      <c r="G161" s="513"/>
      <c r="H161" s="513"/>
      <c r="I161" s="513"/>
      <c r="J161" s="513"/>
      <c r="K161" s="513"/>
      <c r="L161" s="513"/>
      <c r="M161" s="513"/>
      <c r="N161" s="513"/>
      <c r="O161" s="513"/>
      <c r="P161" s="513"/>
      <c r="Q161" s="513"/>
      <c r="R161" s="513"/>
      <c r="S161" s="513"/>
      <c r="T161" s="513"/>
      <c r="U161" s="513"/>
      <c r="V161" s="513"/>
      <c r="W161" s="513"/>
      <c r="X161" s="513"/>
      <c r="Y161" s="513"/>
      <c r="Z161" s="513"/>
    </row>
    <row r="162" spans="4:26" ht="16.5" customHeight="1" x14ac:dyDescent="0.2">
      <c r="D162" s="513"/>
      <c r="E162" s="513"/>
      <c r="F162" s="513"/>
      <c r="G162" s="513"/>
      <c r="H162" s="513"/>
      <c r="I162" s="513"/>
      <c r="J162" s="513"/>
      <c r="K162" s="513"/>
      <c r="L162" s="513"/>
      <c r="M162" s="513"/>
      <c r="N162" s="513"/>
      <c r="O162" s="513"/>
      <c r="P162" s="513"/>
      <c r="Q162" s="513"/>
      <c r="R162" s="513"/>
      <c r="S162" s="513"/>
      <c r="T162" s="513"/>
      <c r="U162" s="513"/>
      <c r="V162" s="513"/>
      <c r="W162" s="513"/>
      <c r="X162" s="513"/>
      <c r="Y162" s="513"/>
      <c r="Z162" s="513"/>
    </row>
    <row r="163" spans="4:26" ht="16.5" customHeight="1" x14ac:dyDescent="0.2">
      <c r="D163" s="513"/>
      <c r="E163" s="513"/>
      <c r="F163" s="513"/>
      <c r="G163" s="513"/>
      <c r="H163" s="513"/>
      <c r="I163" s="513"/>
      <c r="J163" s="513"/>
      <c r="K163" s="513"/>
      <c r="L163" s="513"/>
      <c r="M163" s="513"/>
      <c r="N163" s="513"/>
      <c r="O163" s="513"/>
      <c r="P163" s="513"/>
      <c r="Q163" s="513"/>
      <c r="R163" s="513"/>
      <c r="S163" s="513"/>
      <c r="T163" s="513"/>
      <c r="U163" s="513"/>
      <c r="V163" s="513"/>
      <c r="W163" s="513"/>
      <c r="X163" s="513"/>
      <c r="Y163" s="513"/>
      <c r="Z163" s="513"/>
    </row>
    <row r="164" spans="4:26" ht="16.5" customHeight="1" x14ac:dyDescent="0.2">
      <c r="D164" s="513"/>
      <c r="E164" s="513"/>
      <c r="F164" s="513"/>
      <c r="G164" s="513"/>
      <c r="H164" s="513"/>
      <c r="I164" s="513"/>
      <c r="J164" s="513"/>
      <c r="K164" s="513"/>
      <c r="L164" s="513"/>
      <c r="M164" s="513"/>
      <c r="N164" s="513"/>
      <c r="O164" s="513"/>
      <c r="P164" s="513"/>
      <c r="Q164" s="513"/>
      <c r="R164" s="513"/>
      <c r="S164" s="513"/>
      <c r="T164" s="513"/>
      <c r="U164" s="513"/>
      <c r="V164" s="513"/>
      <c r="W164" s="513"/>
      <c r="X164" s="513"/>
      <c r="Y164" s="513"/>
      <c r="Z164" s="513"/>
    </row>
    <row r="165" spans="4:26" ht="16.5" customHeight="1" x14ac:dyDescent="0.2">
      <c r="D165" s="513"/>
      <c r="E165" s="513"/>
      <c r="F165" s="513"/>
      <c r="G165" s="513"/>
      <c r="H165" s="513"/>
      <c r="I165" s="513"/>
      <c r="J165" s="513"/>
      <c r="K165" s="513"/>
      <c r="L165" s="513"/>
      <c r="M165" s="513"/>
      <c r="N165" s="513"/>
      <c r="O165" s="513"/>
      <c r="P165" s="513"/>
      <c r="Q165" s="513"/>
      <c r="R165" s="513"/>
      <c r="S165" s="513"/>
      <c r="T165" s="513"/>
      <c r="U165" s="513"/>
      <c r="V165" s="513"/>
      <c r="W165" s="513"/>
      <c r="X165" s="513"/>
      <c r="Y165" s="513"/>
      <c r="Z165" s="513"/>
    </row>
    <row r="166" spans="4:26" ht="16.5" customHeight="1" x14ac:dyDescent="0.2">
      <c r="D166" s="513"/>
      <c r="E166" s="513"/>
      <c r="F166" s="513"/>
      <c r="G166" s="513"/>
      <c r="H166" s="513"/>
      <c r="I166" s="513"/>
      <c r="J166" s="513"/>
      <c r="K166" s="513"/>
      <c r="L166" s="513"/>
      <c r="M166" s="513"/>
      <c r="N166" s="513"/>
      <c r="O166" s="513"/>
      <c r="P166" s="513"/>
      <c r="Q166" s="513"/>
      <c r="R166" s="513"/>
      <c r="S166" s="513"/>
      <c r="T166" s="513"/>
      <c r="U166" s="513"/>
      <c r="V166" s="513"/>
      <c r="W166" s="513"/>
      <c r="X166" s="513"/>
      <c r="Y166" s="513"/>
      <c r="Z166" s="513"/>
    </row>
    <row r="167" spans="4:26" ht="16.5" customHeight="1" x14ac:dyDescent="0.2">
      <c r="D167" s="513"/>
      <c r="E167" s="513"/>
      <c r="F167" s="513"/>
      <c r="G167" s="513"/>
      <c r="H167" s="513"/>
      <c r="I167" s="513"/>
      <c r="J167" s="513"/>
      <c r="K167" s="513"/>
      <c r="L167" s="513"/>
      <c r="M167" s="513"/>
      <c r="N167" s="513"/>
      <c r="O167" s="513"/>
      <c r="P167" s="513"/>
      <c r="Q167" s="513"/>
      <c r="R167" s="513"/>
      <c r="S167" s="513"/>
      <c r="T167" s="513"/>
      <c r="U167" s="513"/>
      <c r="V167" s="513"/>
      <c r="W167" s="513"/>
      <c r="X167" s="513"/>
      <c r="Y167" s="513"/>
      <c r="Z167" s="513"/>
    </row>
    <row r="168" spans="4:26" ht="16.5" customHeight="1" x14ac:dyDescent="0.2">
      <c r="D168" s="513"/>
      <c r="E168" s="513"/>
      <c r="F168" s="513"/>
      <c r="G168" s="513"/>
      <c r="H168" s="513"/>
      <c r="I168" s="513"/>
      <c r="J168" s="513"/>
      <c r="K168" s="513"/>
      <c r="L168" s="513"/>
      <c r="M168" s="513"/>
      <c r="N168" s="513"/>
      <c r="O168" s="513"/>
      <c r="P168" s="513"/>
      <c r="Q168" s="513"/>
      <c r="R168" s="513"/>
      <c r="S168" s="513"/>
      <c r="T168" s="513"/>
      <c r="U168" s="513"/>
      <c r="V168" s="513"/>
      <c r="W168" s="513"/>
      <c r="X168" s="513"/>
      <c r="Y168" s="513"/>
      <c r="Z168" s="513"/>
    </row>
    <row r="169" spans="4:26" ht="16.5" customHeight="1" x14ac:dyDescent="0.2">
      <c r="D169" s="513"/>
      <c r="E169" s="513"/>
      <c r="F169" s="513"/>
      <c r="G169" s="513"/>
      <c r="H169" s="513"/>
      <c r="I169" s="513"/>
      <c r="J169" s="513"/>
      <c r="K169" s="513"/>
      <c r="L169" s="513"/>
      <c r="M169" s="513"/>
      <c r="N169" s="513"/>
      <c r="O169" s="513"/>
      <c r="P169" s="513"/>
      <c r="Q169" s="513"/>
      <c r="R169" s="513"/>
      <c r="S169" s="513"/>
      <c r="T169" s="513"/>
      <c r="U169" s="513"/>
      <c r="V169" s="513"/>
      <c r="W169" s="513"/>
      <c r="X169" s="513"/>
      <c r="Y169" s="513"/>
      <c r="Z169" s="513"/>
    </row>
    <row r="170" spans="4:26" ht="16.5" customHeight="1" x14ac:dyDescent="0.2">
      <c r="D170" s="513"/>
      <c r="E170" s="513"/>
      <c r="F170" s="513"/>
      <c r="G170" s="513"/>
      <c r="H170" s="513"/>
      <c r="I170" s="513"/>
      <c r="J170" s="513"/>
      <c r="K170" s="513"/>
      <c r="L170" s="513"/>
      <c r="M170" s="513"/>
      <c r="N170" s="513"/>
      <c r="O170" s="513"/>
      <c r="P170" s="513"/>
      <c r="Q170" s="513"/>
      <c r="R170" s="513"/>
      <c r="S170" s="513"/>
      <c r="T170" s="513"/>
      <c r="U170" s="513"/>
      <c r="V170" s="513"/>
      <c r="W170" s="513"/>
      <c r="X170" s="513"/>
      <c r="Y170" s="513"/>
      <c r="Z170" s="513"/>
    </row>
    <row r="171" spans="4:26" ht="16.5" customHeight="1" x14ac:dyDescent="0.2">
      <c r="D171" s="513"/>
      <c r="E171" s="513"/>
      <c r="F171" s="513"/>
      <c r="G171" s="513"/>
      <c r="H171" s="513"/>
      <c r="I171" s="513"/>
      <c r="J171" s="513"/>
      <c r="K171" s="513"/>
      <c r="L171" s="513"/>
      <c r="M171" s="513"/>
      <c r="N171" s="513"/>
      <c r="O171" s="513"/>
      <c r="P171" s="513"/>
      <c r="Q171" s="513"/>
      <c r="R171" s="513"/>
      <c r="S171" s="513"/>
      <c r="T171" s="513"/>
      <c r="U171" s="513"/>
      <c r="V171" s="513"/>
      <c r="W171" s="513"/>
      <c r="X171" s="513"/>
      <c r="Y171" s="513"/>
      <c r="Z171" s="513"/>
    </row>
    <row r="172" spans="4:26" ht="16.5" customHeight="1" x14ac:dyDescent="0.2">
      <c r="D172" s="513"/>
      <c r="E172" s="513"/>
      <c r="F172" s="513"/>
      <c r="G172" s="513"/>
      <c r="H172" s="513"/>
      <c r="I172" s="513"/>
      <c r="J172" s="513"/>
      <c r="K172" s="513"/>
      <c r="L172" s="513"/>
      <c r="M172" s="513"/>
      <c r="N172" s="513"/>
      <c r="O172" s="513"/>
      <c r="P172" s="513"/>
      <c r="Q172" s="513"/>
      <c r="R172" s="513"/>
      <c r="S172" s="513"/>
      <c r="T172" s="513"/>
      <c r="U172" s="513"/>
      <c r="V172" s="513"/>
      <c r="W172" s="513"/>
      <c r="X172" s="513"/>
      <c r="Y172" s="513"/>
      <c r="Z172" s="513"/>
    </row>
    <row r="173" spans="4:26" ht="16.5" customHeight="1" x14ac:dyDescent="0.2">
      <c r="D173" s="513"/>
      <c r="E173" s="513"/>
      <c r="F173" s="513"/>
      <c r="G173" s="513"/>
      <c r="H173" s="513"/>
      <c r="I173" s="513"/>
      <c r="J173" s="513"/>
      <c r="K173" s="513"/>
      <c r="L173" s="513"/>
      <c r="M173" s="513"/>
      <c r="N173" s="513"/>
      <c r="O173" s="513"/>
      <c r="P173" s="513"/>
      <c r="Q173" s="513"/>
      <c r="R173" s="513"/>
      <c r="S173" s="513"/>
      <c r="T173" s="513"/>
      <c r="U173" s="513"/>
      <c r="V173" s="513"/>
      <c r="W173" s="513"/>
      <c r="X173" s="513"/>
      <c r="Y173" s="513"/>
      <c r="Z173" s="513"/>
    </row>
    <row r="174" spans="4:26" ht="16.5" customHeight="1" x14ac:dyDescent="0.2">
      <c r="D174" s="513"/>
      <c r="E174" s="513"/>
      <c r="F174" s="513"/>
      <c r="G174" s="513"/>
      <c r="H174" s="513"/>
      <c r="I174" s="513"/>
      <c r="J174" s="513"/>
      <c r="K174" s="513"/>
      <c r="L174" s="513"/>
      <c r="M174" s="513"/>
      <c r="N174" s="513"/>
      <c r="O174" s="513"/>
      <c r="P174" s="513"/>
      <c r="Q174" s="513"/>
      <c r="R174" s="513"/>
      <c r="S174" s="513"/>
      <c r="T174" s="513"/>
      <c r="U174" s="513"/>
      <c r="V174" s="513"/>
      <c r="W174" s="513"/>
      <c r="X174" s="513"/>
      <c r="Y174" s="513"/>
      <c r="Z174" s="513"/>
    </row>
    <row r="175" spans="4:26" ht="16.5" customHeight="1" x14ac:dyDescent="0.2">
      <c r="D175" s="513"/>
      <c r="E175" s="513"/>
      <c r="F175" s="513"/>
      <c r="G175" s="513"/>
      <c r="H175" s="513"/>
      <c r="I175" s="513"/>
      <c r="J175" s="513"/>
      <c r="K175" s="513"/>
      <c r="L175" s="513"/>
      <c r="M175" s="513"/>
      <c r="N175" s="513"/>
      <c r="O175" s="513"/>
      <c r="P175" s="513"/>
      <c r="Q175" s="513"/>
      <c r="R175" s="513"/>
      <c r="S175" s="513"/>
      <c r="T175" s="513"/>
      <c r="U175" s="513"/>
      <c r="V175" s="513"/>
      <c r="W175" s="513"/>
      <c r="X175" s="513"/>
      <c r="Y175" s="513"/>
      <c r="Z175" s="513"/>
    </row>
    <row r="176" spans="4:26" ht="16.5" customHeight="1" x14ac:dyDescent="0.2">
      <c r="D176" s="513"/>
      <c r="E176" s="513"/>
      <c r="F176" s="513"/>
      <c r="G176" s="513"/>
      <c r="H176" s="513"/>
      <c r="I176" s="513"/>
      <c r="J176" s="513"/>
      <c r="K176" s="513"/>
      <c r="L176" s="513"/>
      <c r="M176" s="513"/>
      <c r="N176" s="513"/>
      <c r="O176" s="513"/>
      <c r="P176" s="513"/>
      <c r="Q176" s="513"/>
      <c r="R176" s="513"/>
      <c r="S176" s="513"/>
      <c r="T176" s="513"/>
      <c r="U176" s="513"/>
      <c r="V176" s="513"/>
      <c r="W176" s="513"/>
      <c r="X176" s="513"/>
      <c r="Y176" s="513"/>
      <c r="Z176" s="513"/>
    </row>
    <row r="177" spans="4:26" ht="16.5" customHeight="1" x14ac:dyDescent="0.2">
      <c r="D177" s="513"/>
      <c r="E177" s="513"/>
      <c r="F177" s="513"/>
      <c r="G177" s="513"/>
      <c r="H177" s="513"/>
      <c r="I177" s="513"/>
      <c r="J177" s="513"/>
      <c r="K177" s="513"/>
      <c r="L177" s="513"/>
      <c r="M177" s="513"/>
      <c r="N177" s="513"/>
      <c r="O177" s="513"/>
      <c r="P177" s="513"/>
      <c r="Q177" s="513"/>
      <c r="R177" s="513"/>
      <c r="S177" s="513"/>
      <c r="T177" s="513"/>
      <c r="U177" s="513"/>
      <c r="V177" s="513"/>
      <c r="W177" s="513"/>
      <c r="X177" s="513"/>
      <c r="Y177" s="513"/>
      <c r="Z177" s="513"/>
    </row>
    <row r="178" spans="4:26" ht="16.5" customHeight="1" x14ac:dyDescent="0.2">
      <c r="D178" s="513"/>
      <c r="E178" s="513"/>
      <c r="F178" s="513"/>
      <c r="G178" s="513"/>
      <c r="H178" s="513"/>
      <c r="I178" s="513"/>
      <c r="J178" s="513"/>
      <c r="K178" s="513"/>
      <c r="L178" s="513"/>
      <c r="M178" s="513"/>
      <c r="N178" s="513"/>
      <c r="O178" s="513"/>
      <c r="P178" s="513"/>
      <c r="Q178" s="513"/>
      <c r="R178" s="513"/>
      <c r="S178" s="513"/>
      <c r="T178" s="513"/>
      <c r="U178" s="513"/>
      <c r="V178" s="513"/>
      <c r="W178" s="513"/>
      <c r="X178" s="513"/>
      <c r="Y178" s="513"/>
      <c r="Z178" s="513"/>
    </row>
    <row r="179" spans="4:26" ht="16.5" customHeight="1" x14ac:dyDescent="0.2">
      <c r="D179" s="513"/>
      <c r="E179" s="513"/>
      <c r="F179" s="513"/>
      <c r="G179" s="513"/>
      <c r="H179" s="513"/>
      <c r="I179" s="513"/>
      <c r="J179" s="513"/>
      <c r="K179" s="513"/>
      <c r="L179" s="513"/>
      <c r="M179" s="513"/>
      <c r="N179" s="513"/>
      <c r="O179" s="513"/>
      <c r="P179" s="513"/>
      <c r="Q179" s="513"/>
      <c r="R179" s="513"/>
      <c r="S179" s="513"/>
      <c r="T179" s="513"/>
      <c r="U179" s="513"/>
      <c r="V179" s="513"/>
      <c r="W179" s="513"/>
      <c r="X179" s="513"/>
      <c r="Y179" s="513"/>
      <c r="Z179" s="513"/>
    </row>
    <row r="180" spans="4:26" ht="16.5" customHeight="1" x14ac:dyDescent="0.2">
      <c r="D180" s="513"/>
      <c r="E180" s="513"/>
      <c r="F180" s="513"/>
      <c r="G180" s="513"/>
      <c r="H180" s="513"/>
      <c r="I180" s="513"/>
      <c r="J180" s="513"/>
      <c r="K180" s="513"/>
      <c r="L180" s="513"/>
      <c r="M180" s="513"/>
      <c r="N180" s="513"/>
      <c r="O180" s="513"/>
      <c r="P180" s="513"/>
      <c r="Q180" s="513"/>
      <c r="R180" s="513"/>
      <c r="S180" s="513"/>
      <c r="T180" s="513"/>
      <c r="U180" s="513"/>
      <c r="V180" s="513"/>
      <c r="W180" s="513"/>
      <c r="X180" s="513"/>
      <c r="Y180" s="513"/>
      <c r="Z180" s="513"/>
    </row>
    <row r="181" spans="4:26" ht="16.5" customHeight="1" x14ac:dyDescent="0.2">
      <c r="D181" s="513"/>
      <c r="E181" s="513"/>
      <c r="F181" s="513"/>
      <c r="G181" s="513"/>
      <c r="H181" s="513"/>
      <c r="I181" s="513"/>
      <c r="J181" s="513"/>
      <c r="K181" s="513"/>
      <c r="L181" s="513"/>
      <c r="M181" s="513"/>
      <c r="N181" s="513"/>
      <c r="O181" s="513"/>
      <c r="P181" s="513"/>
      <c r="Q181" s="513"/>
      <c r="R181" s="513"/>
      <c r="S181" s="513"/>
      <c r="T181" s="513"/>
      <c r="U181" s="513"/>
      <c r="V181" s="513"/>
      <c r="W181" s="513"/>
      <c r="X181" s="513"/>
      <c r="Y181" s="513"/>
      <c r="Z181" s="513"/>
    </row>
    <row r="182" spans="4:26" ht="16.5" customHeight="1" x14ac:dyDescent="0.2">
      <c r="D182" s="513"/>
      <c r="E182" s="513"/>
      <c r="F182" s="513"/>
      <c r="G182" s="513"/>
      <c r="H182" s="513"/>
      <c r="I182" s="513"/>
      <c r="J182" s="513"/>
      <c r="K182" s="513"/>
      <c r="L182" s="513"/>
      <c r="M182" s="513"/>
      <c r="N182" s="513"/>
      <c r="O182" s="513"/>
      <c r="P182" s="513"/>
      <c r="Q182" s="513"/>
      <c r="R182" s="513"/>
      <c r="S182" s="513"/>
      <c r="T182" s="513"/>
      <c r="U182" s="513"/>
      <c r="V182" s="513"/>
      <c r="W182" s="513"/>
      <c r="X182" s="513"/>
      <c r="Y182" s="513"/>
      <c r="Z182" s="513"/>
    </row>
    <row r="183" spans="4:26" ht="16.5" customHeight="1" x14ac:dyDescent="0.2">
      <c r="D183" s="513"/>
      <c r="E183" s="513"/>
      <c r="F183" s="513"/>
      <c r="G183" s="513"/>
      <c r="H183" s="513"/>
      <c r="I183" s="513"/>
      <c r="J183" s="513"/>
      <c r="K183" s="513"/>
      <c r="L183" s="513"/>
      <c r="M183" s="513"/>
      <c r="N183" s="513"/>
      <c r="O183" s="513"/>
      <c r="P183" s="513"/>
      <c r="Q183" s="513"/>
      <c r="R183" s="513"/>
      <c r="S183" s="513"/>
      <c r="T183" s="513"/>
      <c r="U183" s="513"/>
      <c r="V183" s="513"/>
      <c r="W183" s="513"/>
      <c r="X183" s="513"/>
      <c r="Y183" s="513"/>
      <c r="Z183" s="513"/>
    </row>
    <row r="184" spans="4:26" ht="16.5" customHeight="1" x14ac:dyDescent="0.2">
      <c r="D184" s="513"/>
      <c r="E184" s="513"/>
      <c r="F184" s="513"/>
      <c r="G184" s="513"/>
      <c r="H184" s="513"/>
      <c r="I184" s="513"/>
      <c r="J184" s="513"/>
      <c r="K184" s="513"/>
      <c r="L184" s="513"/>
      <c r="M184" s="513"/>
      <c r="N184" s="513"/>
      <c r="O184" s="513"/>
      <c r="P184" s="513"/>
      <c r="Q184" s="513"/>
      <c r="R184" s="513"/>
      <c r="S184" s="513"/>
      <c r="T184" s="513"/>
      <c r="U184" s="513"/>
      <c r="V184" s="513"/>
      <c r="W184" s="513"/>
      <c r="X184" s="513"/>
      <c r="Y184" s="513"/>
      <c r="Z184" s="513"/>
    </row>
    <row r="185" spans="4:26" ht="16.5" customHeight="1" x14ac:dyDescent="0.2">
      <c r="D185" s="513"/>
      <c r="E185" s="513"/>
      <c r="F185" s="513"/>
      <c r="G185" s="513"/>
      <c r="H185" s="513"/>
      <c r="I185" s="513"/>
      <c r="J185" s="513"/>
      <c r="K185" s="513"/>
      <c r="L185" s="513"/>
      <c r="M185" s="513"/>
      <c r="N185" s="513"/>
      <c r="O185" s="513"/>
      <c r="P185" s="513"/>
      <c r="Q185" s="513"/>
      <c r="R185" s="513"/>
      <c r="S185" s="513"/>
      <c r="T185" s="513"/>
      <c r="U185" s="513"/>
      <c r="V185" s="513"/>
      <c r="W185" s="513"/>
      <c r="X185" s="513"/>
      <c r="Y185" s="513"/>
      <c r="Z185" s="513"/>
    </row>
    <row r="186" spans="4:26" ht="16.5" customHeight="1" x14ac:dyDescent="0.2">
      <c r="D186" s="513"/>
      <c r="E186" s="513"/>
      <c r="F186" s="513"/>
      <c r="G186" s="513"/>
      <c r="H186" s="513"/>
      <c r="I186" s="513"/>
      <c r="J186" s="513"/>
      <c r="K186" s="513"/>
      <c r="L186" s="513"/>
      <c r="M186" s="513"/>
      <c r="N186" s="513"/>
      <c r="O186" s="513"/>
      <c r="P186" s="513"/>
      <c r="Q186" s="513"/>
      <c r="R186" s="513"/>
      <c r="S186" s="513"/>
      <c r="T186" s="513"/>
      <c r="U186" s="513"/>
      <c r="V186" s="513"/>
      <c r="W186" s="513"/>
      <c r="X186" s="513"/>
      <c r="Y186" s="513"/>
      <c r="Z186" s="513"/>
    </row>
    <row r="187" spans="4:26" ht="16.5" customHeight="1" x14ac:dyDescent="0.2">
      <c r="D187" s="513"/>
      <c r="E187" s="513"/>
      <c r="F187" s="513"/>
      <c r="G187" s="513"/>
      <c r="H187" s="513"/>
      <c r="I187" s="513"/>
      <c r="J187" s="513"/>
      <c r="K187" s="513"/>
      <c r="L187" s="513"/>
      <c r="M187" s="513"/>
      <c r="N187" s="513"/>
      <c r="O187" s="513"/>
      <c r="P187" s="513"/>
      <c r="Q187" s="513"/>
      <c r="R187" s="513"/>
      <c r="S187" s="513"/>
      <c r="T187" s="513"/>
      <c r="U187" s="513"/>
      <c r="V187" s="513"/>
      <c r="W187" s="513"/>
      <c r="X187" s="513"/>
      <c r="Y187" s="513"/>
      <c r="Z187" s="513"/>
    </row>
    <row r="188" spans="4:26" ht="16.5" customHeight="1" x14ac:dyDescent="0.2">
      <c r="D188" s="513"/>
      <c r="E188" s="513"/>
      <c r="F188" s="513"/>
      <c r="G188" s="513"/>
      <c r="H188" s="513"/>
      <c r="I188" s="513"/>
      <c r="J188" s="513"/>
      <c r="K188" s="513"/>
      <c r="L188" s="513"/>
      <c r="M188" s="513"/>
      <c r="N188" s="513"/>
      <c r="O188" s="513"/>
      <c r="P188" s="513"/>
      <c r="Q188" s="513"/>
      <c r="R188" s="513"/>
      <c r="S188" s="513"/>
      <c r="T188" s="513"/>
      <c r="U188" s="513"/>
      <c r="V188" s="513"/>
      <c r="W188" s="513"/>
      <c r="X188" s="513"/>
      <c r="Y188" s="513"/>
      <c r="Z188" s="513"/>
    </row>
    <row r="189" spans="4:26" ht="16.5" customHeight="1" x14ac:dyDescent="0.2">
      <c r="D189" s="513"/>
      <c r="E189" s="513"/>
      <c r="F189" s="513"/>
      <c r="G189" s="513"/>
      <c r="H189" s="513"/>
      <c r="I189" s="513"/>
      <c r="J189" s="513"/>
      <c r="K189" s="513"/>
      <c r="L189" s="513"/>
      <c r="M189" s="513"/>
      <c r="N189" s="513"/>
      <c r="O189" s="513"/>
      <c r="P189" s="513"/>
      <c r="Q189" s="513"/>
      <c r="R189" s="513"/>
      <c r="S189" s="513"/>
      <c r="T189" s="513"/>
      <c r="U189" s="513"/>
      <c r="V189" s="513"/>
      <c r="W189" s="513"/>
      <c r="X189" s="513"/>
      <c r="Y189" s="513"/>
      <c r="Z189" s="513"/>
    </row>
    <row r="190" spans="4:26" ht="16.5" customHeight="1" x14ac:dyDescent="0.2">
      <c r="D190" s="513"/>
      <c r="E190" s="513"/>
      <c r="F190" s="513"/>
      <c r="G190" s="513"/>
      <c r="H190" s="513"/>
      <c r="I190" s="513"/>
      <c r="J190" s="513"/>
      <c r="K190" s="513"/>
      <c r="L190" s="513"/>
      <c r="M190" s="513"/>
      <c r="N190" s="513"/>
      <c r="O190" s="513"/>
      <c r="P190" s="513"/>
      <c r="Q190" s="513"/>
      <c r="R190" s="513"/>
      <c r="S190" s="513"/>
      <c r="T190" s="513"/>
      <c r="U190" s="513"/>
      <c r="V190" s="513"/>
      <c r="W190" s="513"/>
      <c r="X190" s="513"/>
      <c r="Y190" s="513"/>
      <c r="Z190" s="513"/>
    </row>
    <row r="191" spans="4:26" ht="16.5" customHeight="1" x14ac:dyDescent="0.2">
      <c r="D191" s="513"/>
      <c r="E191" s="513"/>
      <c r="F191" s="513"/>
      <c r="G191" s="513"/>
      <c r="H191" s="513"/>
      <c r="I191" s="513"/>
      <c r="J191" s="513"/>
      <c r="K191" s="513"/>
      <c r="L191" s="513"/>
      <c r="M191" s="513"/>
      <c r="N191" s="513"/>
      <c r="O191" s="513"/>
      <c r="P191" s="513"/>
      <c r="Q191" s="513"/>
      <c r="R191" s="513"/>
      <c r="S191" s="513"/>
      <c r="T191" s="513"/>
      <c r="U191" s="513"/>
      <c r="V191" s="513"/>
      <c r="W191" s="513"/>
      <c r="X191" s="513"/>
      <c r="Y191" s="513"/>
      <c r="Z191" s="513"/>
    </row>
    <row r="192" spans="4:26" ht="16.5" customHeight="1" x14ac:dyDescent="0.2">
      <c r="D192" s="513"/>
      <c r="E192" s="513"/>
      <c r="F192" s="513"/>
      <c r="G192" s="513"/>
      <c r="H192" s="513"/>
      <c r="I192" s="513"/>
      <c r="J192" s="513"/>
      <c r="K192" s="513"/>
      <c r="L192" s="513"/>
      <c r="M192" s="513"/>
      <c r="N192" s="513"/>
      <c r="O192" s="513"/>
      <c r="P192" s="513"/>
      <c r="Q192" s="513"/>
      <c r="R192" s="513"/>
      <c r="S192" s="513"/>
      <c r="T192" s="513"/>
      <c r="U192" s="513"/>
      <c r="V192" s="513"/>
      <c r="W192" s="513"/>
      <c r="X192" s="513"/>
      <c r="Y192" s="513"/>
      <c r="Z192" s="513"/>
    </row>
    <row r="193" spans="4:26" ht="16.5" customHeight="1" x14ac:dyDescent="0.2"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</row>
    <row r="194" spans="4:26" ht="16.5" customHeight="1" x14ac:dyDescent="0.2">
      <c r="D194" s="513"/>
      <c r="E194" s="513"/>
      <c r="F194" s="513"/>
      <c r="G194" s="513"/>
      <c r="H194" s="513"/>
      <c r="I194" s="513"/>
      <c r="J194" s="513"/>
      <c r="K194" s="513"/>
      <c r="L194" s="513"/>
      <c r="M194" s="513"/>
      <c r="N194" s="513"/>
      <c r="O194" s="513"/>
      <c r="P194" s="513"/>
      <c r="Q194" s="513"/>
      <c r="R194" s="513"/>
      <c r="S194" s="513"/>
      <c r="T194" s="513"/>
      <c r="U194" s="513"/>
      <c r="V194" s="513"/>
      <c r="W194" s="513"/>
      <c r="X194" s="513"/>
      <c r="Y194" s="513"/>
      <c r="Z194" s="513"/>
    </row>
    <row r="195" spans="4:26" ht="16.5" customHeight="1" x14ac:dyDescent="0.2">
      <c r="D195" s="513"/>
      <c r="E195" s="513"/>
      <c r="F195" s="513"/>
      <c r="G195" s="513"/>
      <c r="H195" s="513"/>
      <c r="I195" s="513"/>
      <c r="J195" s="513"/>
      <c r="K195" s="513"/>
      <c r="L195" s="513"/>
      <c r="M195" s="513"/>
      <c r="N195" s="513"/>
      <c r="O195" s="513"/>
      <c r="P195" s="513"/>
      <c r="Q195" s="513"/>
      <c r="R195" s="513"/>
      <c r="S195" s="513"/>
      <c r="T195" s="513"/>
      <c r="U195" s="513"/>
      <c r="V195" s="513"/>
      <c r="W195" s="513"/>
      <c r="X195" s="513"/>
      <c r="Y195" s="513"/>
      <c r="Z195" s="513"/>
    </row>
    <row r="196" spans="4:26" ht="16.5" customHeight="1" x14ac:dyDescent="0.2">
      <c r="D196" s="513"/>
      <c r="E196" s="513"/>
      <c r="F196" s="513"/>
      <c r="G196" s="513"/>
      <c r="H196" s="513"/>
      <c r="I196" s="513"/>
      <c r="J196" s="513"/>
      <c r="K196" s="513"/>
      <c r="L196" s="513"/>
      <c r="M196" s="513"/>
      <c r="N196" s="513"/>
      <c r="O196" s="513"/>
      <c r="P196" s="513"/>
      <c r="Q196" s="513"/>
      <c r="R196" s="513"/>
      <c r="S196" s="513"/>
      <c r="T196" s="513"/>
      <c r="U196" s="513"/>
      <c r="V196" s="513"/>
      <c r="W196" s="513"/>
      <c r="X196" s="513"/>
      <c r="Y196" s="513"/>
      <c r="Z196" s="513"/>
    </row>
    <row r="197" spans="4:26" ht="16.5" customHeight="1" x14ac:dyDescent="0.2">
      <c r="D197" s="513"/>
      <c r="E197" s="513"/>
      <c r="F197" s="513"/>
      <c r="G197" s="513"/>
      <c r="H197" s="513"/>
      <c r="I197" s="513"/>
      <c r="J197" s="513"/>
      <c r="K197" s="513"/>
      <c r="L197" s="513"/>
      <c r="M197" s="513"/>
      <c r="N197" s="513"/>
      <c r="O197" s="513"/>
      <c r="P197" s="513"/>
      <c r="Q197" s="513"/>
      <c r="R197" s="513"/>
      <c r="S197" s="513"/>
      <c r="T197" s="513"/>
      <c r="U197" s="513"/>
      <c r="V197" s="513"/>
      <c r="W197" s="513"/>
      <c r="X197" s="513"/>
      <c r="Y197" s="513"/>
      <c r="Z197" s="513"/>
    </row>
    <row r="198" spans="4:26" ht="16.5" customHeight="1" x14ac:dyDescent="0.2">
      <c r="D198" s="513"/>
      <c r="E198" s="513"/>
      <c r="F198" s="513"/>
      <c r="G198" s="513"/>
      <c r="H198" s="513"/>
      <c r="I198" s="513"/>
      <c r="J198" s="513"/>
      <c r="K198" s="513"/>
      <c r="L198" s="513"/>
      <c r="M198" s="513"/>
      <c r="N198" s="513"/>
      <c r="O198" s="513"/>
      <c r="P198" s="513"/>
      <c r="Q198" s="513"/>
      <c r="R198" s="513"/>
      <c r="S198" s="513"/>
      <c r="T198" s="513"/>
      <c r="U198" s="513"/>
      <c r="V198" s="513"/>
      <c r="W198" s="513"/>
      <c r="X198" s="513"/>
      <c r="Y198" s="513"/>
      <c r="Z198" s="513"/>
    </row>
    <row r="199" spans="4:26" ht="16.5" customHeight="1" x14ac:dyDescent="0.2">
      <c r="D199" s="513"/>
      <c r="E199" s="513"/>
      <c r="F199" s="513"/>
      <c r="G199" s="513"/>
      <c r="H199" s="513"/>
      <c r="I199" s="513"/>
      <c r="J199" s="513"/>
      <c r="K199" s="513"/>
      <c r="L199" s="513"/>
      <c r="M199" s="513"/>
      <c r="N199" s="513"/>
      <c r="O199" s="513"/>
      <c r="P199" s="513"/>
      <c r="Q199" s="513"/>
      <c r="R199" s="513"/>
      <c r="S199" s="513"/>
      <c r="T199" s="513"/>
      <c r="U199" s="513"/>
      <c r="V199" s="513"/>
      <c r="W199" s="513"/>
      <c r="X199" s="513"/>
      <c r="Y199" s="513"/>
      <c r="Z199" s="513"/>
    </row>
    <row r="200" spans="4:26" ht="16.5" customHeight="1" x14ac:dyDescent="0.2">
      <c r="D200" s="513"/>
      <c r="E200" s="513"/>
      <c r="F200" s="513"/>
      <c r="G200" s="513"/>
      <c r="H200" s="513"/>
      <c r="I200" s="513"/>
      <c r="J200" s="513"/>
      <c r="K200" s="513"/>
      <c r="L200" s="513"/>
      <c r="M200" s="513"/>
      <c r="N200" s="513"/>
      <c r="O200" s="513"/>
      <c r="P200" s="513"/>
      <c r="Q200" s="513"/>
      <c r="R200" s="513"/>
      <c r="S200" s="513"/>
      <c r="T200" s="513"/>
      <c r="U200" s="513"/>
      <c r="V200" s="513"/>
      <c r="W200" s="513"/>
      <c r="X200" s="513"/>
      <c r="Y200" s="513"/>
      <c r="Z200" s="513"/>
    </row>
    <row r="201" spans="4:26" ht="16.5" customHeight="1" x14ac:dyDescent="0.2">
      <c r="D201" s="513"/>
      <c r="E201" s="513"/>
      <c r="F201" s="513"/>
      <c r="G201" s="513"/>
      <c r="H201" s="513"/>
      <c r="I201" s="513"/>
      <c r="J201" s="513"/>
      <c r="K201" s="513"/>
      <c r="L201" s="513"/>
      <c r="M201" s="513"/>
      <c r="N201" s="513"/>
      <c r="O201" s="513"/>
      <c r="P201" s="513"/>
      <c r="Q201" s="513"/>
      <c r="R201" s="513"/>
      <c r="S201" s="513"/>
      <c r="T201" s="513"/>
      <c r="U201" s="513"/>
      <c r="V201" s="513"/>
      <c r="W201" s="513"/>
      <c r="X201" s="513"/>
      <c r="Y201" s="513"/>
      <c r="Z201" s="513"/>
    </row>
    <row r="202" spans="4:26" ht="16.5" customHeight="1" x14ac:dyDescent="0.2">
      <c r="D202" s="513"/>
      <c r="E202" s="513"/>
      <c r="F202" s="513"/>
      <c r="G202" s="513"/>
      <c r="H202" s="513"/>
      <c r="I202" s="513"/>
      <c r="J202" s="513"/>
      <c r="K202" s="513"/>
      <c r="L202" s="513"/>
      <c r="M202" s="513"/>
      <c r="N202" s="513"/>
      <c r="O202" s="513"/>
      <c r="P202" s="513"/>
      <c r="Q202" s="513"/>
      <c r="R202" s="513"/>
      <c r="S202" s="513"/>
      <c r="T202" s="513"/>
      <c r="U202" s="513"/>
      <c r="V202" s="513"/>
      <c r="W202" s="513"/>
      <c r="X202" s="513"/>
      <c r="Y202" s="513"/>
      <c r="Z202" s="513"/>
    </row>
    <row r="203" spans="4:26" ht="16.5" customHeight="1" x14ac:dyDescent="0.2">
      <c r="D203" s="513"/>
      <c r="E203" s="513"/>
      <c r="F203" s="513"/>
      <c r="G203" s="513"/>
      <c r="H203" s="513"/>
      <c r="I203" s="513"/>
      <c r="J203" s="513"/>
      <c r="K203" s="513"/>
      <c r="L203" s="513"/>
      <c r="M203" s="513"/>
      <c r="N203" s="513"/>
      <c r="O203" s="513"/>
      <c r="P203" s="513"/>
      <c r="Q203" s="513"/>
      <c r="R203" s="513"/>
      <c r="S203" s="513"/>
      <c r="T203" s="513"/>
      <c r="U203" s="513"/>
      <c r="V203" s="513"/>
      <c r="W203" s="513"/>
      <c r="X203" s="513"/>
      <c r="Y203" s="513"/>
      <c r="Z203" s="513"/>
    </row>
    <row r="204" spans="4:26" ht="16.5" customHeight="1" x14ac:dyDescent="0.2">
      <c r="D204" s="513"/>
      <c r="E204" s="513"/>
      <c r="F204" s="513"/>
      <c r="G204" s="513"/>
      <c r="H204" s="513"/>
      <c r="I204" s="513"/>
      <c r="J204" s="513"/>
      <c r="K204" s="513"/>
      <c r="L204" s="513"/>
      <c r="M204" s="513"/>
      <c r="N204" s="513"/>
      <c r="O204" s="513"/>
      <c r="P204" s="513"/>
      <c r="Q204" s="513"/>
      <c r="R204" s="513"/>
      <c r="S204" s="513"/>
      <c r="T204" s="513"/>
      <c r="U204" s="513"/>
      <c r="V204" s="513"/>
      <c r="W204" s="513"/>
      <c r="X204" s="513"/>
      <c r="Y204" s="513"/>
      <c r="Z204" s="513"/>
    </row>
    <row r="205" spans="4:26" ht="16.5" customHeight="1" x14ac:dyDescent="0.2">
      <c r="D205" s="513"/>
      <c r="E205" s="513"/>
      <c r="F205" s="513"/>
      <c r="G205" s="513"/>
      <c r="H205" s="513"/>
      <c r="I205" s="513"/>
      <c r="J205" s="513"/>
      <c r="K205" s="513"/>
      <c r="L205" s="513"/>
      <c r="M205" s="513"/>
      <c r="N205" s="513"/>
      <c r="O205" s="513"/>
      <c r="P205" s="513"/>
      <c r="Q205" s="513"/>
      <c r="R205" s="513"/>
      <c r="S205" s="513"/>
      <c r="T205" s="513"/>
      <c r="U205" s="513"/>
      <c r="V205" s="513"/>
      <c r="W205" s="513"/>
      <c r="X205" s="513"/>
      <c r="Y205" s="513"/>
      <c r="Z205" s="513"/>
    </row>
    <row r="206" spans="4:26" ht="16.5" customHeight="1" x14ac:dyDescent="0.2">
      <c r="D206" s="513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</row>
    <row r="207" spans="4:26" ht="16.5" customHeight="1" x14ac:dyDescent="0.2">
      <c r="D207" s="513"/>
      <c r="E207" s="513"/>
      <c r="F207" s="513"/>
      <c r="G207" s="513"/>
      <c r="H207" s="513"/>
      <c r="I207" s="513"/>
      <c r="J207" s="513"/>
      <c r="K207" s="513"/>
      <c r="L207" s="513"/>
      <c r="M207" s="513"/>
      <c r="N207" s="513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  <c r="Y207" s="513"/>
      <c r="Z207" s="513"/>
    </row>
    <row r="208" spans="4:26" ht="16.5" customHeight="1" x14ac:dyDescent="0.2">
      <c r="D208" s="513"/>
      <c r="E208" s="513"/>
      <c r="F208" s="513"/>
      <c r="G208" s="513"/>
      <c r="H208" s="513"/>
      <c r="I208" s="513"/>
      <c r="J208" s="513"/>
      <c r="K208" s="513"/>
      <c r="L208" s="513"/>
      <c r="M208" s="513"/>
      <c r="N208" s="513"/>
      <c r="O208" s="513"/>
      <c r="P208" s="513"/>
      <c r="Q208" s="513"/>
      <c r="R208" s="513"/>
      <c r="S208" s="513"/>
      <c r="T208" s="513"/>
      <c r="U208" s="513"/>
      <c r="V208" s="513"/>
      <c r="W208" s="513"/>
      <c r="X208" s="513"/>
      <c r="Y208" s="513"/>
      <c r="Z208" s="513"/>
    </row>
    <row r="209" spans="4:26" ht="16.5" customHeight="1" x14ac:dyDescent="0.2">
      <c r="D209" s="513"/>
      <c r="E209" s="513"/>
      <c r="F209" s="513"/>
      <c r="G209" s="513"/>
      <c r="H209" s="513"/>
      <c r="I209" s="513"/>
      <c r="J209" s="513"/>
      <c r="K209" s="513"/>
      <c r="L209" s="513"/>
      <c r="M209" s="513"/>
      <c r="N209" s="513"/>
      <c r="O209" s="513"/>
      <c r="P209" s="513"/>
      <c r="Q209" s="513"/>
      <c r="R209" s="513"/>
      <c r="S209" s="513"/>
      <c r="T209" s="513"/>
      <c r="U209" s="513"/>
      <c r="V209" s="513"/>
      <c r="W209" s="513"/>
      <c r="X209" s="513"/>
      <c r="Y209" s="513"/>
      <c r="Z209" s="513"/>
    </row>
    <row r="210" spans="4:26" ht="16.5" customHeight="1" x14ac:dyDescent="0.2">
      <c r="D210" s="513"/>
      <c r="E210" s="513"/>
      <c r="F210" s="513"/>
      <c r="G210" s="513"/>
      <c r="H210" s="513"/>
      <c r="I210" s="513"/>
      <c r="J210" s="513"/>
      <c r="K210" s="513"/>
      <c r="L210" s="513"/>
      <c r="M210" s="513"/>
      <c r="N210" s="513"/>
      <c r="O210" s="513"/>
      <c r="P210" s="513"/>
      <c r="Q210" s="513"/>
      <c r="R210" s="513"/>
      <c r="S210" s="513"/>
      <c r="T210" s="513"/>
      <c r="U210" s="513"/>
      <c r="V210" s="513"/>
      <c r="W210" s="513"/>
      <c r="X210" s="513"/>
      <c r="Y210" s="513"/>
      <c r="Z210" s="513"/>
    </row>
    <row r="211" spans="4:26" ht="16.5" customHeight="1" x14ac:dyDescent="0.2">
      <c r="D211" s="513"/>
      <c r="E211" s="513"/>
      <c r="F211" s="513"/>
      <c r="G211" s="513"/>
      <c r="H211" s="513"/>
      <c r="I211" s="513"/>
      <c r="J211" s="513"/>
      <c r="K211" s="513"/>
      <c r="L211" s="513"/>
      <c r="M211" s="513"/>
      <c r="N211" s="513"/>
      <c r="O211" s="513"/>
      <c r="P211" s="513"/>
      <c r="Q211" s="513"/>
      <c r="R211" s="513"/>
      <c r="S211" s="513"/>
      <c r="T211" s="513"/>
      <c r="U211" s="513"/>
      <c r="V211" s="513"/>
      <c r="W211" s="513"/>
      <c r="X211" s="513"/>
      <c r="Y211" s="513"/>
      <c r="Z211" s="513"/>
    </row>
    <row r="212" spans="4:26" ht="16.5" customHeight="1" x14ac:dyDescent="0.2">
      <c r="D212" s="513"/>
      <c r="E212" s="513"/>
      <c r="F212" s="513"/>
      <c r="G212" s="513"/>
      <c r="H212" s="513"/>
      <c r="I212" s="513"/>
      <c r="J212" s="513"/>
      <c r="K212" s="513"/>
      <c r="L212" s="513"/>
      <c r="M212" s="513"/>
      <c r="N212" s="513"/>
      <c r="O212" s="513"/>
      <c r="P212" s="513"/>
      <c r="Q212" s="513"/>
      <c r="R212" s="513"/>
      <c r="S212" s="513"/>
      <c r="T212" s="513"/>
      <c r="U212" s="513"/>
      <c r="V212" s="513"/>
      <c r="W212" s="513"/>
      <c r="X212" s="513"/>
      <c r="Y212" s="513"/>
      <c r="Z212" s="513"/>
    </row>
    <row r="213" spans="4:26" ht="16.5" customHeight="1" x14ac:dyDescent="0.2">
      <c r="D213" s="513"/>
      <c r="E213" s="513"/>
      <c r="F213" s="513"/>
      <c r="G213" s="513"/>
      <c r="H213" s="513"/>
      <c r="I213" s="513"/>
      <c r="J213" s="513"/>
      <c r="K213" s="513"/>
      <c r="L213" s="513"/>
      <c r="M213" s="513"/>
      <c r="N213" s="513"/>
      <c r="O213" s="513"/>
      <c r="P213" s="513"/>
      <c r="Q213" s="513"/>
      <c r="R213" s="513"/>
      <c r="S213" s="513"/>
      <c r="T213" s="513"/>
      <c r="U213" s="513"/>
      <c r="V213" s="513"/>
      <c r="W213" s="513"/>
      <c r="X213" s="513"/>
      <c r="Y213" s="513"/>
      <c r="Z213" s="513"/>
    </row>
    <row r="214" spans="4:26" ht="16.5" customHeight="1" x14ac:dyDescent="0.2">
      <c r="D214" s="513"/>
      <c r="E214" s="513"/>
      <c r="F214" s="513"/>
      <c r="G214" s="513"/>
      <c r="H214" s="513"/>
      <c r="I214" s="513"/>
      <c r="J214" s="513"/>
      <c r="K214" s="513"/>
      <c r="L214" s="513"/>
      <c r="M214" s="513"/>
      <c r="N214" s="513"/>
      <c r="O214" s="513"/>
      <c r="P214" s="513"/>
      <c r="Q214" s="513"/>
      <c r="R214" s="513"/>
      <c r="S214" s="513"/>
      <c r="T214" s="513"/>
      <c r="U214" s="513"/>
      <c r="V214" s="513"/>
      <c r="W214" s="513"/>
      <c r="X214" s="513"/>
      <c r="Y214" s="513"/>
      <c r="Z214" s="513"/>
    </row>
    <row r="215" spans="4:26" ht="16.5" customHeight="1" x14ac:dyDescent="0.2">
      <c r="D215" s="513"/>
      <c r="E215" s="513"/>
      <c r="F215" s="513"/>
      <c r="G215" s="513"/>
      <c r="H215" s="513"/>
      <c r="I215" s="513"/>
      <c r="J215" s="513"/>
      <c r="K215" s="513"/>
      <c r="L215" s="513"/>
      <c r="M215" s="513"/>
      <c r="N215" s="513"/>
      <c r="O215" s="513"/>
      <c r="P215" s="513"/>
      <c r="Q215" s="513"/>
      <c r="R215" s="513"/>
      <c r="S215" s="513"/>
      <c r="T215" s="513"/>
      <c r="U215" s="513"/>
      <c r="V215" s="513"/>
      <c r="W215" s="513"/>
      <c r="X215" s="513"/>
      <c r="Y215" s="513"/>
      <c r="Z215" s="513"/>
    </row>
    <row r="216" spans="4:26" ht="16.5" customHeight="1" x14ac:dyDescent="0.2">
      <c r="D216" s="513"/>
      <c r="E216" s="513"/>
      <c r="F216" s="513"/>
      <c r="G216" s="513"/>
      <c r="H216" s="513"/>
      <c r="I216" s="513"/>
      <c r="J216" s="513"/>
      <c r="K216" s="513"/>
      <c r="L216" s="513"/>
      <c r="M216" s="513"/>
      <c r="N216" s="513"/>
      <c r="O216" s="513"/>
      <c r="P216" s="513"/>
      <c r="Q216" s="513"/>
      <c r="R216" s="513"/>
      <c r="S216" s="513"/>
      <c r="T216" s="513"/>
      <c r="U216" s="513"/>
      <c r="V216" s="513"/>
      <c r="W216" s="513"/>
      <c r="X216" s="513"/>
      <c r="Y216" s="513"/>
      <c r="Z216" s="513"/>
    </row>
    <row r="217" spans="4:26" ht="16.5" customHeight="1" x14ac:dyDescent="0.2">
      <c r="D217" s="513"/>
      <c r="E217" s="513"/>
      <c r="F217" s="513"/>
      <c r="G217" s="513"/>
      <c r="H217" s="513"/>
      <c r="I217" s="513"/>
      <c r="J217" s="513"/>
      <c r="K217" s="513"/>
      <c r="L217" s="513"/>
      <c r="M217" s="513"/>
      <c r="N217" s="513"/>
      <c r="O217" s="513"/>
      <c r="P217" s="513"/>
      <c r="Q217" s="513"/>
      <c r="R217" s="513"/>
      <c r="S217" s="513"/>
      <c r="T217" s="513"/>
      <c r="U217" s="513"/>
      <c r="V217" s="513"/>
      <c r="W217" s="513"/>
      <c r="X217" s="513"/>
      <c r="Y217" s="513"/>
      <c r="Z217" s="513"/>
    </row>
    <row r="218" spans="4:26" ht="16.5" customHeight="1" x14ac:dyDescent="0.2">
      <c r="D218" s="513"/>
      <c r="E218" s="513"/>
      <c r="F218" s="513"/>
      <c r="G218" s="513"/>
      <c r="H218" s="513"/>
      <c r="I218" s="513"/>
      <c r="J218" s="513"/>
      <c r="K218" s="513"/>
      <c r="L218" s="513"/>
      <c r="M218" s="513"/>
      <c r="N218" s="513"/>
      <c r="O218" s="513"/>
      <c r="P218" s="513"/>
      <c r="Q218" s="513"/>
      <c r="R218" s="513"/>
      <c r="S218" s="513"/>
      <c r="T218" s="513"/>
      <c r="U218" s="513"/>
      <c r="V218" s="513"/>
      <c r="W218" s="513"/>
      <c r="X218" s="513"/>
      <c r="Y218" s="513"/>
      <c r="Z218" s="513"/>
    </row>
    <row r="219" spans="4:26" ht="16.5" customHeight="1" x14ac:dyDescent="0.2">
      <c r="D219" s="513"/>
      <c r="E219" s="513"/>
      <c r="F219" s="513"/>
      <c r="G219" s="513"/>
      <c r="H219" s="513"/>
      <c r="I219" s="513"/>
      <c r="J219" s="513"/>
      <c r="K219" s="513"/>
      <c r="L219" s="513"/>
      <c r="M219" s="513"/>
      <c r="N219" s="513"/>
      <c r="O219" s="513"/>
      <c r="P219" s="513"/>
      <c r="Q219" s="513"/>
      <c r="R219" s="513"/>
      <c r="S219" s="513"/>
      <c r="T219" s="513"/>
      <c r="U219" s="513"/>
      <c r="V219" s="513"/>
      <c r="W219" s="513"/>
      <c r="X219" s="513"/>
      <c r="Y219" s="513"/>
      <c r="Z219" s="513"/>
    </row>
    <row r="220" spans="4:26" ht="16.5" customHeight="1" x14ac:dyDescent="0.2">
      <c r="D220" s="51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</row>
    <row r="221" spans="4:26" ht="16.5" customHeight="1" x14ac:dyDescent="0.2">
      <c r="D221" s="513"/>
      <c r="E221" s="513"/>
      <c r="F221" s="513"/>
      <c r="G221" s="513"/>
      <c r="H221" s="513"/>
      <c r="I221" s="513"/>
      <c r="J221" s="513"/>
      <c r="K221" s="513"/>
      <c r="L221" s="513"/>
      <c r="M221" s="513"/>
      <c r="N221" s="513"/>
      <c r="O221" s="513"/>
      <c r="P221" s="513"/>
      <c r="Q221" s="513"/>
      <c r="R221" s="513"/>
      <c r="S221" s="513"/>
      <c r="T221" s="513"/>
      <c r="U221" s="513"/>
      <c r="V221" s="513"/>
      <c r="W221" s="513"/>
      <c r="X221" s="513"/>
      <c r="Y221" s="513"/>
      <c r="Z221" s="513"/>
    </row>
    <row r="222" spans="4:26" ht="16.5" customHeight="1" x14ac:dyDescent="0.2">
      <c r="D222" s="513"/>
      <c r="E222" s="513"/>
      <c r="F222" s="513"/>
      <c r="G222" s="513"/>
      <c r="H222" s="513"/>
      <c r="I222" s="513"/>
      <c r="J222" s="513"/>
      <c r="K222" s="513"/>
      <c r="L222" s="513"/>
      <c r="M222" s="513"/>
      <c r="N222" s="513"/>
      <c r="O222" s="513"/>
      <c r="P222" s="513"/>
      <c r="Q222" s="513"/>
      <c r="R222" s="513"/>
      <c r="S222" s="513"/>
      <c r="T222" s="513"/>
      <c r="U222" s="513"/>
      <c r="V222" s="513"/>
      <c r="W222" s="513"/>
      <c r="X222" s="513"/>
      <c r="Y222" s="513"/>
      <c r="Z222" s="513"/>
    </row>
    <row r="223" spans="4:26" ht="16.5" customHeight="1" x14ac:dyDescent="0.2">
      <c r="D223" s="513"/>
      <c r="E223" s="513"/>
      <c r="F223" s="513"/>
      <c r="G223" s="513"/>
      <c r="H223" s="513"/>
      <c r="I223" s="513"/>
      <c r="J223" s="513"/>
      <c r="K223" s="513"/>
      <c r="L223" s="513"/>
      <c r="M223" s="513"/>
      <c r="N223" s="513"/>
      <c r="O223" s="513"/>
      <c r="P223" s="513"/>
      <c r="Q223" s="513"/>
      <c r="R223" s="513"/>
      <c r="S223" s="513"/>
      <c r="T223" s="513"/>
      <c r="U223" s="513"/>
      <c r="V223" s="513"/>
      <c r="W223" s="513"/>
      <c r="X223" s="513"/>
      <c r="Y223" s="513"/>
      <c r="Z223" s="513"/>
    </row>
    <row r="224" spans="4:26" ht="16.5" customHeight="1" x14ac:dyDescent="0.2">
      <c r="D224" s="513"/>
      <c r="E224" s="513"/>
      <c r="F224" s="513"/>
      <c r="G224" s="513"/>
      <c r="H224" s="513"/>
      <c r="I224" s="513"/>
      <c r="J224" s="513"/>
      <c r="K224" s="513"/>
      <c r="L224" s="513"/>
      <c r="M224" s="513"/>
      <c r="N224" s="513"/>
      <c r="O224" s="513"/>
      <c r="P224" s="513"/>
      <c r="Q224" s="513"/>
      <c r="R224" s="513"/>
      <c r="S224" s="513"/>
      <c r="T224" s="513"/>
      <c r="U224" s="513"/>
      <c r="V224" s="513"/>
      <c r="W224" s="513"/>
      <c r="X224" s="513"/>
      <c r="Y224" s="513"/>
      <c r="Z224" s="513"/>
    </row>
    <row r="225" spans="4:26" ht="16.5" customHeight="1" x14ac:dyDescent="0.2">
      <c r="D225" s="513"/>
      <c r="E225" s="513"/>
      <c r="F225" s="513"/>
      <c r="G225" s="513"/>
      <c r="H225" s="513"/>
      <c r="I225" s="513"/>
      <c r="J225" s="513"/>
      <c r="K225" s="513"/>
      <c r="L225" s="513"/>
      <c r="M225" s="513"/>
      <c r="N225" s="513"/>
      <c r="O225" s="513"/>
      <c r="P225" s="513"/>
      <c r="Q225" s="513"/>
      <c r="R225" s="513"/>
      <c r="S225" s="513"/>
      <c r="T225" s="513"/>
      <c r="U225" s="513"/>
      <c r="V225" s="513"/>
      <c r="W225" s="513"/>
      <c r="X225" s="513"/>
      <c r="Y225" s="513"/>
      <c r="Z225" s="513"/>
    </row>
    <row r="226" spans="4:26" ht="16.5" customHeight="1" x14ac:dyDescent="0.2">
      <c r="D226" s="513"/>
      <c r="E226" s="513"/>
      <c r="F226" s="513"/>
      <c r="G226" s="513"/>
      <c r="H226" s="513"/>
      <c r="I226" s="513"/>
      <c r="J226" s="513"/>
      <c r="K226" s="513"/>
      <c r="L226" s="513"/>
      <c r="M226" s="513"/>
      <c r="N226" s="513"/>
      <c r="O226" s="513"/>
      <c r="P226" s="513"/>
      <c r="Q226" s="513"/>
      <c r="R226" s="513"/>
      <c r="S226" s="513"/>
      <c r="T226" s="513"/>
      <c r="U226" s="513"/>
      <c r="V226" s="513"/>
      <c r="W226" s="513"/>
      <c r="X226" s="513"/>
      <c r="Y226" s="513"/>
      <c r="Z226" s="513"/>
    </row>
    <row r="227" spans="4:26" ht="16.5" customHeight="1" x14ac:dyDescent="0.2">
      <c r="D227" s="513"/>
      <c r="E227" s="513"/>
      <c r="F227" s="513"/>
      <c r="G227" s="513"/>
      <c r="H227" s="513"/>
      <c r="I227" s="513"/>
      <c r="J227" s="513"/>
      <c r="K227" s="513"/>
      <c r="L227" s="513"/>
      <c r="M227" s="513"/>
      <c r="N227" s="513"/>
      <c r="O227" s="513"/>
      <c r="P227" s="513"/>
      <c r="Q227" s="513"/>
      <c r="R227" s="513"/>
      <c r="S227" s="513"/>
      <c r="T227" s="513"/>
      <c r="U227" s="513"/>
      <c r="V227" s="513"/>
      <c r="W227" s="513"/>
      <c r="X227" s="513"/>
      <c r="Y227" s="513"/>
      <c r="Z227" s="513"/>
    </row>
    <row r="228" spans="4:26" ht="16.5" customHeight="1" x14ac:dyDescent="0.2">
      <c r="D228" s="513"/>
      <c r="E228" s="513"/>
      <c r="F228" s="513"/>
      <c r="G228" s="513"/>
      <c r="H228" s="513"/>
      <c r="I228" s="513"/>
      <c r="J228" s="513"/>
      <c r="K228" s="513"/>
      <c r="L228" s="513"/>
      <c r="M228" s="513"/>
      <c r="N228" s="513"/>
      <c r="O228" s="513"/>
      <c r="P228" s="513"/>
      <c r="Q228" s="513"/>
      <c r="R228" s="513"/>
      <c r="S228" s="513"/>
      <c r="T228" s="513"/>
      <c r="U228" s="513"/>
      <c r="V228" s="513"/>
      <c r="W228" s="513"/>
      <c r="X228" s="513"/>
      <c r="Y228" s="513"/>
      <c r="Z228" s="513"/>
    </row>
    <row r="229" spans="4:26" ht="16.5" customHeight="1" x14ac:dyDescent="0.2">
      <c r="D229" s="513"/>
      <c r="E229" s="513"/>
      <c r="F229" s="513"/>
      <c r="G229" s="513"/>
      <c r="H229" s="513"/>
      <c r="I229" s="513"/>
      <c r="J229" s="513"/>
      <c r="K229" s="513"/>
      <c r="L229" s="513"/>
      <c r="M229" s="513"/>
      <c r="N229" s="513"/>
      <c r="O229" s="513"/>
      <c r="P229" s="513"/>
      <c r="Q229" s="513"/>
      <c r="R229" s="513"/>
      <c r="S229" s="513"/>
      <c r="T229" s="513"/>
      <c r="U229" s="513"/>
      <c r="V229" s="513"/>
      <c r="W229" s="513"/>
      <c r="X229" s="513"/>
      <c r="Y229" s="513"/>
      <c r="Z229" s="513"/>
    </row>
    <row r="230" spans="4:26" ht="16.5" customHeight="1" x14ac:dyDescent="0.2">
      <c r="D230" s="513"/>
      <c r="E230" s="513"/>
      <c r="F230" s="513"/>
      <c r="G230" s="513"/>
      <c r="H230" s="513"/>
      <c r="I230" s="513"/>
      <c r="J230" s="513"/>
      <c r="K230" s="513"/>
      <c r="L230" s="513"/>
      <c r="M230" s="513"/>
      <c r="N230" s="513"/>
      <c r="O230" s="513"/>
      <c r="P230" s="513"/>
      <c r="Q230" s="513"/>
      <c r="R230" s="513"/>
      <c r="S230" s="513"/>
      <c r="T230" s="513"/>
      <c r="U230" s="513"/>
      <c r="V230" s="513"/>
      <c r="W230" s="513"/>
      <c r="X230" s="513"/>
      <c r="Y230" s="513"/>
      <c r="Z230" s="513"/>
    </row>
    <row r="231" spans="4:26" ht="16.5" customHeight="1" x14ac:dyDescent="0.2">
      <c r="D231" s="513"/>
      <c r="E231" s="513"/>
      <c r="F231" s="513"/>
      <c r="G231" s="513"/>
      <c r="H231" s="513"/>
      <c r="I231" s="513"/>
      <c r="J231" s="513"/>
      <c r="K231" s="513"/>
      <c r="L231" s="513"/>
      <c r="M231" s="513"/>
      <c r="N231" s="513"/>
      <c r="O231" s="513"/>
      <c r="P231" s="513"/>
      <c r="Q231" s="513"/>
      <c r="R231" s="513"/>
      <c r="S231" s="513"/>
      <c r="T231" s="513"/>
      <c r="U231" s="513"/>
      <c r="V231" s="513"/>
      <c r="W231" s="513"/>
      <c r="X231" s="513"/>
      <c r="Y231" s="513"/>
      <c r="Z231" s="513"/>
    </row>
    <row r="232" spans="4:26" ht="16.5" customHeight="1" x14ac:dyDescent="0.2">
      <c r="D232" s="513"/>
      <c r="E232" s="513"/>
      <c r="F232" s="513"/>
      <c r="G232" s="513"/>
      <c r="H232" s="513"/>
      <c r="I232" s="513"/>
      <c r="J232" s="513"/>
      <c r="K232" s="513"/>
      <c r="L232" s="513"/>
      <c r="M232" s="513"/>
      <c r="N232" s="513"/>
      <c r="O232" s="513"/>
      <c r="P232" s="513"/>
      <c r="Q232" s="513"/>
      <c r="R232" s="513"/>
      <c r="S232" s="513"/>
      <c r="T232" s="513"/>
      <c r="U232" s="513"/>
      <c r="V232" s="513"/>
      <c r="W232" s="513"/>
      <c r="X232" s="513"/>
      <c r="Y232" s="513"/>
      <c r="Z232" s="513"/>
    </row>
    <row r="233" spans="4:26" ht="16.5" customHeight="1" x14ac:dyDescent="0.2">
      <c r="D233" s="513"/>
      <c r="E233" s="513"/>
      <c r="F233" s="513"/>
      <c r="G233" s="513"/>
      <c r="H233" s="513"/>
      <c r="I233" s="513"/>
      <c r="J233" s="513"/>
      <c r="K233" s="513"/>
      <c r="L233" s="513"/>
      <c r="M233" s="513"/>
      <c r="N233" s="513"/>
      <c r="O233" s="513"/>
      <c r="P233" s="513"/>
      <c r="Q233" s="513"/>
      <c r="R233" s="513"/>
      <c r="S233" s="513"/>
      <c r="T233" s="513"/>
      <c r="U233" s="513"/>
      <c r="V233" s="513"/>
      <c r="W233" s="513"/>
      <c r="X233" s="513"/>
      <c r="Y233" s="513"/>
      <c r="Z233" s="513"/>
    </row>
    <row r="234" spans="4:26" ht="16.5" customHeight="1" x14ac:dyDescent="0.2">
      <c r="D234" s="513"/>
      <c r="E234" s="513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</row>
    <row r="235" spans="4:26" ht="16.5" customHeight="1" x14ac:dyDescent="0.2">
      <c r="D235" s="513"/>
      <c r="E235" s="513"/>
      <c r="F235" s="513"/>
      <c r="G235" s="513"/>
      <c r="H235" s="513"/>
      <c r="I235" s="513"/>
      <c r="J235" s="513"/>
      <c r="K235" s="513"/>
      <c r="L235" s="513"/>
      <c r="M235" s="513"/>
      <c r="N235" s="513"/>
      <c r="O235" s="513"/>
      <c r="P235" s="513"/>
      <c r="Q235" s="513"/>
      <c r="R235" s="513"/>
      <c r="S235" s="513"/>
      <c r="T235" s="513"/>
      <c r="U235" s="513"/>
      <c r="V235" s="513"/>
      <c r="W235" s="513"/>
      <c r="X235" s="513"/>
      <c r="Y235" s="513"/>
      <c r="Z235" s="513"/>
    </row>
    <row r="236" spans="4:26" ht="16.5" customHeight="1" x14ac:dyDescent="0.2">
      <c r="D236" s="513"/>
      <c r="E236" s="513"/>
      <c r="F236" s="513"/>
      <c r="G236" s="513"/>
      <c r="H236" s="513"/>
      <c r="I236" s="513"/>
      <c r="J236" s="513"/>
      <c r="K236" s="513"/>
      <c r="L236" s="513"/>
      <c r="M236" s="513"/>
      <c r="N236" s="513"/>
      <c r="O236" s="513"/>
      <c r="P236" s="513"/>
      <c r="Q236" s="513"/>
      <c r="R236" s="513"/>
      <c r="S236" s="513"/>
      <c r="T236" s="513"/>
      <c r="U236" s="513"/>
      <c r="V236" s="513"/>
      <c r="W236" s="513"/>
      <c r="X236" s="513"/>
      <c r="Y236" s="513"/>
      <c r="Z236" s="513"/>
    </row>
    <row r="237" spans="4:26" ht="16.5" customHeight="1" x14ac:dyDescent="0.2">
      <c r="D237" s="513"/>
      <c r="E237" s="513"/>
      <c r="F237" s="513"/>
      <c r="G237" s="513"/>
      <c r="H237" s="513"/>
      <c r="I237" s="513"/>
      <c r="J237" s="513"/>
      <c r="K237" s="513"/>
      <c r="L237" s="513"/>
      <c r="M237" s="513"/>
      <c r="N237" s="513"/>
      <c r="O237" s="513"/>
      <c r="P237" s="513"/>
      <c r="Q237" s="513"/>
      <c r="R237" s="513"/>
      <c r="S237" s="513"/>
      <c r="T237" s="513"/>
      <c r="U237" s="513"/>
      <c r="V237" s="513"/>
      <c r="W237" s="513"/>
      <c r="X237" s="513"/>
      <c r="Y237" s="513"/>
      <c r="Z237" s="513"/>
    </row>
    <row r="238" spans="4:26" ht="16.5" customHeight="1" x14ac:dyDescent="0.2">
      <c r="D238" s="513"/>
      <c r="E238" s="513"/>
      <c r="F238" s="513"/>
      <c r="G238" s="513"/>
      <c r="H238" s="513"/>
      <c r="I238" s="513"/>
      <c r="J238" s="513"/>
      <c r="K238" s="513"/>
      <c r="L238" s="513"/>
      <c r="M238" s="513"/>
      <c r="N238" s="513"/>
      <c r="O238" s="513"/>
      <c r="P238" s="513"/>
      <c r="Q238" s="513"/>
      <c r="R238" s="513"/>
      <c r="S238" s="513"/>
      <c r="T238" s="513"/>
      <c r="U238" s="513"/>
      <c r="V238" s="513"/>
      <c r="W238" s="513"/>
      <c r="X238" s="513"/>
      <c r="Y238" s="513"/>
      <c r="Z238" s="513"/>
    </row>
    <row r="239" spans="4:26" ht="16.5" customHeight="1" x14ac:dyDescent="0.2">
      <c r="D239" s="513"/>
      <c r="E239" s="513"/>
      <c r="F239" s="513"/>
      <c r="G239" s="513"/>
      <c r="H239" s="513"/>
      <c r="I239" s="513"/>
      <c r="J239" s="513"/>
      <c r="K239" s="513"/>
      <c r="L239" s="513"/>
      <c r="M239" s="513"/>
      <c r="N239" s="513"/>
      <c r="O239" s="513"/>
      <c r="P239" s="513"/>
      <c r="Q239" s="513"/>
      <c r="R239" s="513"/>
      <c r="S239" s="513"/>
      <c r="T239" s="513"/>
      <c r="U239" s="513"/>
      <c r="V239" s="513"/>
      <c r="W239" s="513"/>
      <c r="X239" s="513"/>
      <c r="Y239" s="513"/>
      <c r="Z239" s="513"/>
    </row>
    <row r="240" spans="4:26" ht="16.5" customHeight="1" x14ac:dyDescent="0.2">
      <c r="D240" s="513"/>
      <c r="E240" s="513"/>
      <c r="F240" s="513"/>
      <c r="G240" s="513"/>
      <c r="H240" s="513"/>
      <c r="I240" s="513"/>
      <c r="J240" s="513"/>
      <c r="K240" s="513"/>
      <c r="L240" s="513"/>
      <c r="M240" s="513"/>
      <c r="N240" s="513"/>
      <c r="O240" s="513"/>
      <c r="P240" s="513"/>
      <c r="Q240" s="513"/>
      <c r="R240" s="513"/>
      <c r="S240" s="513"/>
      <c r="T240" s="513"/>
      <c r="U240" s="513"/>
      <c r="V240" s="513"/>
      <c r="W240" s="513"/>
      <c r="X240" s="513"/>
      <c r="Y240" s="513"/>
      <c r="Z240" s="513"/>
    </row>
    <row r="241" spans="4:26" ht="16.5" customHeight="1" x14ac:dyDescent="0.2">
      <c r="D241" s="513"/>
      <c r="E241" s="513"/>
      <c r="F241" s="513"/>
      <c r="G241" s="513"/>
      <c r="H241" s="513"/>
      <c r="I241" s="513"/>
      <c r="J241" s="513"/>
      <c r="K241" s="513"/>
      <c r="L241" s="513"/>
      <c r="M241" s="513"/>
      <c r="N241" s="513"/>
      <c r="O241" s="513"/>
      <c r="P241" s="513"/>
      <c r="Q241" s="513"/>
      <c r="R241" s="513"/>
      <c r="S241" s="513"/>
      <c r="T241" s="513"/>
      <c r="U241" s="513"/>
      <c r="V241" s="513"/>
      <c r="W241" s="513"/>
      <c r="X241" s="513"/>
      <c r="Y241" s="513"/>
      <c r="Z241" s="513"/>
    </row>
    <row r="242" spans="4:26" ht="16.5" customHeight="1" x14ac:dyDescent="0.2">
      <c r="D242" s="513"/>
      <c r="E242" s="513"/>
      <c r="F242" s="513"/>
      <c r="G242" s="513"/>
      <c r="H242" s="513"/>
      <c r="I242" s="513"/>
      <c r="J242" s="513"/>
      <c r="K242" s="513"/>
      <c r="L242" s="513"/>
      <c r="M242" s="513"/>
      <c r="N242" s="513"/>
      <c r="O242" s="513"/>
      <c r="P242" s="513"/>
      <c r="Q242" s="513"/>
      <c r="R242" s="513"/>
      <c r="S242" s="513"/>
      <c r="T242" s="513"/>
      <c r="U242" s="513"/>
      <c r="V242" s="513"/>
      <c r="W242" s="513"/>
      <c r="X242" s="513"/>
      <c r="Y242" s="513"/>
      <c r="Z242" s="513"/>
    </row>
    <row r="243" spans="4:26" ht="16.5" customHeight="1" x14ac:dyDescent="0.2"/>
    <row r="244" spans="4:26" ht="16.5" customHeight="1" x14ac:dyDescent="0.2"/>
    <row r="245" spans="4:26" ht="16.5" customHeight="1" x14ac:dyDescent="0.2"/>
    <row r="246" spans="4:26" ht="16.5" customHeight="1" x14ac:dyDescent="0.2"/>
    <row r="247" spans="4:26" ht="16.5" customHeight="1" x14ac:dyDescent="0.2"/>
    <row r="248" spans="4:26" ht="16.5" customHeight="1" x14ac:dyDescent="0.2"/>
    <row r="249" spans="4:26" ht="16.5" customHeight="1" x14ac:dyDescent="0.2"/>
    <row r="250" spans="4:26" ht="16.5" customHeight="1" x14ac:dyDescent="0.2"/>
    <row r="251" spans="4:26" ht="16.5" customHeight="1" x14ac:dyDescent="0.2"/>
    <row r="252" spans="4:26" ht="16.5" customHeight="1" x14ac:dyDescent="0.2"/>
    <row r="253" spans="4:26" ht="16.5" customHeight="1" x14ac:dyDescent="0.2"/>
    <row r="254" spans="4:26" ht="16.5" customHeight="1" x14ac:dyDescent="0.2"/>
    <row r="255" spans="4:26" ht="16.5" customHeight="1" x14ac:dyDescent="0.2"/>
    <row r="256" spans="4:2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</sheetData>
  <mergeCells count="6">
    <mergeCell ref="E132:Z132"/>
    <mergeCell ref="E7:Z7"/>
    <mergeCell ref="E32:Z32"/>
    <mergeCell ref="E57:Z57"/>
    <mergeCell ref="E82:Z82"/>
    <mergeCell ref="E107:Z10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0"/>
  </sheetPr>
  <dimension ref="B1:H36"/>
  <sheetViews>
    <sheetView showGridLines="0" workbookViewId="0">
      <selection activeCell="E24" sqref="E24"/>
    </sheetView>
  </sheetViews>
  <sheetFormatPr defaultRowHeight="12.75" x14ac:dyDescent="0.2"/>
  <cols>
    <col min="1" max="1" width="1.7109375" style="29" customWidth="1"/>
    <col min="2" max="2" width="13.28515625" style="29" customWidth="1"/>
    <col min="3" max="3" width="9.7109375" style="29" bestFit="1" customWidth="1"/>
    <col min="4" max="4" width="21.5703125" style="29" bestFit="1" customWidth="1"/>
    <col min="5" max="5" width="88.28515625" style="29" customWidth="1"/>
    <col min="6" max="6" width="14.7109375" style="29" bestFit="1" customWidth="1"/>
    <col min="7" max="7" width="12.140625" style="29" bestFit="1" customWidth="1"/>
    <col min="8" max="16384" width="9.140625" style="29"/>
  </cols>
  <sheetData>
    <row r="1" spans="2:8" ht="25.5" x14ac:dyDescent="0.35">
      <c r="B1" s="27" t="s">
        <v>43</v>
      </c>
      <c r="C1" s="28"/>
      <c r="D1" s="28"/>
      <c r="E1" s="28"/>
      <c r="F1" s="28"/>
      <c r="G1" s="28"/>
      <c r="H1" s="28"/>
    </row>
    <row r="2" spans="2:8" ht="25.5" x14ac:dyDescent="0.35">
      <c r="B2" s="27" t="str">
        <f>'User Input'!C357</f>
        <v>Version 1.3</v>
      </c>
      <c r="C2" s="28"/>
      <c r="D2" s="28"/>
      <c r="E2" s="44"/>
      <c r="F2" s="28"/>
      <c r="G2" s="28"/>
      <c r="H2" s="28"/>
    </row>
    <row r="3" spans="2:8" ht="26.25" thickBot="1" x14ac:dyDescent="0.4">
      <c r="B3" s="27" t="s">
        <v>88</v>
      </c>
      <c r="C3" s="28"/>
      <c r="D3" s="28"/>
      <c r="E3" s="432">
        <f>C14</f>
        <v>41956</v>
      </c>
      <c r="F3" s="28"/>
      <c r="G3" s="28"/>
      <c r="H3" s="28"/>
    </row>
    <row r="4" spans="2:8" ht="26.25" thickBot="1" x14ac:dyDescent="0.4">
      <c r="B4" s="30"/>
      <c r="C4" s="28"/>
      <c r="D4" s="31"/>
      <c r="E4" s="32" t="s">
        <v>44</v>
      </c>
      <c r="F4" s="33"/>
      <c r="G4" s="34"/>
      <c r="H4" s="28"/>
    </row>
    <row r="5" spans="2:8" ht="15" x14ac:dyDescent="0.2">
      <c r="B5" s="28"/>
      <c r="C5" s="35"/>
      <c r="D5" s="31"/>
      <c r="E5" s="28"/>
      <c r="F5" s="28"/>
      <c r="G5" s="28"/>
      <c r="H5" s="28"/>
    </row>
    <row r="6" spans="2:8" ht="15" x14ac:dyDescent="0.2">
      <c r="B6" s="28"/>
      <c r="C6" s="28"/>
      <c r="D6" s="28"/>
      <c r="E6" s="28"/>
      <c r="F6" s="28"/>
      <c r="G6" s="28"/>
      <c r="H6" s="28"/>
    </row>
    <row r="7" spans="2:8" ht="18" x14ac:dyDescent="0.25">
      <c r="B7" s="36" t="s">
        <v>37</v>
      </c>
      <c r="C7" s="28"/>
      <c r="D7" s="28"/>
      <c r="E7" s="28"/>
      <c r="F7" s="28"/>
      <c r="G7" s="28"/>
      <c r="H7" s="28"/>
    </row>
    <row r="8" spans="2:8" ht="15" x14ac:dyDescent="0.2">
      <c r="B8" s="28"/>
      <c r="C8" s="28"/>
      <c r="D8" s="28"/>
      <c r="E8" s="28"/>
      <c r="F8" s="28"/>
      <c r="G8" s="28"/>
      <c r="H8" s="28"/>
    </row>
    <row r="9" spans="2:8" ht="18" x14ac:dyDescent="0.25">
      <c r="B9" s="91" t="s">
        <v>45</v>
      </c>
      <c r="C9" s="92" t="s">
        <v>38</v>
      </c>
      <c r="D9" s="92" t="s">
        <v>39</v>
      </c>
      <c r="E9" s="93" t="s">
        <v>13</v>
      </c>
      <c r="F9" s="93" t="s">
        <v>40</v>
      </c>
      <c r="G9" s="94"/>
      <c r="H9" s="92" t="s">
        <v>41</v>
      </c>
    </row>
    <row r="10" spans="2:8" ht="15" x14ac:dyDescent="0.2">
      <c r="B10" s="87"/>
      <c r="C10" s="87"/>
      <c r="D10" s="87"/>
      <c r="E10" s="88" t="s">
        <v>42</v>
      </c>
      <c r="F10" s="89"/>
      <c r="G10" s="90"/>
      <c r="H10" s="87"/>
    </row>
    <row r="11" spans="2:8" x14ac:dyDescent="0.2">
      <c r="B11" s="431" t="s">
        <v>245</v>
      </c>
      <c r="C11" s="37">
        <v>41275</v>
      </c>
      <c r="D11" s="38" t="s">
        <v>247</v>
      </c>
      <c r="E11" s="48" t="s">
        <v>248</v>
      </c>
      <c r="F11" s="46" t="s">
        <v>249</v>
      </c>
      <c r="G11" s="47"/>
      <c r="H11" s="45"/>
    </row>
    <row r="12" spans="2:8" x14ac:dyDescent="0.2">
      <c r="B12" s="430">
        <v>1.1000000000000001</v>
      </c>
      <c r="C12" s="37">
        <v>41603</v>
      </c>
      <c r="D12" s="38"/>
      <c r="E12" s="49" t="s">
        <v>256</v>
      </c>
      <c r="F12" s="46" t="s">
        <v>257</v>
      </c>
      <c r="G12" s="47"/>
      <c r="H12" s="38"/>
    </row>
    <row r="13" spans="2:8" x14ac:dyDescent="0.2">
      <c r="B13" s="430">
        <v>1.2</v>
      </c>
      <c r="C13" s="37">
        <v>41618</v>
      </c>
      <c r="D13" s="41"/>
      <c r="E13" s="49" t="s">
        <v>272</v>
      </c>
      <c r="F13" s="46" t="s">
        <v>273</v>
      </c>
      <c r="G13" s="47"/>
      <c r="H13" s="38"/>
    </row>
    <row r="14" spans="2:8" x14ac:dyDescent="0.2">
      <c r="B14" s="430">
        <v>1.3</v>
      </c>
      <c r="C14" s="37">
        <v>41956</v>
      </c>
      <c r="D14" s="41"/>
      <c r="E14" s="49" t="s">
        <v>256</v>
      </c>
      <c r="F14" s="46" t="s">
        <v>249</v>
      </c>
      <c r="G14" s="47"/>
      <c r="H14" s="38"/>
    </row>
    <row r="15" spans="2:8" x14ac:dyDescent="0.2">
      <c r="B15" s="430"/>
      <c r="C15" s="37"/>
      <c r="D15" s="38"/>
      <c r="E15" s="39" t="s">
        <v>290</v>
      </c>
      <c r="F15" s="46" t="s">
        <v>249</v>
      </c>
      <c r="G15" s="47"/>
      <c r="H15" s="38"/>
    </row>
    <row r="16" spans="2:8" x14ac:dyDescent="0.2">
      <c r="B16" s="430"/>
      <c r="C16" s="42"/>
      <c r="D16" s="43"/>
      <c r="E16" s="39" t="s">
        <v>291</v>
      </c>
      <c r="F16" s="46" t="s">
        <v>249</v>
      </c>
      <c r="G16" s="40"/>
      <c r="H16" s="50" t="s">
        <v>46</v>
      </c>
    </row>
    <row r="17" spans="2:8" x14ac:dyDescent="0.2">
      <c r="B17" s="430"/>
      <c r="C17" s="37"/>
      <c r="E17" s="39" t="s">
        <v>294</v>
      </c>
      <c r="F17" s="46" t="s">
        <v>249</v>
      </c>
      <c r="G17" s="40"/>
      <c r="H17" s="50"/>
    </row>
    <row r="18" spans="2:8" x14ac:dyDescent="0.2">
      <c r="B18" s="430"/>
      <c r="D18" s="43"/>
      <c r="E18" s="39" t="s">
        <v>299</v>
      </c>
      <c r="F18" s="46" t="s">
        <v>249</v>
      </c>
      <c r="G18" s="40"/>
      <c r="H18" s="50"/>
    </row>
    <row r="19" spans="2:8" x14ac:dyDescent="0.2">
      <c r="B19" s="430"/>
      <c r="D19" s="43"/>
      <c r="E19" s="39" t="s">
        <v>300</v>
      </c>
      <c r="F19" s="46" t="s">
        <v>249</v>
      </c>
      <c r="G19" s="40"/>
      <c r="H19" s="50"/>
    </row>
    <row r="20" spans="2:8" x14ac:dyDescent="0.2">
      <c r="B20" s="430"/>
      <c r="D20" s="43"/>
      <c r="E20" s="39" t="s">
        <v>306</v>
      </c>
      <c r="F20" s="46" t="s">
        <v>249</v>
      </c>
      <c r="G20" s="40"/>
      <c r="H20" s="50"/>
    </row>
    <row r="21" spans="2:8" x14ac:dyDescent="0.2">
      <c r="B21" s="430"/>
      <c r="D21" s="43"/>
      <c r="E21" s="39" t="s">
        <v>305</v>
      </c>
      <c r="F21" s="46" t="s">
        <v>249</v>
      </c>
      <c r="G21" s="40"/>
      <c r="H21" s="50"/>
    </row>
    <row r="22" spans="2:8" x14ac:dyDescent="0.2">
      <c r="B22" s="430"/>
      <c r="D22" s="43"/>
      <c r="E22" s="39" t="s">
        <v>311</v>
      </c>
      <c r="F22" s="46" t="s">
        <v>249</v>
      </c>
      <c r="G22" s="40"/>
      <c r="H22" s="50"/>
    </row>
    <row r="23" spans="2:8" x14ac:dyDescent="0.2">
      <c r="B23" s="430"/>
      <c r="D23" s="43"/>
      <c r="E23" s="39" t="s">
        <v>312</v>
      </c>
      <c r="F23" s="46" t="s">
        <v>249</v>
      </c>
      <c r="G23" s="40"/>
      <c r="H23" s="50"/>
    </row>
    <row r="24" spans="2:8" x14ac:dyDescent="0.2">
      <c r="B24" s="430"/>
      <c r="D24" s="43"/>
      <c r="E24" s="39" t="s">
        <v>324</v>
      </c>
      <c r="F24" s="46" t="s">
        <v>323</v>
      </c>
      <c r="G24" s="40"/>
      <c r="H24" s="50"/>
    </row>
    <row r="25" spans="2:8" x14ac:dyDescent="0.2">
      <c r="B25" s="430"/>
      <c r="D25" s="43"/>
      <c r="E25" s="39"/>
      <c r="F25" s="46"/>
      <c r="G25" s="40"/>
      <c r="H25" s="50"/>
    </row>
    <row r="26" spans="2:8" x14ac:dyDescent="0.2">
      <c r="B26" s="430"/>
      <c r="D26" s="43"/>
      <c r="E26" s="39"/>
      <c r="F26" s="46"/>
      <c r="G26" s="40"/>
      <c r="H26" s="50"/>
    </row>
    <row r="27" spans="2:8" x14ac:dyDescent="0.2">
      <c r="B27" s="430"/>
      <c r="D27" s="43"/>
      <c r="E27" s="39"/>
      <c r="F27" s="46"/>
      <c r="G27" s="40"/>
      <c r="H27" s="50"/>
    </row>
    <row r="28" spans="2:8" x14ac:dyDescent="0.2">
      <c r="B28" s="430"/>
      <c r="D28" s="43"/>
      <c r="E28" s="39"/>
      <c r="F28" s="46"/>
      <c r="G28" s="40"/>
      <c r="H28" s="50"/>
    </row>
    <row r="29" spans="2:8" x14ac:dyDescent="0.2">
      <c r="B29" s="430"/>
      <c r="C29" s="37"/>
      <c r="D29" s="43"/>
      <c r="E29" s="39"/>
      <c r="F29" s="39"/>
      <c r="G29" s="40"/>
      <c r="H29" s="50"/>
    </row>
    <row r="30" spans="2:8" x14ac:dyDescent="0.2">
      <c r="B30" s="430"/>
      <c r="D30" s="43"/>
      <c r="E30" s="39"/>
      <c r="F30" s="39"/>
      <c r="G30" s="40"/>
      <c r="H30" s="50"/>
    </row>
    <row r="31" spans="2:8" x14ac:dyDescent="0.2">
      <c r="B31" s="430"/>
      <c r="C31" s="51"/>
      <c r="D31" s="43"/>
      <c r="E31" s="39"/>
      <c r="F31" s="39"/>
      <c r="G31" s="40"/>
      <c r="H31" s="50"/>
    </row>
    <row r="32" spans="2:8" x14ac:dyDescent="0.2">
      <c r="B32" s="95"/>
      <c r="C32" s="96"/>
      <c r="D32" s="97"/>
      <c r="E32" s="98"/>
      <c r="F32" s="98"/>
      <c r="G32" s="99"/>
      <c r="H32" s="100"/>
    </row>
    <row r="34" spans="2:2" x14ac:dyDescent="0.2">
      <c r="B34" s="129" t="s">
        <v>113</v>
      </c>
    </row>
    <row r="35" spans="2:2" x14ac:dyDescent="0.2">
      <c r="B35" s="29" t="s">
        <v>236</v>
      </c>
    </row>
    <row r="36" spans="2:2" x14ac:dyDescent="0.2">
      <c r="B36" s="337" t="s">
        <v>237</v>
      </c>
    </row>
  </sheetData>
  <sheetProtection algorithmName="SHA-512" hashValue="yDOtPEPOlamE22hmprseWNo3TMPQiuWEFqeMfylqqEQA9X/5qn/tbIXxTRtnB+0uG0Vm5nXHXr6t7kYpoaw0Gw==" saltValue="83AHnNOuWPeW51JRL+PCBA==" spinCount="100000" sheet="1" objects="1" scenarios="1"/>
  <phoneticPr fontId="0" type="noConversion"/>
  <hyperlinks>
    <hyperlink ref="B36" location="Version_number" display="Go to Version number in 'User Input'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30"/>
    <pageSetUpPr fitToPage="1"/>
  </sheetPr>
  <dimension ref="A1:L98"/>
  <sheetViews>
    <sheetView workbookViewId="0">
      <selection activeCell="F24" sqref="F24:F32"/>
    </sheetView>
  </sheetViews>
  <sheetFormatPr defaultRowHeight="12.75" x14ac:dyDescent="0.2"/>
  <cols>
    <col min="1" max="1" width="3.7109375" customWidth="1"/>
    <col min="2" max="2" width="5.28515625" style="23" customWidth="1"/>
    <col min="3" max="3" width="20.85546875" customWidth="1"/>
    <col min="4" max="4" width="32.7109375" bestFit="1" customWidth="1"/>
    <col min="5" max="5" width="2.28515625" customWidth="1"/>
    <col min="6" max="6" width="13.28515625" customWidth="1"/>
    <col min="7" max="8" width="14.28515625" customWidth="1"/>
    <col min="9" max="11" width="13.42578125" customWidth="1"/>
    <col min="12" max="12" width="3.7109375" customWidth="1"/>
  </cols>
  <sheetData>
    <row r="1" spans="1:12" x14ac:dyDescent="0.2">
      <c r="A1" s="354"/>
      <c r="B1" s="408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2" x14ac:dyDescent="0.2">
      <c r="A2" s="354"/>
      <c r="B2" s="359"/>
      <c r="C2" s="355"/>
      <c r="D2" s="355"/>
      <c r="E2" s="355"/>
      <c r="F2" s="355"/>
      <c r="G2" s="355"/>
      <c r="H2" s="355"/>
      <c r="I2" s="355"/>
      <c r="J2" s="355"/>
      <c r="K2" s="355"/>
      <c r="L2" s="354"/>
    </row>
    <row r="3" spans="1:12" x14ac:dyDescent="0.2">
      <c r="A3" s="354"/>
      <c r="B3" s="359"/>
      <c r="C3" s="356"/>
      <c r="D3" s="355"/>
      <c r="E3" s="355"/>
      <c r="F3" s="355"/>
      <c r="G3" s="355"/>
      <c r="H3" s="355"/>
      <c r="I3" s="355"/>
      <c r="J3" s="355"/>
      <c r="K3" s="355"/>
      <c r="L3" s="354"/>
    </row>
    <row r="4" spans="1:12" x14ac:dyDescent="0.2">
      <c r="A4" s="354"/>
      <c r="B4" s="359"/>
      <c r="C4" s="355"/>
      <c r="D4" s="355"/>
      <c r="E4" s="355"/>
      <c r="F4" s="359" t="s">
        <v>36</v>
      </c>
      <c r="G4" s="355"/>
      <c r="H4" s="355"/>
      <c r="I4" s="355"/>
      <c r="J4" s="355"/>
      <c r="K4" s="355"/>
      <c r="L4" s="354"/>
    </row>
    <row r="5" spans="1:12" x14ac:dyDescent="0.2">
      <c r="A5" s="354"/>
      <c r="B5" s="359"/>
      <c r="C5" s="355"/>
      <c r="D5" s="355"/>
      <c r="E5" s="355"/>
      <c r="F5" s="359"/>
      <c r="G5" s="355"/>
      <c r="H5" s="355"/>
      <c r="I5" s="355"/>
      <c r="J5" s="355"/>
      <c r="K5" s="355"/>
      <c r="L5" s="354"/>
    </row>
    <row r="6" spans="1:12" x14ac:dyDescent="0.2">
      <c r="A6" s="354"/>
      <c r="B6" s="359">
        <v>1</v>
      </c>
      <c r="C6" s="356" t="s">
        <v>12</v>
      </c>
      <c r="D6" s="355">
        <v>2</v>
      </c>
      <c r="E6" s="355"/>
      <c r="F6" s="696">
        <v>8.6699999999999999E-2</v>
      </c>
      <c r="G6" s="355"/>
      <c r="H6" s="355"/>
      <c r="I6" s="355"/>
      <c r="J6" s="355"/>
      <c r="K6" s="355"/>
      <c r="L6" s="354"/>
    </row>
    <row r="7" spans="1:12" x14ac:dyDescent="0.2">
      <c r="A7" s="354"/>
      <c r="B7" s="359"/>
      <c r="C7" s="362" t="s">
        <v>114</v>
      </c>
      <c r="D7" s="355"/>
      <c r="E7" s="355"/>
      <c r="F7" s="355"/>
      <c r="G7" s="355"/>
      <c r="H7" s="355"/>
      <c r="I7" s="355"/>
      <c r="J7" s="355"/>
      <c r="K7" s="355"/>
      <c r="L7" s="354"/>
    </row>
    <row r="8" spans="1:12" x14ac:dyDescent="0.2">
      <c r="A8" s="354"/>
      <c r="B8" s="359"/>
      <c r="C8" s="355"/>
      <c r="D8" s="355"/>
      <c r="E8" s="355"/>
      <c r="F8" s="359"/>
      <c r="G8" s="355"/>
      <c r="H8" s="355"/>
      <c r="I8" s="355"/>
      <c r="J8" s="355"/>
      <c r="K8" s="355"/>
      <c r="L8" s="354"/>
    </row>
    <row r="9" spans="1:12" ht="12.75" customHeight="1" x14ac:dyDescent="0.2">
      <c r="A9" s="354"/>
      <c r="B9" s="359"/>
      <c r="C9" s="361" t="s">
        <v>57</v>
      </c>
      <c r="D9" s="355"/>
      <c r="E9" s="355"/>
      <c r="F9" s="696">
        <v>8.6699999999999999E-2</v>
      </c>
      <c r="G9" s="355"/>
      <c r="H9" s="355"/>
      <c r="I9" s="355"/>
      <c r="J9" s="355"/>
      <c r="K9" s="355"/>
      <c r="L9" s="354"/>
    </row>
    <row r="10" spans="1:12" x14ac:dyDescent="0.2">
      <c r="A10" s="354"/>
      <c r="B10" s="359"/>
      <c r="C10" s="362" t="s">
        <v>66</v>
      </c>
      <c r="D10" s="364"/>
      <c r="E10" s="364"/>
      <c r="F10" s="364"/>
      <c r="G10" s="355"/>
      <c r="H10" s="355"/>
      <c r="I10" s="355"/>
      <c r="J10" s="355"/>
      <c r="K10" s="355"/>
      <c r="L10" s="354"/>
    </row>
    <row r="11" spans="1:12" x14ac:dyDescent="0.2">
      <c r="A11" s="354"/>
      <c r="B11" s="359"/>
      <c r="C11" s="356"/>
      <c r="D11" s="364"/>
      <c r="E11" s="355"/>
      <c r="F11" s="364"/>
      <c r="G11" s="355"/>
      <c r="H11" s="355"/>
      <c r="I11" s="355"/>
      <c r="J11" s="355"/>
      <c r="K11" s="355"/>
      <c r="L11" s="354"/>
    </row>
    <row r="12" spans="1:12" x14ac:dyDescent="0.2">
      <c r="A12" s="354"/>
      <c r="B12" s="359"/>
      <c r="C12" s="356"/>
      <c r="D12" s="364" t="s">
        <v>3</v>
      </c>
      <c r="E12" s="355"/>
      <c r="F12" s="73"/>
      <c r="G12" s="355"/>
      <c r="H12" s="415"/>
      <c r="I12" s="355"/>
      <c r="J12" s="355"/>
      <c r="K12" s="355"/>
      <c r="L12" s="354"/>
    </row>
    <row r="13" spans="1:12" x14ac:dyDescent="0.2">
      <c r="A13" s="354"/>
      <c r="B13" s="359"/>
      <c r="C13" s="356"/>
      <c r="D13" s="364" t="s">
        <v>4</v>
      </c>
      <c r="E13" s="355"/>
      <c r="F13" s="73"/>
      <c r="G13" s="355"/>
      <c r="H13" s="415"/>
      <c r="I13" s="355"/>
      <c r="J13" s="355"/>
      <c r="K13" s="355"/>
      <c r="L13" s="354"/>
    </row>
    <row r="14" spans="1:12" x14ac:dyDescent="0.2">
      <c r="A14" s="354"/>
      <c r="B14" s="359"/>
      <c r="C14" s="356"/>
      <c r="D14" s="364" t="s">
        <v>65</v>
      </c>
      <c r="E14" s="355"/>
      <c r="F14" s="73"/>
      <c r="G14" s="355"/>
      <c r="H14" s="415"/>
      <c r="I14" s="355"/>
      <c r="J14" s="355"/>
      <c r="K14" s="355"/>
      <c r="L14" s="354"/>
    </row>
    <row r="15" spans="1:12" x14ac:dyDescent="0.2">
      <c r="A15" s="354"/>
      <c r="B15" s="359"/>
      <c r="C15" s="356"/>
      <c r="D15" s="364" t="s">
        <v>64</v>
      </c>
      <c r="E15" s="355"/>
      <c r="F15" s="74"/>
      <c r="G15" s="355"/>
      <c r="H15" s="415"/>
      <c r="I15" s="355"/>
      <c r="J15" s="355"/>
      <c r="K15" s="355"/>
      <c r="L15" s="354"/>
    </row>
    <row r="16" spans="1:12" x14ac:dyDescent="0.2">
      <c r="A16" s="354"/>
      <c r="B16" s="359"/>
      <c r="C16" s="356"/>
      <c r="D16" s="364" t="s">
        <v>8</v>
      </c>
      <c r="E16" s="355"/>
      <c r="F16" s="73"/>
      <c r="G16" s="355"/>
      <c r="H16" s="415"/>
      <c r="I16" s="355"/>
      <c r="J16" s="355"/>
      <c r="K16" s="355"/>
      <c r="L16" s="354"/>
    </row>
    <row r="17" spans="1:12" x14ac:dyDescent="0.2">
      <c r="A17" s="354"/>
      <c r="B17" s="359"/>
      <c r="C17" s="356"/>
      <c r="D17" s="409" t="s">
        <v>62</v>
      </c>
      <c r="E17" s="355"/>
      <c r="F17" s="73"/>
      <c r="G17" s="355"/>
      <c r="H17" s="416"/>
      <c r="I17" s="355"/>
      <c r="J17" s="355"/>
      <c r="K17" s="355"/>
      <c r="L17" s="354"/>
    </row>
    <row r="18" spans="1:12" x14ac:dyDescent="0.2">
      <c r="A18" s="354"/>
      <c r="B18" s="359"/>
      <c r="C18" s="356"/>
      <c r="D18" s="410" t="s">
        <v>61</v>
      </c>
      <c r="E18" s="355"/>
      <c r="F18" s="75"/>
      <c r="G18" s="355"/>
      <c r="H18" s="415"/>
      <c r="I18" s="355"/>
      <c r="J18" s="355"/>
      <c r="K18" s="355"/>
      <c r="L18" s="354"/>
    </row>
    <row r="19" spans="1:12" x14ac:dyDescent="0.2">
      <c r="A19" s="354"/>
      <c r="B19" s="359"/>
      <c r="C19" s="356"/>
      <c r="D19" s="410" t="s">
        <v>63</v>
      </c>
      <c r="E19" s="355"/>
      <c r="F19" s="73"/>
      <c r="G19" s="355"/>
      <c r="H19" s="415"/>
      <c r="I19" s="355"/>
      <c r="J19" s="355"/>
      <c r="K19" s="355"/>
      <c r="L19" s="354"/>
    </row>
    <row r="20" spans="1:12" x14ac:dyDescent="0.2">
      <c r="A20" s="354"/>
      <c r="B20" s="359"/>
      <c r="C20" s="356"/>
      <c r="D20" s="364"/>
      <c r="E20" s="364"/>
      <c r="F20" s="364"/>
      <c r="G20" s="364"/>
      <c r="H20" s="364"/>
      <c r="I20" s="364"/>
      <c r="J20" s="355"/>
      <c r="K20" s="355"/>
      <c r="L20" s="354"/>
    </row>
    <row r="21" spans="1:12" x14ac:dyDescent="0.2">
      <c r="A21" s="354"/>
      <c r="B21" s="359"/>
      <c r="C21" s="356"/>
      <c r="D21" s="355"/>
      <c r="E21" s="355"/>
      <c r="F21" s="359"/>
      <c r="G21" s="355"/>
      <c r="H21" s="355"/>
      <c r="I21" s="355"/>
      <c r="J21" s="355"/>
      <c r="K21" s="355"/>
      <c r="L21" s="354"/>
    </row>
    <row r="22" spans="1:12" x14ac:dyDescent="0.2">
      <c r="A22" s="354"/>
      <c r="B22" s="359"/>
      <c r="C22" s="361" t="s">
        <v>58</v>
      </c>
      <c r="D22" s="355"/>
      <c r="E22" s="355"/>
      <c r="F22" s="696">
        <v>8.6699999999999999E-2</v>
      </c>
      <c r="G22" s="355"/>
      <c r="H22" s="355"/>
      <c r="I22" s="355"/>
      <c r="J22" s="355"/>
      <c r="K22" s="355"/>
      <c r="L22" s="354"/>
    </row>
    <row r="23" spans="1:12" x14ac:dyDescent="0.2">
      <c r="A23" s="354"/>
      <c r="B23" s="359"/>
      <c r="C23" s="362" t="s">
        <v>66</v>
      </c>
      <c r="D23" s="355"/>
      <c r="E23" s="355"/>
      <c r="F23" s="359"/>
      <c r="G23" s="355"/>
      <c r="H23" s="355"/>
      <c r="I23" s="355"/>
      <c r="J23" s="355"/>
      <c r="K23" s="355"/>
      <c r="L23" s="354"/>
    </row>
    <row r="24" spans="1:12" x14ac:dyDescent="0.2">
      <c r="A24" s="354"/>
      <c r="B24" s="359"/>
      <c r="C24" s="355"/>
      <c r="D24" s="355" t="s">
        <v>3</v>
      </c>
      <c r="E24" s="355"/>
      <c r="F24" s="70"/>
      <c r="G24" s="355"/>
      <c r="H24" s="355"/>
      <c r="I24" s="355"/>
      <c r="J24" s="355"/>
      <c r="K24" s="355"/>
      <c r="L24" s="354"/>
    </row>
    <row r="25" spans="1:12" x14ac:dyDescent="0.2">
      <c r="A25" s="354"/>
      <c r="B25" s="359"/>
      <c r="C25" s="355"/>
      <c r="D25" s="355" t="s">
        <v>4</v>
      </c>
      <c r="E25" s="355"/>
      <c r="F25" s="70"/>
      <c r="G25" s="355"/>
      <c r="H25" s="355"/>
      <c r="I25" s="355"/>
      <c r="J25" s="355"/>
      <c r="K25" s="355"/>
      <c r="L25" s="354"/>
    </row>
    <row r="26" spans="1:12" x14ac:dyDescent="0.2">
      <c r="A26" s="354"/>
      <c r="B26" s="359"/>
      <c r="C26" s="355"/>
      <c r="D26" s="355" t="s">
        <v>5</v>
      </c>
      <c r="E26" s="355"/>
      <c r="F26" s="71"/>
      <c r="G26" s="355"/>
      <c r="H26" s="355"/>
      <c r="I26" s="355"/>
      <c r="J26" s="355"/>
      <c r="K26" s="355"/>
      <c r="L26" s="354"/>
    </row>
    <row r="27" spans="1:12" x14ac:dyDescent="0.2">
      <c r="A27" s="354"/>
      <c r="B27" s="359"/>
      <c r="C27" s="355"/>
      <c r="D27" s="355" t="s">
        <v>6</v>
      </c>
      <c r="E27" s="355"/>
      <c r="F27" s="424"/>
      <c r="G27" s="355"/>
      <c r="H27" s="355"/>
      <c r="I27" s="355"/>
      <c r="J27" s="355"/>
      <c r="K27" s="355"/>
      <c r="L27" s="354"/>
    </row>
    <row r="28" spans="1:12" x14ac:dyDescent="0.2">
      <c r="A28" s="354"/>
      <c r="B28" s="359"/>
      <c r="C28" s="355"/>
      <c r="D28" s="355" t="s">
        <v>7</v>
      </c>
      <c r="E28" s="355"/>
      <c r="F28" s="424"/>
      <c r="G28" s="355"/>
      <c r="H28" s="355"/>
      <c r="I28" s="355"/>
      <c r="J28" s="355"/>
      <c r="K28" s="355"/>
      <c r="L28" s="354"/>
    </row>
    <row r="29" spans="1:12" x14ac:dyDescent="0.2">
      <c r="A29" s="354"/>
      <c r="B29" s="359"/>
      <c r="C29" s="355"/>
      <c r="D29" s="355" t="s">
        <v>8</v>
      </c>
      <c r="E29" s="355"/>
      <c r="F29" s="424"/>
      <c r="G29" s="355"/>
      <c r="H29" s="355"/>
      <c r="I29" s="355"/>
      <c r="J29" s="355"/>
      <c r="K29" s="355"/>
      <c r="L29" s="354"/>
    </row>
    <row r="30" spans="1:12" x14ac:dyDescent="0.2">
      <c r="A30" s="354"/>
      <c r="B30" s="359"/>
      <c r="C30" s="355"/>
      <c r="D30" s="355" t="s">
        <v>9</v>
      </c>
      <c r="E30" s="355"/>
      <c r="F30" s="71"/>
      <c r="G30" s="355"/>
      <c r="H30" s="355"/>
      <c r="I30" s="355"/>
      <c r="J30" s="355"/>
      <c r="K30" s="355"/>
      <c r="L30" s="354"/>
    </row>
    <row r="31" spans="1:12" x14ac:dyDescent="0.2">
      <c r="A31" s="354"/>
      <c r="B31" s="359"/>
      <c r="C31" s="355"/>
      <c r="D31" s="355" t="s">
        <v>10</v>
      </c>
      <c r="E31" s="355"/>
      <c r="F31" s="71"/>
      <c r="G31" s="355"/>
      <c r="H31" s="355"/>
      <c r="I31" s="355"/>
      <c r="J31" s="355"/>
      <c r="K31" s="355"/>
      <c r="L31" s="354"/>
    </row>
    <row r="32" spans="1:12" x14ac:dyDescent="0.2">
      <c r="A32" s="354"/>
      <c r="B32" s="359"/>
      <c r="C32" s="355"/>
      <c r="D32" s="355" t="s">
        <v>11</v>
      </c>
      <c r="E32" s="355"/>
      <c r="F32" s="72"/>
      <c r="G32" s="355"/>
      <c r="H32" s="355"/>
      <c r="I32" s="355"/>
      <c r="J32" s="355"/>
      <c r="K32" s="355"/>
      <c r="L32" s="354"/>
    </row>
    <row r="33" spans="1:12" x14ac:dyDescent="0.2">
      <c r="A33" s="354"/>
      <c r="B33" s="359"/>
      <c r="C33" s="355"/>
      <c r="D33" s="355"/>
      <c r="E33" s="355"/>
      <c r="F33" s="355"/>
      <c r="G33" s="359"/>
      <c r="H33" s="355"/>
      <c r="I33" s="355"/>
      <c r="J33" s="355"/>
      <c r="K33" s="355"/>
      <c r="L33" s="354"/>
    </row>
    <row r="34" spans="1:12" x14ac:dyDescent="0.2">
      <c r="A34" s="354"/>
      <c r="B34" s="359"/>
      <c r="C34" s="355"/>
      <c r="D34" s="355"/>
      <c r="E34" s="355"/>
      <c r="F34" s="355"/>
      <c r="G34" s="359"/>
      <c r="H34" s="355"/>
      <c r="I34" s="355"/>
      <c r="J34" s="355"/>
      <c r="K34" s="355"/>
      <c r="L34" s="354"/>
    </row>
    <row r="35" spans="1:12" x14ac:dyDescent="0.2">
      <c r="A35" s="354"/>
      <c r="B35" s="359">
        <v>2</v>
      </c>
      <c r="C35" s="356" t="s">
        <v>18</v>
      </c>
      <c r="D35" s="355"/>
      <c r="E35" s="355"/>
      <c r="F35" s="76">
        <v>1.9400000000000001E-2</v>
      </c>
      <c r="G35" s="359"/>
      <c r="H35" s="355"/>
      <c r="I35" s="355"/>
      <c r="J35" s="355"/>
      <c r="K35" s="355"/>
      <c r="L35" s="354"/>
    </row>
    <row r="36" spans="1:12" x14ac:dyDescent="0.2">
      <c r="A36" s="354"/>
      <c r="B36" s="359"/>
      <c r="C36" s="355"/>
      <c r="D36" s="355"/>
      <c r="E36" s="355"/>
      <c r="F36" s="355"/>
      <c r="G36" s="359"/>
      <c r="H36" s="355"/>
      <c r="I36" s="355"/>
      <c r="J36" s="355"/>
      <c r="K36" s="355"/>
      <c r="L36" s="354"/>
    </row>
    <row r="37" spans="1:12" x14ac:dyDescent="0.2">
      <c r="A37" s="354"/>
      <c r="B37" s="359"/>
      <c r="C37" s="355"/>
      <c r="D37" s="355"/>
      <c r="E37" s="355"/>
      <c r="F37" s="355"/>
      <c r="G37" s="359"/>
      <c r="H37" s="355"/>
      <c r="I37" s="355"/>
      <c r="J37" s="355"/>
      <c r="K37" s="355"/>
      <c r="L37" s="354"/>
    </row>
    <row r="38" spans="1:12" x14ac:dyDescent="0.2">
      <c r="A38" s="354"/>
      <c r="B38" s="359">
        <v>3</v>
      </c>
      <c r="C38" s="356" t="s">
        <v>127</v>
      </c>
      <c r="D38" s="355"/>
      <c r="E38" s="355"/>
      <c r="F38" s="417" t="s">
        <v>139</v>
      </c>
      <c r="G38" s="360" t="s">
        <v>140</v>
      </c>
      <c r="H38" s="360" t="s">
        <v>141</v>
      </c>
      <c r="I38" s="414" t="s">
        <v>142</v>
      </c>
      <c r="J38" s="355"/>
      <c r="K38" s="355"/>
      <c r="L38" s="354"/>
    </row>
    <row r="39" spans="1:12" x14ac:dyDescent="0.2">
      <c r="A39" s="354"/>
      <c r="B39" s="359"/>
      <c r="C39" s="355"/>
      <c r="D39" s="355"/>
      <c r="E39" s="355"/>
      <c r="F39" s="358" t="s">
        <v>152</v>
      </c>
      <c r="G39" s="358" t="s">
        <v>153</v>
      </c>
      <c r="H39" s="358" t="s">
        <v>154</v>
      </c>
      <c r="I39" s="358" t="s">
        <v>155</v>
      </c>
      <c r="J39" s="355"/>
      <c r="K39" s="355"/>
      <c r="L39" s="354"/>
    </row>
    <row r="40" spans="1:12" x14ac:dyDescent="0.2">
      <c r="A40" s="354"/>
      <c r="B40" s="359"/>
      <c r="C40" s="355"/>
      <c r="D40" s="355"/>
      <c r="E40" s="355"/>
      <c r="F40" s="358"/>
      <c r="G40" s="358"/>
      <c r="H40" s="358"/>
      <c r="I40" s="358"/>
      <c r="J40" s="355"/>
      <c r="K40" s="355"/>
      <c r="L40" s="354"/>
    </row>
    <row r="41" spans="1:12" x14ac:dyDescent="0.2">
      <c r="A41" s="354"/>
      <c r="B41" s="359"/>
      <c r="C41" s="355"/>
      <c r="D41" s="355" t="s">
        <v>132</v>
      </c>
      <c r="E41" s="355"/>
      <c r="F41" s="135">
        <v>20900</v>
      </c>
      <c r="G41" s="135">
        <f t="shared" ref="G41:I44" si="0">F41</f>
        <v>20900</v>
      </c>
      <c r="H41" s="135">
        <f t="shared" si="0"/>
        <v>20900</v>
      </c>
      <c r="I41" s="135">
        <f t="shared" si="0"/>
        <v>20900</v>
      </c>
      <c r="J41" s="355"/>
      <c r="K41" s="355"/>
      <c r="L41" s="354"/>
    </row>
    <row r="42" spans="1:12" x14ac:dyDescent="0.2">
      <c r="A42" s="354"/>
      <c r="B42" s="359"/>
      <c r="C42" s="355"/>
      <c r="D42" s="355" t="s">
        <v>133</v>
      </c>
      <c r="E42" s="355"/>
      <c r="F42" s="135">
        <v>300</v>
      </c>
      <c r="G42" s="135">
        <f t="shared" si="0"/>
        <v>300</v>
      </c>
      <c r="H42" s="135">
        <f t="shared" si="0"/>
        <v>300</v>
      </c>
      <c r="I42" s="135">
        <f t="shared" si="0"/>
        <v>300</v>
      </c>
      <c r="J42" s="355"/>
      <c r="K42" s="355"/>
      <c r="L42" s="354"/>
    </row>
    <row r="43" spans="1:12" x14ac:dyDescent="0.2">
      <c r="A43" s="354"/>
      <c r="B43" s="359"/>
      <c r="C43" s="355"/>
      <c r="D43" s="355" t="s">
        <v>134</v>
      </c>
      <c r="E43" s="355"/>
      <c r="F43" s="135">
        <v>1700</v>
      </c>
      <c r="G43" s="135">
        <f t="shared" si="0"/>
        <v>1700</v>
      </c>
      <c r="H43" s="135">
        <f t="shared" si="0"/>
        <v>1700</v>
      </c>
      <c r="I43" s="135">
        <f t="shared" si="0"/>
        <v>1700</v>
      </c>
      <c r="J43" s="355"/>
      <c r="K43" s="355"/>
      <c r="L43" s="354"/>
    </row>
    <row r="44" spans="1:12" x14ac:dyDescent="0.2">
      <c r="A44" s="354"/>
      <c r="B44" s="359"/>
      <c r="C44" s="355"/>
      <c r="D44" s="355" t="s">
        <v>135</v>
      </c>
      <c r="E44" s="355"/>
      <c r="F44" s="135">
        <v>161</v>
      </c>
      <c r="G44" s="135">
        <f t="shared" si="0"/>
        <v>161</v>
      </c>
      <c r="H44" s="135">
        <f t="shared" si="0"/>
        <v>161</v>
      </c>
      <c r="I44" s="135">
        <f t="shared" si="0"/>
        <v>161</v>
      </c>
      <c r="J44" s="355"/>
      <c r="K44" s="355"/>
      <c r="L44" s="354"/>
    </row>
    <row r="45" spans="1:12" x14ac:dyDescent="0.2">
      <c r="A45" s="354"/>
      <c r="B45" s="359"/>
      <c r="C45" s="355"/>
      <c r="D45" s="355"/>
      <c r="E45" s="355"/>
      <c r="F45" s="355"/>
      <c r="G45" s="359"/>
      <c r="H45" s="355"/>
      <c r="I45" s="355"/>
      <c r="J45" s="355"/>
      <c r="K45" s="355"/>
      <c r="L45" s="354"/>
    </row>
    <row r="46" spans="1:12" x14ac:dyDescent="0.2">
      <c r="A46" s="354"/>
      <c r="B46" s="359"/>
      <c r="C46" s="355"/>
      <c r="D46" s="355"/>
      <c r="E46" s="355"/>
      <c r="F46" s="355"/>
      <c r="G46" s="359"/>
      <c r="H46" s="355"/>
      <c r="I46" s="355"/>
      <c r="J46" s="355"/>
      <c r="K46" s="355"/>
      <c r="L46" s="354"/>
    </row>
    <row r="47" spans="1:12" x14ac:dyDescent="0.2">
      <c r="A47" s="354"/>
      <c r="B47" s="359">
        <v>4</v>
      </c>
      <c r="C47" s="411" t="s">
        <v>137</v>
      </c>
      <c r="D47" s="355"/>
      <c r="E47" s="355"/>
      <c r="F47" s="359" t="s">
        <v>36</v>
      </c>
      <c r="G47" s="359"/>
      <c r="H47" s="355"/>
      <c r="I47" s="355"/>
      <c r="J47" s="355"/>
      <c r="K47" s="355"/>
      <c r="L47" s="354"/>
    </row>
    <row r="48" spans="1:12" x14ac:dyDescent="0.2">
      <c r="A48" s="354"/>
      <c r="B48" s="359"/>
      <c r="C48" s="355"/>
      <c r="D48" s="355"/>
      <c r="E48" s="355"/>
      <c r="F48" s="355"/>
      <c r="G48" s="359"/>
      <c r="H48" s="355"/>
      <c r="I48" s="355"/>
      <c r="J48" s="355"/>
      <c r="K48" s="355"/>
      <c r="L48" s="354"/>
    </row>
    <row r="49" spans="1:12" x14ac:dyDescent="0.2">
      <c r="A49" s="354"/>
      <c r="B49" s="359"/>
      <c r="C49" s="355"/>
      <c r="D49" s="364" t="s">
        <v>138</v>
      </c>
      <c r="E49" s="355"/>
      <c r="F49" s="135">
        <v>56.5</v>
      </c>
      <c r="G49" s="359"/>
      <c r="H49" s="355"/>
      <c r="I49" s="355"/>
      <c r="J49" s="355"/>
      <c r="K49" s="355"/>
      <c r="L49" s="354"/>
    </row>
    <row r="50" spans="1:12" x14ac:dyDescent="0.2">
      <c r="A50" s="354"/>
      <c r="B50" s="359"/>
      <c r="C50" s="355"/>
      <c r="D50" s="355"/>
      <c r="E50" s="355"/>
      <c r="F50" s="355"/>
      <c r="G50" s="359"/>
      <c r="H50" s="355"/>
      <c r="I50" s="355"/>
      <c r="J50" s="355"/>
      <c r="K50" s="355"/>
      <c r="L50" s="354"/>
    </row>
    <row r="51" spans="1:12" x14ac:dyDescent="0.2">
      <c r="A51" s="354"/>
      <c r="B51" s="359"/>
      <c r="C51" s="355"/>
      <c r="D51" s="355"/>
      <c r="E51" s="355"/>
      <c r="F51" s="355"/>
      <c r="G51" s="359"/>
      <c r="H51" s="355"/>
      <c r="I51" s="355"/>
      <c r="J51" s="355"/>
      <c r="K51" s="355"/>
      <c r="L51" s="354"/>
    </row>
    <row r="52" spans="1:12" x14ac:dyDescent="0.2">
      <c r="A52" s="354"/>
      <c r="B52" s="359">
        <v>5</v>
      </c>
      <c r="C52" s="356" t="s">
        <v>239</v>
      </c>
      <c r="D52" s="355"/>
      <c r="E52" s="355"/>
      <c r="F52" s="355"/>
      <c r="G52" s="359"/>
      <c r="H52" s="355"/>
      <c r="I52" s="355"/>
      <c r="J52" s="355"/>
      <c r="K52" s="355"/>
      <c r="L52" s="354"/>
    </row>
    <row r="53" spans="1:12" x14ac:dyDescent="0.2">
      <c r="A53" s="354"/>
      <c r="B53" s="359"/>
      <c r="C53" s="355"/>
      <c r="D53" s="355"/>
      <c r="E53" s="355"/>
      <c r="F53" s="355"/>
      <c r="G53" s="359"/>
      <c r="H53" s="355"/>
      <c r="I53" s="355"/>
      <c r="J53" s="355"/>
      <c r="K53" s="355"/>
      <c r="L53" s="354"/>
    </row>
    <row r="54" spans="1:12" x14ac:dyDescent="0.2">
      <c r="A54" s="354"/>
      <c r="B54" s="359"/>
      <c r="C54" s="355"/>
      <c r="D54" s="364" t="s">
        <v>234</v>
      </c>
      <c r="E54" s="355"/>
      <c r="F54" s="330">
        <v>25</v>
      </c>
      <c r="G54" s="359"/>
      <c r="H54" s="355"/>
      <c r="I54" s="355"/>
      <c r="J54" s="355"/>
      <c r="K54" s="355"/>
      <c r="L54" s="354"/>
    </row>
    <row r="55" spans="1:12" x14ac:dyDescent="0.2">
      <c r="A55" s="354"/>
      <c r="B55" s="359"/>
      <c r="C55" s="355"/>
      <c r="D55" s="364"/>
      <c r="E55" s="364"/>
      <c r="F55" s="364"/>
      <c r="G55" s="364"/>
      <c r="H55" s="355"/>
      <c r="I55" s="355"/>
      <c r="J55" s="355"/>
      <c r="K55" s="355"/>
      <c r="L55" s="354"/>
    </row>
    <row r="56" spans="1:12" x14ac:dyDescent="0.2">
      <c r="A56" s="354"/>
      <c r="B56" s="359"/>
      <c r="C56" s="355"/>
      <c r="D56" s="355"/>
      <c r="E56" s="355"/>
      <c r="F56" s="355"/>
      <c r="G56" s="359"/>
      <c r="H56" s="355"/>
      <c r="I56" s="355"/>
      <c r="J56" s="355"/>
      <c r="K56" s="355"/>
      <c r="L56" s="354"/>
    </row>
    <row r="57" spans="1:12" x14ac:dyDescent="0.2">
      <c r="A57" s="354"/>
      <c r="B57" s="359">
        <v>5</v>
      </c>
      <c r="C57" s="356" t="s">
        <v>167</v>
      </c>
      <c r="D57" s="355"/>
      <c r="E57" s="355"/>
      <c r="F57" s="355"/>
      <c r="G57" s="359"/>
      <c r="H57" s="355"/>
      <c r="I57" s="355"/>
      <c r="J57" s="355"/>
      <c r="K57" s="355"/>
      <c r="L57" s="354"/>
    </row>
    <row r="58" spans="1:12" x14ac:dyDescent="0.2">
      <c r="A58" s="354"/>
      <c r="B58" s="359"/>
      <c r="C58" s="355"/>
      <c r="D58" s="355"/>
      <c r="E58" s="355"/>
      <c r="F58" s="355"/>
      <c r="G58" s="359"/>
      <c r="H58" s="355"/>
      <c r="I58" s="355"/>
      <c r="J58" s="355"/>
      <c r="K58" s="355"/>
      <c r="L58" s="354"/>
    </row>
    <row r="59" spans="1:12" ht="14.25" x14ac:dyDescent="0.2">
      <c r="A59" s="354"/>
      <c r="B59" s="358">
        <v>5.0999999999999996</v>
      </c>
      <c r="C59" s="412"/>
      <c r="D59" s="365" t="s">
        <v>220</v>
      </c>
      <c r="E59" s="355"/>
      <c r="F59" s="423">
        <v>0</v>
      </c>
      <c r="G59" s="359"/>
      <c r="H59" s="355"/>
      <c r="I59" s="357" t="s">
        <v>214</v>
      </c>
      <c r="J59" s="355"/>
      <c r="K59" s="355"/>
      <c r="L59" s="354"/>
    </row>
    <row r="60" spans="1:12" x14ac:dyDescent="0.2">
      <c r="A60" s="354"/>
      <c r="B60" s="358">
        <v>5.2</v>
      </c>
      <c r="C60" s="355"/>
      <c r="D60" s="364" t="s">
        <v>176</v>
      </c>
      <c r="E60" s="355"/>
      <c r="F60" s="420">
        <f>47.85*(1+F35)^('User Input'!E6-2008)</f>
        <v>59.111620299689257</v>
      </c>
      <c r="G60" s="359"/>
      <c r="H60" s="355"/>
      <c r="I60" s="357" t="s">
        <v>217</v>
      </c>
      <c r="J60" s="355"/>
      <c r="K60" s="355"/>
      <c r="L60" s="354"/>
    </row>
    <row r="61" spans="1:12" x14ac:dyDescent="0.2">
      <c r="A61" s="354"/>
      <c r="B61" s="358">
        <v>5.3</v>
      </c>
      <c r="C61" s="355"/>
      <c r="D61" s="365" t="s">
        <v>221</v>
      </c>
      <c r="E61" s="355"/>
      <c r="F61" s="423">
        <v>0</v>
      </c>
      <c r="G61" s="359"/>
      <c r="H61" s="355"/>
      <c r="I61" s="357" t="s">
        <v>219</v>
      </c>
      <c r="J61" s="355"/>
      <c r="K61" s="355"/>
      <c r="L61" s="354"/>
    </row>
    <row r="62" spans="1:12" x14ac:dyDescent="0.2">
      <c r="A62" s="354"/>
      <c r="B62" s="358">
        <v>5.4</v>
      </c>
      <c r="C62" s="355"/>
      <c r="D62" s="364" t="s">
        <v>178</v>
      </c>
      <c r="E62" s="355"/>
      <c r="F62" s="330">
        <v>35</v>
      </c>
      <c r="G62" s="363"/>
      <c r="H62" s="355"/>
      <c r="I62" s="357" t="s">
        <v>224</v>
      </c>
      <c r="J62" s="355"/>
      <c r="K62" s="355"/>
      <c r="L62" s="354"/>
    </row>
    <row r="63" spans="1:12" x14ac:dyDescent="0.2">
      <c r="A63" s="354"/>
      <c r="B63" s="359"/>
      <c r="C63" s="355"/>
      <c r="D63" s="355"/>
      <c r="E63" s="355"/>
      <c r="F63" s="355"/>
      <c r="G63" s="419"/>
      <c r="H63" s="355"/>
      <c r="I63" s="355"/>
      <c r="J63" s="355"/>
      <c r="K63" s="355"/>
      <c r="L63" s="354"/>
    </row>
    <row r="64" spans="1:12" x14ac:dyDescent="0.2">
      <c r="A64" s="354"/>
      <c r="B64" s="359"/>
      <c r="C64" s="355"/>
      <c r="D64" s="355" t="s">
        <v>1</v>
      </c>
      <c r="E64" s="355">
        <v>1</v>
      </c>
      <c r="F64" s="421">
        <f>IF(E64=1,F9,IF(E64=2,F22))</f>
        <v>8.6699999999999999E-2</v>
      </c>
      <c r="G64" s="422">
        <f>IF(E64=1,G9,IF(E64=2,G22))</f>
        <v>0</v>
      </c>
      <c r="H64" s="355"/>
      <c r="I64" s="355"/>
      <c r="J64" s="355"/>
      <c r="K64" s="355"/>
      <c r="L64" s="354"/>
    </row>
    <row r="65" spans="1:12" x14ac:dyDescent="0.2">
      <c r="A65" s="354"/>
      <c r="B65" s="359"/>
      <c r="C65" s="355"/>
      <c r="D65" s="355"/>
      <c r="E65" s="355"/>
      <c r="F65" s="355"/>
      <c r="G65" s="419"/>
      <c r="H65" s="355"/>
      <c r="I65" s="355"/>
      <c r="J65" s="355"/>
      <c r="K65" s="355"/>
      <c r="L65" s="354"/>
    </row>
    <row r="66" spans="1:12" x14ac:dyDescent="0.2">
      <c r="A66" s="354"/>
      <c r="B66" s="359"/>
      <c r="C66" s="355"/>
      <c r="D66" s="355"/>
      <c r="E66" s="355"/>
      <c r="F66" s="355"/>
      <c r="G66" s="359"/>
      <c r="H66" s="355"/>
      <c r="I66" s="355"/>
      <c r="J66" s="355"/>
      <c r="K66" s="355"/>
      <c r="L66" s="354"/>
    </row>
    <row r="67" spans="1:12" x14ac:dyDescent="0.2">
      <c r="A67" s="354"/>
      <c r="B67" s="359">
        <v>7</v>
      </c>
      <c r="C67" s="356" t="s">
        <v>197</v>
      </c>
      <c r="D67" s="355"/>
      <c r="E67" s="355"/>
      <c r="F67" s="355"/>
      <c r="G67" s="359"/>
      <c r="H67" s="355"/>
      <c r="I67" s="355"/>
      <c r="J67" s="355"/>
      <c r="K67" s="355"/>
      <c r="L67" s="354"/>
    </row>
    <row r="68" spans="1:12" x14ac:dyDescent="0.2">
      <c r="A68" s="354"/>
      <c r="B68" s="359"/>
      <c r="C68" s="356"/>
      <c r="D68" s="413" t="s">
        <v>198</v>
      </c>
      <c r="E68" s="355"/>
      <c r="F68" s="418"/>
      <c r="G68" s="418"/>
      <c r="H68" s="418"/>
      <c r="I68" s="355"/>
      <c r="J68" s="355"/>
      <c r="K68" s="355"/>
      <c r="L68" s="354"/>
    </row>
    <row r="69" spans="1:12" x14ac:dyDescent="0.2">
      <c r="A69" s="354"/>
      <c r="B69" s="359"/>
      <c r="C69" s="356"/>
      <c r="D69" s="355"/>
      <c r="E69" s="355"/>
      <c r="F69" s="418" t="s">
        <v>201</v>
      </c>
      <c r="G69" s="418" t="s">
        <v>115</v>
      </c>
      <c r="H69" s="418" t="s">
        <v>1</v>
      </c>
      <c r="I69" s="418" t="s">
        <v>284</v>
      </c>
      <c r="J69" s="418" t="s">
        <v>285</v>
      </c>
      <c r="K69" s="418" t="s">
        <v>286</v>
      </c>
      <c r="L69" s="354"/>
    </row>
    <row r="70" spans="1:12" x14ac:dyDescent="0.2">
      <c r="A70" s="354"/>
      <c r="B70" s="359"/>
      <c r="C70" s="355"/>
      <c r="D70" s="355" t="s">
        <v>208</v>
      </c>
      <c r="E70" s="355"/>
      <c r="F70" s="331">
        <v>-0.05</v>
      </c>
      <c r="G70" s="331">
        <v>-0.05</v>
      </c>
      <c r="H70" s="334">
        <v>-5.0000000000000001E-3</v>
      </c>
      <c r="I70" s="331">
        <v>0.05</v>
      </c>
      <c r="J70" s="331">
        <v>0.05</v>
      </c>
      <c r="K70" s="331">
        <v>0.05</v>
      </c>
      <c r="L70" s="354"/>
    </row>
    <row r="71" spans="1:12" x14ac:dyDescent="0.2">
      <c r="A71" s="354"/>
      <c r="B71" s="359"/>
      <c r="C71" s="355"/>
      <c r="D71" s="355" t="s">
        <v>209</v>
      </c>
      <c r="E71" s="355"/>
      <c r="F71" s="331">
        <v>-0.1</v>
      </c>
      <c r="G71" s="331">
        <v>-0.1</v>
      </c>
      <c r="H71" s="334">
        <v>-0.01</v>
      </c>
      <c r="I71" s="331">
        <v>-0.1</v>
      </c>
      <c r="J71" s="331">
        <v>-0.1</v>
      </c>
      <c r="K71" s="331">
        <v>-0.1</v>
      </c>
      <c r="L71" s="354"/>
    </row>
    <row r="72" spans="1:12" x14ac:dyDescent="0.2">
      <c r="A72" s="354"/>
      <c r="B72" s="359"/>
      <c r="C72" s="355"/>
      <c r="D72" s="682" t="s">
        <v>301</v>
      </c>
      <c r="E72" s="355"/>
      <c r="F72" s="683" t="s">
        <v>302</v>
      </c>
      <c r="G72" s="683" t="s">
        <v>302</v>
      </c>
      <c r="H72" s="683" t="s">
        <v>302</v>
      </c>
      <c r="I72" s="683" t="s">
        <v>302</v>
      </c>
      <c r="J72" s="683" t="s">
        <v>302</v>
      </c>
      <c r="K72" s="683" t="s">
        <v>302</v>
      </c>
      <c r="L72" s="354"/>
    </row>
    <row r="73" spans="1:12" x14ac:dyDescent="0.2">
      <c r="A73" s="354"/>
      <c r="B73" s="359"/>
      <c r="C73" s="355"/>
      <c r="D73" s="413" t="s">
        <v>202</v>
      </c>
      <c r="E73" s="355"/>
      <c r="F73" s="355"/>
      <c r="G73" s="355"/>
      <c r="H73" s="355"/>
      <c r="I73" s="355"/>
      <c r="J73" s="355"/>
      <c r="K73" s="355"/>
      <c r="L73" s="354"/>
    </row>
    <row r="74" spans="1:12" x14ac:dyDescent="0.2">
      <c r="A74" s="354"/>
      <c r="B74" s="359"/>
      <c r="C74" s="355"/>
      <c r="D74" s="355"/>
      <c r="E74" s="355"/>
      <c r="F74" s="418" t="s">
        <v>201</v>
      </c>
      <c r="G74" s="418" t="s">
        <v>115</v>
      </c>
      <c r="H74" s="418" t="s">
        <v>1</v>
      </c>
      <c r="I74" s="418" t="s">
        <v>284</v>
      </c>
      <c r="J74" s="418" t="s">
        <v>285</v>
      </c>
      <c r="K74" s="418" t="s">
        <v>286</v>
      </c>
      <c r="L74" s="354"/>
    </row>
    <row r="75" spans="1:12" x14ac:dyDescent="0.2">
      <c r="A75" s="354"/>
      <c r="B75" s="359"/>
      <c r="C75" s="355"/>
      <c r="D75" s="355" t="str">
        <f>D70</f>
        <v>Level 1 - lower testing threshold</v>
      </c>
      <c r="E75" s="355"/>
      <c r="F75" s="331">
        <f t="shared" ref="F75:H76" si="1">-F70</f>
        <v>0.05</v>
      </c>
      <c r="G75" s="331">
        <f t="shared" si="1"/>
        <v>0.05</v>
      </c>
      <c r="H75" s="334">
        <f t="shared" si="1"/>
        <v>5.0000000000000001E-3</v>
      </c>
      <c r="I75" s="331">
        <v>0.05</v>
      </c>
      <c r="J75" s="331">
        <v>0.05</v>
      </c>
      <c r="K75" s="331">
        <v>0.05</v>
      </c>
      <c r="L75" s="354"/>
    </row>
    <row r="76" spans="1:12" x14ac:dyDescent="0.2">
      <c r="A76" s="354"/>
      <c r="B76" s="359"/>
      <c r="C76" s="355"/>
      <c r="D76" s="355" t="str">
        <f>D71</f>
        <v>Level 2 - higher testing threshold</v>
      </c>
      <c r="E76" s="355"/>
      <c r="F76" s="331">
        <f t="shared" si="1"/>
        <v>0.1</v>
      </c>
      <c r="G76" s="331">
        <f t="shared" si="1"/>
        <v>0.1</v>
      </c>
      <c r="H76" s="334">
        <f t="shared" si="1"/>
        <v>0.01</v>
      </c>
      <c r="I76" s="331">
        <v>-0.1</v>
      </c>
      <c r="J76" s="331">
        <v>-0.1</v>
      </c>
      <c r="K76" s="331">
        <v>-0.1</v>
      </c>
      <c r="L76" s="354"/>
    </row>
    <row r="77" spans="1:12" x14ac:dyDescent="0.2">
      <c r="A77" s="354"/>
      <c r="B77" s="359"/>
      <c r="C77" s="355"/>
      <c r="D77" s="682" t="s">
        <v>301</v>
      </c>
      <c r="E77" s="355"/>
      <c r="F77" s="683" t="s">
        <v>302</v>
      </c>
      <c r="G77" s="683" t="s">
        <v>302</v>
      </c>
      <c r="H77" s="683" t="s">
        <v>302</v>
      </c>
      <c r="I77" s="683" t="s">
        <v>302</v>
      </c>
      <c r="J77" s="683" t="s">
        <v>302</v>
      </c>
      <c r="K77" s="683" t="s">
        <v>302</v>
      </c>
      <c r="L77" s="354"/>
    </row>
    <row r="78" spans="1:12" x14ac:dyDescent="0.2">
      <c r="A78" s="354"/>
      <c r="B78" s="359"/>
      <c r="C78" s="355"/>
      <c r="D78" s="362" t="s">
        <v>210</v>
      </c>
      <c r="E78" s="355"/>
      <c r="F78" s="355"/>
      <c r="G78" s="359"/>
      <c r="H78" s="355"/>
      <c r="I78" s="355"/>
      <c r="J78" s="355"/>
      <c r="K78" s="355"/>
      <c r="L78" s="354"/>
    </row>
    <row r="79" spans="1:12" x14ac:dyDescent="0.2">
      <c r="A79" s="354"/>
      <c r="B79" s="359"/>
      <c r="C79" s="355"/>
      <c r="D79" s="355"/>
      <c r="E79" s="355"/>
      <c r="F79" s="355"/>
      <c r="G79" s="355"/>
      <c r="H79" s="355"/>
      <c r="I79" s="355"/>
      <c r="J79" s="355"/>
      <c r="K79" s="355"/>
      <c r="L79" s="354"/>
    </row>
    <row r="80" spans="1:12" x14ac:dyDescent="0.2">
      <c r="A80" s="354"/>
      <c r="B80" s="359"/>
      <c r="C80" s="355"/>
      <c r="D80" s="355"/>
      <c r="E80" s="355"/>
      <c r="F80" s="355"/>
      <c r="G80" s="355"/>
      <c r="H80" s="355"/>
      <c r="I80" s="355"/>
      <c r="J80" s="355"/>
      <c r="K80" s="355"/>
      <c r="L80" s="354"/>
    </row>
    <row r="81" spans="1:12" x14ac:dyDescent="0.2">
      <c r="A81" s="354"/>
      <c r="B81" s="408"/>
      <c r="C81" s="354"/>
      <c r="D81" s="354"/>
      <c r="E81" s="354"/>
      <c r="F81" s="354"/>
      <c r="G81" s="354"/>
      <c r="H81" s="354"/>
      <c r="I81" s="354"/>
      <c r="J81" s="354"/>
      <c r="K81" s="354"/>
      <c r="L81" s="354"/>
    </row>
    <row r="82" spans="1:12" ht="13.5" thickBot="1" x14ac:dyDescent="0.25"/>
    <row r="83" spans="1:12" x14ac:dyDescent="0.2">
      <c r="B83" s="216" t="s">
        <v>168</v>
      </c>
      <c r="C83" s="217"/>
      <c r="D83" s="217"/>
      <c r="E83" s="217"/>
      <c r="F83" s="217"/>
      <c r="G83" s="217"/>
      <c r="H83" s="217"/>
      <c r="I83" s="217"/>
      <c r="J83" s="218"/>
    </row>
    <row r="84" spans="1:12" x14ac:dyDescent="0.2">
      <c r="B84" s="219"/>
      <c r="C84" s="209"/>
      <c r="D84" s="6" t="s">
        <v>169</v>
      </c>
      <c r="E84" s="209"/>
      <c r="F84" s="6" t="s">
        <v>170</v>
      </c>
      <c r="G84" s="209"/>
      <c r="H84" s="209"/>
      <c r="I84" s="209"/>
      <c r="J84" s="220"/>
    </row>
    <row r="85" spans="1:12" x14ac:dyDescent="0.2">
      <c r="B85" s="219"/>
      <c r="C85" s="209"/>
      <c r="D85" s="210" t="s">
        <v>72</v>
      </c>
      <c r="E85" s="211"/>
      <c r="F85" s="209" t="s">
        <v>147</v>
      </c>
      <c r="G85" s="209"/>
      <c r="H85" s="209"/>
      <c r="I85" s="209"/>
      <c r="J85" s="220"/>
    </row>
    <row r="86" spans="1:12" x14ac:dyDescent="0.2">
      <c r="B86" s="219"/>
      <c r="C86" s="209"/>
      <c r="D86" s="210" t="s">
        <v>73</v>
      </c>
      <c r="E86" s="211"/>
      <c r="F86" s="209" t="s">
        <v>143</v>
      </c>
      <c r="G86" s="209"/>
      <c r="H86" s="209"/>
      <c r="I86" s="209"/>
      <c r="J86" s="220"/>
    </row>
    <row r="87" spans="1:12" x14ac:dyDescent="0.2">
      <c r="B87" s="219"/>
      <c r="D87" s="209"/>
      <c r="E87" s="209"/>
      <c r="F87" s="209" t="s">
        <v>144</v>
      </c>
      <c r="G87" s="209"/>
      <c r="H87" s="209"/>
      <c r="I87" s="209"/>
      <c r="J87" s="220"/>
    </row>
    <row r="88" spans="1:12" x14ac:dyDescent="0.2">
      <c r="B88" s="219"/>
      <c r="C88" s="207" t="s">
        <v>59</v>
      </c>
      <c r="D88" s="209"/>
      <c r="E88" s="209"/>
      <c r="F88" s="209" t="s">
        <v>145</v>
      </c>
      <c r="G88" s="209"/>
      <c r="H88" s="209"/>
      <c r="I88" s="209"/>
      <c r="J88" s="220"/>
    </row>
    <row r="89" spans="1:12" x14ac:dyDescent="0.2">
      <c r="B89" s="219"/>
      <c r="C89" s="207" t="s">
        <v>60</v>
      </c>
      <c r="D89" s="209"/>
      <c r="E89" s="209"/>
      <c r="F89" s="209" t="s">
        <v>146</v>
      </c>
      <c r="G89" s="209"/>
      <c r="H89" s="209"/>
      <c r="I89" s="209"/>
      <c r="J89" s="220"/>
    </row>
    <row r="90" spans="1:12" x14ac:dyDescent="0.2">
      <c r="B90" s="219"/>
      <c r="C90" s="209"/>
      <c r="D90" s="209"/>
      <c r="E90" s="209"/>
      <c r="F90" s="209"/>
      <c r="G90" s="209"/>
      <c r="H90" s="209"/>
      <c r="I90" s="209"/>
      <c r="J90" s="220"/>
    </row>
    <row r="91" spans="1:12" x14ac:dyDescent="0.2">
      <c r="A91" s="207"/>
      <c r="B91" s="221"/>
      <c r="C91" s="209"/>
      <c r="D91" s="212" t="s">
        <v>30</v>
      </c>
      <c r="E91" s="213"/>
      <c r="F91" s="213"/>
      <c r="G91" s="214"/>
      <c r="H91" s="213"/>
      <c r="I91" s="213"/>
      <c r="J91" s="222"/>
      <c r="K91" s="208"/>
      <c r="L91" s="208"/>
    </row>
    <row r="92" spans="1:12" x14ac:dyDescent="0.2">
      <c r="A92" s="208"/>
      <c r="B92" s="219"/>
      <c r="C92" s="215">
        <v>1</v>
      </c>
      <c r="D92" s="213" t="s">
        <v>67</v>
      </c>
      <c r="E92" s="213"/>
      <c r="F92" s="213"/>
      <c r="G92" t="s">
        <v>119</v>
      </c>
      <c r="H92" s="213"/>
      <c r="I92" s="213"/>
      <c r="J92" s="222"/>
      <c r="K92" s="208"/>
      <c r="L92" s="208"/>
    </row>
    <row r="93" spans="1:12" x14ac:dyDescent="0.2">
      <c r="A93" s="208"/>
      <c r="B93" s="219"/>
      <c r="C93" s="215">
        <v>2</v>
      </c>
      <c r="D93" s="213" t="s">
        <v>68</v>
      </c>
      <c r="E93" s="213"/>
      <c r="F93" s="213"/>
      <c r="G93" t="s">
        <v>120</v>
      </c>
      <c r="H93" s="213"/>
      <c r="I93" s="213"/>
      <c r="J93" s="222"/>
      <c r="K93" s="208"/>
      <c r="L93" s="208"/>
    </row>
    <row r="94" spans="1:12" x14ac:dyDescent="0.2">
      <c r="A94" s="208"/>
      <c r="B94" s="219"/>
      <c r="C94" s="215">
        <v>3</v>
      </c>
      <c r="D94" s="213" t="s">
        <v>69</v>
      </c>
      <c r="E94" s="213"/>
      <c r="F94" s="213"/>
      <c r="H94" s="213"/>
      <c r="I94" s="213"/>
      <c r="J94" s="222"/>
      <c r="K94" s="208"/>
      <c r="L94" s="208"/>
    </row>
    <row r="95" spans="1:12" x14ac:dyDescent="0.2">
      <c r="A95" s="208"/>
      <c r="B95" s="219"/>
      <c r="C95" s="215">
        <v>4</v>
      </c>
      <c r="D95" s="213" t="s">
        <v>70</v>
      </c>
      <c r="E95" s="213"/>
      <c r="F95" s="213"/>
      <c r="G95" t="s">
        <v>57</v>
      </c>
      <c r="H95" s="213"/>
      <c r="I95" s="213"/>
      <c r="J95" s="222"/>
      <c r="K95" s="208"/>
      <c r="L95" s="208"/>
    </row>
    <row r="96" spans="1:12" x14ac:dyDescent="0.2">
      <c r="A96" s="208"/>
      <c r="B96" s="219"/>
      <c r="C96" s="215">
        <v>5</v>
      </c>
      <c r="D96" s="213" t="s">
        <v>71</v>
      </c>
      <c r="E96" s="213"/>
      <c r="F96" s="213"/>
      <c r="G96" s="342" t="s">
        <v>58</v>
      </c>
      <c r="H96" s="213"/>
      <c r="I96" s="213"/>
      <c r="J96" s="222"/>
      <c r="K96" s="208"/>
      <c r="L96" s="208"/>
    </row>
    <row r="97" spans="1:12" x14ac:dyDescent="0.2">
      <c r="A97" s="208"/>
      <c r="B97" s="221"/>
      <c r="C97" s="213"/>
      <c r="D97" s="213"/>
      <c r="E97" s="213"/>
      <c r="F97" s="213"/>
      <c r="G97" s="214"/>
      <c r="H97" s="213"/>
      <c r="I97" s="213"/>
      <c r="J97" s="222"/>
      <c r="K97" s="208"/>
      <c r="L97" s="208"/>
    </row>
    <row r="98" spans="1:12" ht="13.5" thickBot="1" x14ac:dyDescent="0.25">
      <c r="B98" s="223"/>
      <c r="C98" s="224"/>
      <c r="D98" s="224"/>
      <c r="E98" s="224"/>
      <c r="F98" s="224"/>
      <c r="G98" s="224"/>
      <c r="H98" s="224"/>
      <c r="I98" s="224"/>
      <c r="J98" s="225"/>
    </row>
  </sheetData>
  <sheetProtection algorithmName="SHA-512" hashValue="AjQNGvaEkq2QLCYR02bgizR7KMpstUGdcfmFQG+rIA2ItijidEc41436LEBTbBvZx6EHDHiZ1+4NfA8PTX2/AA==" saltValue="O5RRr6PpIgDoQMlLLoj2Lw==" spinCount="100000" sheet="1" objects="1" scenarios="1"/>
  <phoneticPr fontId="11" type="noConversion"/>
  <pageMargins left="0.75" right="0.75" top="1" bottom="1" header="0.5" footer="0.5"/>
  <pageSetup paperSize="8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Drop Down 5">
              <controlPr defaultSize="0" autoLine="0" autoPict="0">
                <anchor moveWithCells="1">
                  <from>
                    <xdr:col>2</xdr:col>
                    <xdr:colOff>1343025</xdr:colOff>
                    <xdr:row>4</xdr:row>
                    <xdr:rowOff>85725</xdr:rowOff>
                  </from>
                  <to>
                    <xdr:col>4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5" name="Drop Down 138">
              <controlPr defaultSize="0" autoLine="0" autoPict="0">
                <anchor moveWithCells="1">
                  <from>
                    <xdr:col>3</xdr:col>
                    <xdr:colOff>914400</xdr:colOff>
                    <xdr:row>62</xdr:row>
                    <xdr:rowOff>133350</xdr:rowOff>
                  </from>
                  <to>
                    <xdr:col>5</xdr:col>
                    <xdr:colOff>19050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IW1043"/>
  <sheetViews>
    <sheetView zoomScaleNormal="100" workbookViewId="0">
      <selection activeCell="E8" sqref="E8"/>
    </sheetView>
  </sheetViews>
  <sheetFormatPr defaultRowHeight="12.75" x14ac:dyDescent="0.2"/>
  <cols>
    <col min="1" max="1" width="3.28515625" style="433" customWidth="1"/>
    <col min="2" max="3" width="3.7109375" style="1" customWidth="1"/>
    <col min="4" max="4" width="60.85546875" style="1" customWidth="1"/>
    <col min="5" max="5" width="29.7109375" style="1" customWidth="1"/>
    <col min="6" max="11" width="12.7109375" style="1" customWidth="1"/>
    <col min="12" max="13" width="10.28515625" style="1" bestFit="1" customWidth="1"/>
    <col min="14" max="14" width="12.28515625" style="1" bestFit="1" customWidth="1"/>
    <col min="15" max="25" width="10.28515625" style="1" bestFit="1" customWidth="1"/>
    <col min="26" max="26" width="10.28515625" style="1" customWidth="1"/>
    <col min="27" max="27" width="1.85546875" customWidth="1"/>
    <col min="28" max="28" width="3.7109375" style="1" customWidth="1"/>
    <col min="29" max="127" width="9.140625" style="433"/>
    <col min="128" max="16384" width="9.140625" style="1"/>
  </cols>
  <sheetData>
    <row r="1" spans="2:28" s="433" customFormat="1" ht="13.5" thickBot="1" x14ac:dyDescent="0.25"/>
    <row r="2" spans="2:28" ht="16.5" thickBot="1" x14ac:dyDescent="0.3">
      <c r="B2" s="437"/>
      <c r="C2" s="498" t="s">
        <v>14</v>
      </c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39"/>
    </row>
    <row r="3" spans="2:28" ht="16.5" thickTop="1" x14ac:dyDescent="0.25">
      <c r="B3" s="445"/>
      <c r="C3" s="499"/>
      <c r="D3" s="463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7"/>
    </row>
    <row r="4" spans="2:28" ht="13.5" thickBot="1" x14ac:dyDescent="0.25">
      <c r="B4" s="445"/>
      <c r="C4" s="446"/>
      <c r="D4" s="492" t="s">
        <v>0</v>
      </c>
      <c r="E4" s="492" t="s">
        <v>329</v>
      </c>
      <c r="F4" s="446"/>
      <c r="G4" s="494"/>
      <c r="H4" s="495" t="s">
        <v>33</v>
      </c>
      <c r="I4" s="480"/>
      <c r="J4" s="494"/>
      <c r="K4" s="446"/>
      <c r="L4" s="446"/>
      <c r="M4" s="446"/>
      <c r="N4" s="446"/>
      <c r="O4" s="446"/>
      <c r="P4" s="446"/>
      <c r="Q4" s="487"/>
      <c r="R4" s="446"/>
      <c r="S4" s="446"/>
      <c r="T4" s="446"/>
      <c r="U4" s="446"/>
      <c r="V4" s="488"/>
      <c r="W4" s="488"/>
      <c r="X4" s="446"/>
      <c r="Y4" s="446"/>
      <c r="Z4" s="446"/>
      <c r="AA4" s="446"/>
      <c r="AB4" s="447"/>
    </row>
    <row r="5" spans="2:28" x14ac:dyDescent="0.2">
      <c r="B5" s="445"/>
      <c r="C5" s="446"/>
      <c r="D5" s="487"/>
      <c r="E5" s="487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87"/>
      <c r="R5" s="446"/>
      <c r="S5" s="446"/>
      <c r="T5" s="446"/>
      <c r="U5" s="446"/>
      <c r="V5" s="488"/>
      <c r="W5" s="446"/>
      <c r="X5" s="446"/>
      <c r="Y5" s="446"/>
      <c r="Z5" s="446"/>
      <c r="AA5" s="446"/>
      <c r="AB5" s="447"/>
    </row>
    <row r="6" spans="2:28" ht="13.5" thickBot="1" x14ac:dyDescent="0.25">
      <c r="B6" s="445"/>
      <c r="C6" s="446"/>
      <c r="D6" s="490" t="s">
        <v>326</v>
      </c>
      <c r="E6" s="491">
        <v>2019</v>
      </c>
      <c r="F6" s="446"/>
      <c r="G6" s="494"/>
      <c r="H6" s="495" t="s">
        <v>34</v>
      </c>
      <c r="I6" s="494" t="s">
        <v>318</v>
      </c>
      <c r="J6" s="494"/>
      <c r="K6" s="494"/>
      <c r="L6" s="446"/>
      <c r="M6" s="446"/>
      <c r="N6" s="446"/>
      <c r="O6" s="446"/>
      <c r="P6" s="446"/>
      <c r="Q6" s="487"/>
      <c r="R6" s="446"/>
      <c r="S6" s="446"/>
      <c r="T6" s="446"/>
      <c r="U6" s="446"/>
      <c r="V6" s="488"/>
      <c r="W6" s="446"/>
      <c r="X6" s="446"/>
      <c r="Y6" s="446"/>
      <c r="Z6" s="446"/>
      <c r="AA6" s="446"/>
      <c r="AB6" s="447"/>
    </row>
    <row r="7" spans="2:28" x14ac:dyDescent="0.2">
      <c r="B7" s="445"/>
      <c r="C7" s="446"/>
      <c r="D7" s="487"/>
      <c r="E7" s="487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87"/>
      <c r="R7" s="446"/>
      <c r="S7" s="446"/>
      <c r="T7" s="446"/>
      <c r="U7" s="446"/>
      <c r="V7" s="488"/>
      <c r="W7" s="446"/>
      <c r="X7" s="446"/>
      <c r="Y7" s="446"/>
      <c r="Z7" s="446"/>
      <c r="AA7" s="446"/>
      <c r="AB7" s="447"/>
    </row>
    <row r="8" spans="2:28" ht="13.5" thickBot="1" x14ac:dyDescent="0.25">
      <c r="B8" s="445"/>
      <c r="C8" s="446"/>
      <c r="D8" s="492" t="s">
        <v>30</v>
      </c>
      <c r="E8" s="493">
        <v>3</v>
      </c>
      <c r="F8" s="446"/>
      <c r="G8" s="494"/>
      <c r="H8" s="492" t="s">
        <v>27</v>
      </c>
      <c r="I8" s="493">
        <v>1</v>
      </c>
      <c r="J8" s="494"/>
      <c r="K8" s="446"/>
      <c r="L8" s="494"/>
      <c r="M8" s="495" t="s">
        <v>32</v>
      </c>
      <c r="N8" s="496"/>
      <c r="O8" s="497"/>
      <c r="P8" s="446"/>
      <c r="Q8" s="487"/>
      <c r="R8" s="446"/>
      <c r="S8" s="446"/>
      <c r="T8" s="446"/>
      <c r="U8" s="446"/>
      <c r="V8" s="488"/>
      <c r="W8" s="446"/>
      <c r="X8" s="446"/>
      <c r="Y8" s="446"/>
      <c r="Z8" s="446"/>
      <c r="AA8" s="446"/>
      <c r="AB8" s="447"/>
    </row>
    <row r="9" spans="2:28" ht="15" x14ac:dyDescent="0.25">
      <c r="B9" s="445"/>
      <c r="C9" s="446"/>
      <c r="D9" s="699" t="str">
        <f>"All costs to be entered in real ($"&amp;E9&amp;")"</f>
        <v>All costs to be entered in real ($2015)</v>
      </c>
      <c r="E9" s="698">
        <v>2015</v>
      </c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47"/>
    </row>
    <row r="10" spans="2:28" ht="16.5" thickBot="1" x14ac:dyDescent="0.3">
      <c r="B10" s="445"/>
      <c r="C10" s="500" t="s">
        <v>76</v>
      </c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47"/>
    </row>
    <row r="11" spans="2:28" ht="13.5" thickTop="1" x14ac:dyDescent="0.2">
      <c r="B11" s="445"/>
      <c r="C11" s="446"/>
      <c r="D11" s="487"/>
      <c r="E11" s="446"/>
      <c r="F11" s="446"/>
      <c r="G11" s="446"/>
      <c r="H11" s="446"/>
      <c r="I11" s="446"/>
      <c r="J11" s="446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446"/>
      <c r="AA11" s="446"/>
      <c r="AB11" s="447"/>
    </row>
    <row r="12" spans="2:28" x14ac:dyDescent="0.2">
      <c r="B12" s="445"/>
      <c r="C12" s="446"/>
      <c r="D12" s="501" t="str">
        <f>"Capital Costs ($"&amp;E9&amp;")"</f>
        <v>Capital Costs ($2015)</v>
      </c>
      <c r="E12" s="505"/>
      <c r="F12" s="506">
        <f>E6</f>
        <v>2019</v>
      </c>
      <c r="G12" s="506">
        <f>F12+1</f>
        <v>2020</v>
      </c>
      <c r="H12" s="506">
        <f>G12+1</f>
        <v>2021</v>
      </c>
      <c r="I12" s="506">
        <f>H12+1</f>
        <v>2022</v>
      </c>
      <c r="J12" s="506">
        <f t="shared" ref="J12:S12" si="0">I12+1</f>
        <v>2023</v>
      </c>
      <c r="K12" s="506">
        <f t="shared" si="0"/>
        <v>2024</v>
      </c>
      <c r="L12" s="506">
        <f t="shared" si="0"/>
        <v>2025</v>
      </c>
      <c r="M12" s="506">
        <f t="shared" si="0"/>
        <v>2026</v>
      </c>
      <c r="N12" s="506">
        <f t="shared" si="0"/>
        <v>2027</v>
      </c>
      <c r="O12" s="506">
        <f t="shared" si="0"/>
        <v>2028</v>
      </c>
      <c r="P12" s="506">
        <f t="shared" si="0"/>
        <v>2029</v>
      </c>
      <c r="Q12" s="506">
        <f t="shared" si="0"/>
        <v>2030</v>
      </c>
      <c r="R12" s="506">
        <f t="shared" si="0"/>
        <v>2031</v>
      </c>
      <c r="S12" s="506">
        <f t="shared" si="0"/>
        <v>2032</v>
      </c>
      <c r="T12" s="506">
        <f>S12+1</f>
        <v>2033</v>
      </c>
      <c r="U12" s="506">
        <f t="shared" ref="U12:Z12" si="1">T12+1</f>
        <v>2034</v>
      </c>
      <c r="V12" s="506">
        <f t="shared" si="1"/>
        <v>2035</v>
      </c>
      <c r="W12" s="506">
        <f t="shared" si="1"/>
        <v>2036</v>
      </c>
      <c r="X12" s="506">
        <f t="shared" si="1"/>
        <v>2037</v>
      </c>
      <c r="Y12" s="506">
        <f t="shared" si="1"/>
        <v>2038</v>
      </c>
      <c r="Z12" s="506">
        <f t="shared" si="1"/>
        <v>2039</v>
      </c>
      <c r="AA12" s="446"/>
      <c r="AB12" s="447"/>
    </row>
    <row r="13" spans="2:28" x14ac:dyDescent="0.2">
      <c r="B13" s="445"/>
      <c r="C13" s="446"/>
      <c r="D13" s="502"/>
      <c r="E13" s="505"/>
      <c r="F13" s="507" t="s">
        <v>78</v>
      </c>
      <c r="G13" s="507" t="s">
        <v>78</v>
      </c>
      <c r="H13" s="507" t="s">
        <v>78</v>
      </c>
      <c r="I13" s="507" t="s">
        <v>78</v>
      </c>
      <c r="J13" s="507" t="s">
        <v>78</v>
      </c>
      <c r="K13" s="507" t="s">
        <v>78</v>
      </c>
      <c r="L13" s="507" t="s">
        <v>78</v>
      </c>
      <c r="M13" s="507" t="s">
        <v>78</v>
      </c>
      <c r="N13" s="507" t="s">
        <v>78</v>
      </c>
      <c r="O13" s="507" t="s">
        <v>78</v>
      </c>
      <c r="P13" s="507" t="s">
        <v>78</v>
      </c>
      <c r="Q13" s="507" t="s">
        <v>78</v>
      </c>
      <c r="R13" s="507" t="s">
        <v>78</v>
      </c>
      <c r="S13" s="507" t="s">
        <v>78</v>
      </c>
      <c r="T13" s="507" t="s">
        <v>78</v>
      </c>
      <c r="U13" s="507" t="s">
        <v>78</v>
      </c>
      <c r="V13" s="507" t="s">
        <v>78</v>
      </c>
      <c r="W13" s="507" t="s">
        <v>78</v>
      </c>
      <c r="X13" s="507" t="s">
        <v>78</v>
      </c>
      <c r="Y13" s="507" t="s">
        <v>78</v>
      </c>
      <c r="Z13" s="507" t="s">
        <v>78</v>
      </c>
      <c r="AA13" s="446"/>
      <c r="AB13" s="447"/>
    </row>
    <row r="14" spans="2:28" x14ac:dyDescent="0.2">
      <c r="B14" s="445"/>
      <c r="C14" s="446"/>
      <c r="D14" s="503"/>
      <c r="E14" s="518" t="s">
        <v>56</v>
      </c>
      <c r="F14" s="508"/>
      <c r="G14" s="508"/>
      <c r="H14" s="508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446"/>
      <c r="AB14" s="447"/>
    </row>
    <row r="15" spans="2:28" x14ac:dyDescent="0.2">
      <c r="B15" s="445"/>
      <c r="C15" s="446"/>
      <c r="D15" s="504" t="s">
        <v>77</v>
      </c>
      <c r="E15" s="547" t="s">
        <v>121</v>
      </c>
      <c r="F15" s="510"/>
      <c r="G15" s="510">
        <v>125</v>
      </c>
      <c r="H15" s="510">
        <v>250</v>
      </c>
      <c r="I15" s="510">
        <v>250</v>
      </c>
      <c r="J15" s="510">
        <v>250</v>
      </c>
      <c r="K15" s="510">
        <v>250</v>
      </c>
      <c r="L15" s="510">
        <v>250</v>
      </c>
      <c r="M15" s="510">
        <v>250</v>
      </c>
      <c r="N15" s="510">
        <v>250</v>
      </c>
      <c r="O15" s="510">
        <v>250</v>
      </c>
      <c r="P15" s="510">
        <v>250</v>
      </c>
      <c r="Q15" s="510">
        <v>250</v>
      </c>
      <c r="R15" s="510">
        <v>250</v>
      </c>
      <c r="S15" s="510">
        <v>250</v>
      </c>
      <c r="T15" s="510">
        <v>250</v>
      </c>
      <c r="U15" s="510">
        <v>250</v>
      </c>
      <c r="V15" s="510">
        <v>250</v>
      </c>
      <c r="W15" s="510">
        <v>250</v>
      </c>
      <c r="X15" s="510">
        <v>250</v>
      </c>
      <c r="Y15" s="510">
        <v>250</v>
      </c>
      <c r="Z15" s="510">
        <v>250</v>
      </c>
      <c r="AA15" s="446"/>
      <c r="AB15" s="447"/>
    </row>
    <row r="16" spans="2:28" x14ac:dyDescent="0.2">
      <c r="B16" s="445"/>
      <c r="C16" s="689" t="str">
        <f>CONCATENATE(D16,": ",E16)</f>
        <v>Option 1: Provide In Meter Capabilities</v>
      </c>
      <c r="D16" s="504" t="s">
        <v>51</v>
      </c>
      <c r="E16" s="694" t="s">
        <v>327</v>
      </c>
      <c r="F16" s="704">
        <v>1340.6829</v>
      </c>
      <c r="G16" s="704">
        <v>1050.7030000000002</v>
      </c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446"/>
      <c r="AB16" s="447"/>
    </row>
    <row r="17" spans="2:28" ht="38.25" x14ac:dyDescent="0.2">
      <c r="B17" s="445"/>
      <c r="C17" s="689" t="str">
        <f>CONCATENATE(D17,": ",E17)</f>
        <v>Option 2: Provide In Meter Capabilities with Near Real-time Centralised Analytics</v>
      </c>
      <c r="D17" s="504" t="s">
        <v>52</v>
      </c>
      <c r="E17" s="694" t="s">
        <v>328</v>
      </c>
      <c r="F17" s="704">
        <v>6000</v>
      </c>
      <c r="G17" s="704">
        <v>4701</v>
      </c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446"/>
      <c r="AB17" s="447"/>
    </row>
    <row r="18" spans="2:28" x14ac:dyDescent="0.2">
      <c r="B18" s="445"/>
      <c r="C18" s="689" t="str">
        <f>CONCATENATE(D18,": ",E18)</f>
        <v xml:space="preserve">Option 3: </v>
      </c>
      <c r="D18" s="504" t="s">
        <v>53</v>
      </c>
      <c r="E18" s="518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446"/>
      <c r="AB18" s="447"/>
    </row>
    <row r="19" spans="2:28" x14ac:dyDescent="0.2">
      <c r="B19" s="445"/>
      <c r="C19" s="689" t="str">
        <f>CONCATENATE(D19,": ",E19)</f>
        <v xml:space="preserve">Option 4: </v>
      </c>
      <c r="D19" s="504" t="s">
        <v>54</v>
      </c>
      <c r="E19" s="518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446"/>
      <c r="AB19" s="447"/>
    </row>
    <row r="20" spans="2:28" x14ac:dyDescent="0.2">
      <c r="B20" s="445"/>
      <c r="C20" s="689" t="str">
        <f>CONCATENATE(D20,": ",E20)</f>
        <v xml:space="preserve">Option 5: </v>
      </c>
      <c r="D20" s="504" t="s">
        <v>55</v>
      </c>
      <c r="E20" s="518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446"/>
      <c r="AB20" s="447"/>
    </row>
    <row r="21" spans="2:28" x14ac:dyDescent="0.2">
      <c r="B21" s="445"/>
      <c r="C21" s="446"/>
      <c r="D21" s="487"/>
      <c r="E21" s="487"/>
      <c r="F21" s="446"/>
      <c r="G21" s="446"/>
      <c r="H21" s="446"/>
      <c r="I21" s="446"/>
      <c r="J21" s="446"/>
      <c r="K21" s="512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7"/>
    </row>
    <row r="22" spans="2:28" ht="16.5" thickBot="1" x14ac:dyDescent="0.3">
      <c r="B22" s="445"/>
      <c r="C22" s="500" t="str">
        <f>"Operating Costs ($"&amp;E9&amp;")"</f>
        <v>Operating Costs ($2015)</v>
      </c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47"/>
    </row>
    <row r="23" spans="2:28" ht="13.5" thickTop="1" x14ac:dyDescent="0.2">
      <c r="B23" s="445"/>
      <c r="C23" s="516"/>
      <c r="D23" s="487"/>
      <c r="E23" s="517"/>
      <c r="F23" s="446"/>
      <c r="G23" s="446"/>
      <c r="H23" s="446"/>
      <c r="I23" s="446"/>
      <c r="J23" s="446"/>
      <c r="K23" s="512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7"/>
    </row>
    <row r="24" spans="2:28" ht="13.5" thickBot="1" x14ac:dyDescent="0.25">
      <c r="B24" s="445"/>
      <c r="C24" s="446"/>
      <c r="D24" s="492" t="s">
        <v>122</v>
      </c>
      <c r="E24" s="487"/>
      <c r="F24" s="446"/>
      <c r="G24" s="446"/>
      <c r="H24" s="446"/>
      <c r="I24" s="446"/>
      <c r="J24" s="446"/>
      <c r="K24" s="512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7"/>
    </row>
    <row r="25" spans="2:28" x14ac:dyDescent="0.2">
      <c r="B25" s="445"/>
      <c r="C25" s="446"/>
      <c r="D25" s="487"/>
      <c r="E25" s="487"/>
      <c r="F25" s="446"/>
      <c r="G25" s="446"/>
      <c r="H25" s="446"/>
      <c r="I25" s="446"/>
      <c r="J25" s="446"/>
      <c r="K25" s="512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7"/>
    </row>
    <row r="26" spans="2:28" x14ac:dyDescent="0.2">
      <c r="B26" s="445"/>
      <c r="C26" s="446"/>
      <c r="D26" s="520"/>
      <c r="E26" s="521" t="s">
        <v>151</v>
      </c>
      <c r="F26" s="523">
        <f>G12</f>
        <v>2020</v>
      </c>
      <c r="G26" s="523">
        <f t="shared" ref="G26:M26" si="2">F26+1</f>
        <v>2021</v>
      </c>
      <c r="H26" s="523">
        <f t="shared" si="2"/>
        <v>2022</v>
      </c>
      <c r="I26" s="523">
        <f t="shared" si="2"/>
        <v>2023</v>
      </c>
      <c r="J26" s="523">
        <f t="shared" si="2"/>
        <v>2024</v>
      </c>
      <c r="K26" s="523">
        <f t="shared" si="2"/>
        <v>2025</v>
      </c>
      <c r="L26" s="523">
        <f t="shared" si="2"/>
        <v>2026</v>
      </c>
      <c r="M26" s="523">
        <f t="shared" si="2"/>
        <v>2027</v>
      </c>
      <c r="N26" s="523">
        <f t="shared" ref="N26:Y26" si="3">M26+1</f>
        <v>2028</v>
      </c>
      <c r="O26" s="523">
        <f t="shared" si="3"/>
        <v>2029</v>
      </c>
      <c r="P26" s="523">
        <f t="shared" si="3"/>
        <v>2030</v>
      </c>
      <c r="Q26" s="523">
        <f t="shared" si="3"/>
        <v>2031</v>
      </c>
      <c r="R26" s="523">
        <f t="shared" si="3"/>
        <v>2032</v>
      </c>
      <c r="S26" s="523">
        <f t="shared" si="3"/>
        <v>2033</v>
      </c>
      <c r="T26" s="523">
        <f>S26+1</f>
        <v>2034</v>
      </c>
      <c r="U26" s="523">
        <f t="shared" si="3"/>
        <v>2035</v>
      </c>
      <c r="V26" s="523">
        <f t="shared" si="3"/>
        <v>2036</v>
      </c>
      <c r="W26" s="523">
        <f t="shared" si="3"/>
        <v>2037</v>
      </c>
      <c r="X26" s="523">
        <f t="shared" si="3"/>
        <v>2038</v>
      </c>
      <c r="Y26" s="523">
        <f t="shared" si="3"/>
        <v>2039</v>
      </c>
      <c r="Z26" s="523">
        <f>Y26+1</f>
        <v>2040</v>
      </c>
      <c r="AA26" s="446"/>
      <c r="AB26" s="447"/>
    </row>
    <row r="27" spans="2:28" x14ac:dyDescent="0.2">
      <c r="B27" s="445"/>
      <c r="C27" s="446"/>
      <c r="D27" s="695" t="s">
        <v>319</v>
      </c>
      <c r="E27" s="519" t="s">
        <v>104</v>
      </c>
      <c r="F27" s="537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37"/>
      <c r="Z27" s="537"/>
      <c r="AA27" s="446"/>
      <c r="AB27" s="447"/>
    </row>
    <row r="28" spans="2:28" x14ac:dyDescent="0.2">
      <c r="B28" s="445"/>
      <c r="C28" s="446"/>
      <c r="D28" s="543"/>
      <c r="E28" s="533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46"/>
      <c r="AB28" s="447"/>
    </row>
    <row r="29" spans="2:28" x14ac:dyDescent="0.2">
      <c r="B29" s="445"/>
      <c r="C29" s="446"/>
      <c r="D29" s="542" t="str">
        <f>IF($I$8=1,"Negative Impact on Revenue (STPIS)",0)</f>
        <v>Negative Impact on Revenue (STPIS)</v>
      </c>
      <c r="E29" s="528">
        <v>4</v>
      </c>
      <c r="F29" s="522">
        <f>F26</f>
        <v>2020</v>
      </c>
      <c r="G29" s="522">
        <f t="shared" ref="G29:Z29" si="4">G26</f>
        <v>2021</v>
      </c>
      <c r="H29" s="522">
        <f t="shared" si="4"/>
        <v>2022</v>
      </c>
      <c r="I29" s="522">
        <f t="shared" si="4"/>
        <v>2023</v>
      </c>
      <c r="J29" s="522">
        <f t="shared" si="4"/>
        <v>2024</v>
      </c>
      <c r="K29" s="522">
        <f t="shared" si="4"/>
        <v>2025</v>
      </c>
      <c r="L29" s="522">
        <f t="shared" si="4"/>
        <v>2026</v>
      </c>
      <c r="M29" s="522">
        <f t="shared" si="4"/>
        <v>2027</v>
      </c>
      <c r="N29" s="522">
        <f t="shared" si="4"/>
        <v>2028</v>
      </c>
      <c r="O29" s="522">
        <f t="shared" si="4"/>
        <v>2029</v>
      </c>
      <c r="P29" s="522">
        <f t="shared" si="4"/>
        <v>2030</v>
      </c>
      <c r="Q29" s="522">
        <f t="shared" si="4"/>
        <v>2031</v>
      </c>
      <c r="R29" s="522">
        <f t="shared" si="4"/>
        <v>2032</v>
      </c>
      <c r="S29" s="522">
        <f t="shared" si="4"/>
        <v>2033</v>
      </c>
      <c r="T29" s="522">
        <f t="shared" si="4"/>
        <v>2034</v>
      </c>
      <c r="U29" s="522">
        <f t="shared" si="4"/>
        <v>2035</v>
      </c>
      <c r="V29" s="522">
        <f t="shared" si="4"/>
        <v>2036</v>
      </c>
      <c r="W29" s="522">
        <f t="shared" si="4"/>
        <v>2037</v>
      </c>
      <c r="X29" s="522">
        <f t="shared" si="4"/>
        <v>2038</v>
      </c>
      <c r="Y29" s="522">
        <f t="shared" si="4"/>
        <v>2039</v>
      </c>
      <c r="Z29" s="522">
        <f t="shared" si="4"/>
        <v>2040</v>
      </c>
      <c r="AA29" s="446"/>
      <c r="AB29" s="447"/>
    </row>
    <row r="30" spans="2:28" x14ac:dyDescent="0.2">
      <c r="B30" s="445"/>
      <c r="C30" s="446"/>
      <c r="D30" s="544" t="str">
        <f>IF($I$8=1,"SAIFI sustained",0)</f>
        <v>SAIFI sustained</v>
      </c>
      <c r="E30" s="529" t="s">
        <v>148</v>
      </c>
      <c r="F30" s="675"/>
      <c r="G30" s="530">
        <f>IF($E$29=1,0,IF(OR($E$29=2,$E$29=3,$E$29=4,$E$29=5),$F$30))</f>
        <v>0</v>
      </c>
      <c r="H30" s="530">
        <f>IF($E$29=1,0,IF(OR($E$29=2,$E$29=3,$E$29=4,$E$29=5),$F$30))</f>
        <v>0</v>
      </c>
      <c r="I30" s="530">
        <f>IF($E$29=1,0,IF(OR($E$29=2,$E$29=3,$E$29=4,$E$29=5),$F$30))</f>
        <v>0</v>
      </c>
      <c r="J30" s="530">
        <f>IF($E$29=1,0,IF(OR($E$29=2,$E$29=3,$E$29=4,$E$29=5),$F$30))</f>
        <v>0</v>
      </c>
      <c r="K30" s="530">
        <f>IF($E$29=1,0,IF(OR($E$29=2,$E$29=3,$E$29=4,$E$29=5),$F$30))</f>
        <v>0</v>
      </c>
      <c r="L30" s="525"/>
      <c r="M30" s="530">
        <f>IF(OR($E$29=1,$E$29=2),0,$L$30)</f>
        <v>0</v>
      </c>
      <c r="N30" s="530">
        <f>IF(OR($E$29=1,$E$29=2),0,$L$30)</f>
        <v>0</v>
      </c>
      <c r="O30" s="530">
        <f>IF(OR($E$29=1,$E$29=2),0,$L$30)</f>
        <v>0</v>
      </c>
      <c r="P30" s="530">
        <f>IF(OR($E$29=1,$E$29=2),0,$L$30)</f>
        <v>0</v>
      </c>
      <c r="Q30" s="530">
        <f>IF(OR($E$29=1,$E$29=2),0,$L$30)</f>
        <v>0</v>
      </c>
      <c r="R30" s="525"/>
      <c r="S30" s="530">
        <f>IF(OR($E$29=1,$E$29=2,$E$29=3),0,$R$30)</f>
        <v>0</v>
      </c>
      <c r="T30" s="530">
        <f>IF(OR($E$29=1,$E$29=2,$E$29=3),0,$R$30)</f>
        <v>0</v>
      </c>
      <c r="U30" s="530">
        <f>IF(OR($E$29=1,$E$29=2,$E$29=3),0,$R$30)</f>
        <v>0</v>
      </c>
      <c r="V30" s="530">
        <f>IF(OR($E$29=1,$E$29=2,$E$29=3),0,$R$30)</f>
        <v>0</v>
      </c>
      <c r="W30" s="530">
        <f>IF(OR($E$29=1,$E$29=2,$E$29=3),0,$R$30)</f>
        <v>0</v>
      </c>
      <c r="X30" s="525"/>
      <c r="Y30" s="530">
        <f>IF($E$29=5,$X$30,0)</f>
        <v>0</v>
      </c>
      <c r="Z30" s="530">
        <f>IF($E$29=5,$X$30,0)</f>
        <v>0</v>
      </c>
      <c r="AA30" s="446"/>
      <c r="AB30" s="447"/>
    </row>
    <row r="31" spans="2:28" x14ac:dyDescent="0.2">
      <c r="B31" s="445"/>
      <c r="C31" s="446"/>
      <c r="D31" s="544" t="str">
        <f>IF($I$8=1,"SAIDI accidental",0)</f>
        <v>SAIDI accidental</v>
      </c>
      <c r="E31" s="529" t="s">
        <v>149</v>
      </c>
      <c r="F31" s="524"/>
      <c r="G31" s="530">
        <f>IF($E$29=1,0,IF(OR($E$29=2,$E$29=3,$E$29=4,$E$29=5),$F$31))</f>
        <v>0</v>
      </c>
      <c r="H31" s="530">
        <f>IF($E$29=1,0,IF(OR($E$29=2,$E$29=3,$E$29=4,$E$29=5),$F$31))</f>
        <v>0</v>
      </c>
      <c r="I31" s="530">
        <f>IF($E$29=1,0,IF(OR($E$29=2,$E$29=3,$E$29=4,$E$29=5),$F$31))</f>
        <v>0</v>
      </c>
      <c r="J31" s="530">
        <f>IF($E$29=1,0,IF(OR($E$29=2,$E$29=3,$E$29=4,$E$29=5),$F$31))</f>
        <v>0</v>
      </c>
      <c r="K31" s="530">
        <f>IF($E$29=1,0,IF(OR($E$29=2,$E$29=3,$E$29=4,$E$29=5),$F$31))</f>
        <v>0</v>
      </c>
      <c r="L31" s="525"/>
      <c r="M31" s="530">
        <f>IF(OR($E$29=1,$E$29=2),0,$L$31)</f>
        <v>0</v>
      </c>
      <c r="N31" s="530">
        <f>IF(OR($E$29=1,$E$29=2),0,$L$31)</f>
        <v>0</v>
      </c>
      <c r="O31" s="530">
        <f>IF(OR($E$29=1,$E$29=2),0,$L$31)</f>
        <v>0</v>
      </c>
      <c r="P31" s="530">
        <f>IF(OR($E$29=1,$E$29=2),0,$L$31)</f>
        <v>0</v>
      </c>
      <c r="Q31" s="530">
        <f>IF(OR($E$29=1,$E$29=2),0,$L$31)</f>
        <v>0</v>
      </c>
      <c r="R31" s="525"/>
      <c r="S31" s="530">
        <f>IF(OR($E$29=1,$E$29=2,$E$29=3),0,$R$31)</f>
        <v>0</v>
      </c>
      <c r="T31" s="530">
        <f>IF(OR($E$29=1,$E$29=2,$E$29=3),0,$R$31)</f>
        <v>0</v>
      </c>
      <c r="U31" s="530">
        <f>IF(OR($E$29=1,$E$29=2,$E$29=3),0,$R$31)</f>
        <v>0</v>
      </c>
      <c r="V31" s="530">
        <f>IF(OR($E$29=1,$E$29=2,$E$29=3),0,$R$31)</f>
        <v>0</v>
      </c>
      <c r="W31" s="530">
        <f>IF(OR($E$29=1,$E$29=2,$E$29=3),0,$R$31)</f>
        <v>0</v>
      </c>
      <c r="X31" s="525"/>
      <c r="Y31" s="530">
        <f>IF($E$29=5,$X$31,0)</f>
        <v>0</v>
      </c>
      <c r="Z31" s="530">
        <f>IF($E$29=5,$X$31,0)</f>
        <v>0</v>
      </c>
      <c r="AA31" s="446"/>
      <c r="AB31" s="447"/>
    </row>
    <row r="32" spans="2:28" x14ac:dyDescent="0.2">
      <c r="B32" s="445"/>
      <c r="C32" s="446"/>
      <c r="D32" s="544" t="str">
        <f>IF($I$8=1,"MAIFI momentary",0)</f>
        <v>MAIFI momentary</v>
      </c>
      <c r="E32" s="529" t="s">
        <v>148</v>
      </c>
      <c r="F32" s="525"/>
      <c r="G32" s="530">
        <f>IF($E$29=1,0,IF(OR($E$29=2,$E$29=3,$E$29=4,$E$29=5),$F$32))</f>
        <v>0</v>
      </c>
      <c r="H32" s="530">
        <f>IF($E$29=1,0,IF(OR($E$29=2,$E$29=3,$E$29=4,$E$29=5),$F$32))</f>
        <v>0</v>
      </c>
      <c r="I32" s="530">
        <f>IF($E$29=1,0,IF(OR($E$29=2,$E$29=3,$E$29=4,$E$29=5),$F$32))</f>
        <v>0</v>
      </c>
      <c r="J32" s="530">
        <f>IF($E$29=1,0,IF(OR($E$29=2,$E$29=3,$E$29=4,$E$29=5),$F$32))</f>
        <v>0</v>
      </c>
      <c r="K32" s="530">
        <f>IF($E$29=1,0,IF(OR($E$29=2,$E$29=3,$E$29=4,$E$29=5),$F$32))</f>
        <v>0</v>
      </c>
      <c r="L32" s="525"/>
      <c r="M32" s="530">
        <f>IF(OR($E$29=1,$E$29=2),0,$L$32)</f>
        <v>0</v>
      </c>
      <c r="N32" s="530">
        <f>IF(OR($E$29=1,$E$29=2),0,$L$32)</f>
        <v>0</v>
      </c>
      <c r="O32" s="530">
        <f>IF(OR($E$29=1,$E$29=2),0,$L$32)</f>
        <v>0</v>
      </c>
      <c r="P32" s="530">
        <f>IF(OR($E$29=1,$E$29=2),0,$L$32)</f>
        <v>0</v>
      </c>
      <c r="Q32" s="530">
        <f>IF(OR($E$29=1,$E$29=2),0,$L$32)</f>
        <v>0</v>
      </c>
      <c r="R32" s="525"/>
      <c r="S32" s="530">
        <f>IF(OR($E$29=1,$E$29=2,$E$29=3),0,$R$32)</f>
        <v>0</v>
      </c>
      <c r="T32" s="530">
        <f>IF(OR($E$29=1,$E$29=2,$E$29=3),0,$R$32)</f>
        <v>0</v>
      </c>
      <c r="U32" s="530">
        <f>IF(OR($E$29=1,$E$29=2,$E$29=3),0,$R$32)</f>
        <v>0</v>
      </c>
      <c r="V32" s="530">
        <f>IF(OR($E$29=1,$E$29=2,$E$29=3),0,$R$32)</f>
        <v>0</v>
      </c>
      <c r="W32" s="530">
        <f>IF(OR($E$29=1,$E$29=2,$E$29=3),0,$R$32)</f>
        <v>0</v>
      </c>
      <c r="X32" s="525"/>
      <c r="Y32" s="530">
        <f>IF($E$29=5,$X$32,0)</f>
        <v>0</v>
      </c>
      <c r="Z32" s="530">
        <f>IF($E$29=5,$X$32,0)</f>
        <v>0</v>
      </c>
      <c r="AA32" s="446"/>
      <c r="AB32" s="447"/>
    </row>
    <row r="33" spans="2:28" x14ac:dyDescent="0.2">
      <c r="B33" s="445"/>
      <c r="C33" s="446"/>
      <c r="D33" s="544" t="str">
        <f>IF($I$8=1,"Call centre response",0)</f>
        <v>Call centre response</v>
      </c>
      <c r="E33" s="529" t="s">
        <v>150</v>
      </c>
      <c r="F33" s="526"/>
      <c r="G33" s="531">
        <f>IF($E$29=1,0,IF(OR($E$29=2,$E$29=3,$E$29=4,$E$29=5),$F$33))</f>
        <v>0</v>
      </c>
      <c r="H33" s="531">
        <f>IF($E$29=1,0,IF(OR($E$29=2,$E$29=3,$E$29=4,$E$29=5),$F$33))</f>
        <v>0</v>
      </c>
      <c r="I33" s="531">
        <f>IF($E$29=1,0,IF(OR($E$29=2,$E$29=3,$E$29=4,$E$29=5),$F$33))</f>
        <v>0</v>
      </c>
      <c r="J33" s="531">
        <f>IF($E$29=1,0,IF(OR($E$29=2,$E$29=3,$E$29=4,$E$29=5),$F$33))</f>
        <v>0</v>
      </c>
      <c r="K33" s="531">
        <f>IF($E$29=1,0,IF(OR($E$29=2,$E$29=3,$E$29=4,$E$29=5),$F$33))</f>
        <v>0</v>
      </c>
      <c r="L33" s="526"/>
      <c r="M33" s="531">
        <f>IF(OR($E$29=1,$E$29=2),0,$L$33)</f>
        <v>0</v>
      </c>
      <c r="N33" s="531">
        <f>IF(OR($E$29=1,$E$29=2),0,$L$33)</f>
        <v>0</v>
      </c>
      <c r="O33" s="531">
        <f>IF(OR($E$29=1,$E$29=2),0,$L$33)</f>
        <v>0</v>
      </c>
      <c r="P33" s="531">
        <f>IF(OR($E$29=1,$E$29=2),0,$L$33)</f>
        <v>0</v>
      </c>
      <c r="Q33" s="531">
        <f>IF(OR($E$29=1,$E$29=2),0,$L$33)</f>
        <v>0</v>
      </c>
      <c r="R33" s="526"/>
      <c r="S33" s="531">
        <f>IF(OR($E$29=1,$E$29=2,$E$29=3),0,$R$33)</f>
        <v>0</v>
      </c>
      <c r="T33" s="531">
        <f>IF(OR($E$29=1,$E$29=2,$E$29=3),0,$R$33)</f>
        <v>0</v>
      </c>
      <c r="U33" s="531">
        <f>IF(OR($E$29=1,$E$29=2,$E$29=3),0,$R$33)</f>
        <v>0</v>
      </c>
      <c r="V33" s="531">
        <f>IF(OR($E$29=1,$E$29=2,$E$29=3),0,$R$33)</f>
        <v>0</v>
      </c>
      <c r="W33" s="531">
        <f>IF(OR($E$29=1,$E$29=2,$E$29=3),0,$R$33)</f>
        <v>0</v>
      </c>
      <c r="X33" s="526"/>
      <c r="Y33" s="531">
        <f>IF($E$29=5,$X$33,0)</f>
        <v>0</v>
      </c>
      <c r="Z33" s="531">
        <f>IF($E$29=5,$X$33,0)</f>
        <v>0</v>
      </c>
      <c r="AA33" s="446"/>
      <c r="AB33" s="447"/>
    </row>
    <row r="34" spans="2:28" x14ac:dyDescent="0.2">
      <c r="B34" s="445"/>
      <c r="C34" s="446"/>
      <c r="D34" s="545"/>
      <c r="E34" s="534"/>
      <c r="F34" s="535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446"/>
      <c r="AB34" s="447"/>
    </row>
    <row r="35" spans="2:28" x14ac:dyDescent="0.2">
      <c r="B35" s="445"/>
      <c r="C35" s="446"/>
      <c r="D35" s="542" t="str">
        <f>IF(I8=1,"Network Outage Costs",0)</f>
        <v>Network Outage Costs</v>
      </c>
      <c r="E35" s="528"/>
      <c r="F35" s="522">
        <f>F29</f>
        <v>2020</v>
      </c>
      <c r="G35" s="522">
        <f t="shared" ref="G35:Z35" si="5">G29</f>
        <v>2021</v>
      </c>
      <c r="H35" s="522">
        <f t="shared" si="5"/>
        <v>2022</v>
      </c>
      <c r="I35" s="522">
        <f t="shared" si="5"/>
        <v>2023</v>
      </c>
      <c r="J35" s="522">
        <f t="shared" si="5"/>
        <v>2024</v>
      </c>
      <c r="K35" s="522">
        <f t="shared" si="5"/>
        <v>2025</v>
      </c>
      <c r="L35" s="522">
        <f t="shared" si="5"/>
        <v>2026</v>
      </c>
      <c r="M35" s="522">
        <f t="shared" si="5"/>
        <v>2027</v>
      </c>
      <c r="N35" s="522">
        <f t="shared" si="5"/>
        <v>2028</v>
      </c>
      <c r="O35" s="522">
        <f t="shared" si="5"/>
        <v>2029</v>
      </c>
      <c r="P35" s="522">
        <f t="shared" si="5"/>
        <v>2030</v>
      </c>
      <c r="Q35" s="522">
        <f t="shared" si="5"/>
        <v>2031</v>
      </c>
      <c r="R35" s="522">
        <f t="shared" si="5"/>
        <v>2032</v>
      </c>
      <c r="S35" s="522">
        <f t="shared" si="5"/>
        <v>2033</v>
      </c>
      <c r="T35" s="522">
        <f t="shared" si="5"/>
        <v>2034</v>
      </c>
      <c r="U35" s="522">
        <f t="shared" si="5"/>
        <v>2035</v>
      </c>
      <c r="V35" s="522">
        <f t="shared" si="5"/>
        <v>2036</v>
      </c>
      <c r="W35" s="522">
        <f t="shared" si="5"/>
        <v>2037</v>
      </c>
      <c r="X35" s="522">
        <f t="shared" si="5"/>
        <v>2038</v>
      </c>
      <c r="Y35" s="522">
        <f t="shared" si="5"/>
        <v>2039</v>
      </c>
      <c r="Z35" s="522">
        <f t="shared" si="5"/>
        <v>2040</v>
      </c>
      <c r="AA35" s="446"/>
      <c r="AB35" s="447"/>
    </row>
    <row r="36" spans="2:28" x14ac:dyDescent="0.2">
      <c r="B36" s="445"/>
      <c r="C36" s="446"/>
      <c r="D36" s="544" t="str">
        <f>IF(I8=1,"Customer off supply",0)</f>
        <v>Customer off supply</v>
      </c>
      <c r="E36" s="529" t="s">
        <v>149</v>
      </c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37"/>
      <c r="V36" s="537"/>
      <c r="W36" s="537"/>
      <c r="X36" s="537"/>
      <c r="Y36" s="537"/>
      <c r="Z36" s="537"/>
      <c r="AA36" s="446"/>
      <c r="AB36" s="447"/>
    </row>
    <row r="37" spans="2:28" x14ac:dyDescent="0.2">
      <c r="B37" s="445"/>
      <c r="C37" s="446"/>
      <c r="D37" s="543"/>
      <c r="E37" s="534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446"/>
      <c r="AB37" s="447"/>
    </row>
    <row r="38" spans="2:28" x14ac:dyDescent="0.2">
      <c r="B38" s="445"/>
      <c r="C38" s="446"/>
      <c r="D38" s="542" t="str">
        <f>IF(I8=1,"Loss of F Factor Benefit",0)</f>
        <v>Loss of F Factor Benefit</v>
      </c>
      <c r="E38" s="527"/>
      <c r="F38" s="522">
        <f>F35</f>
        <v>2020</v>
      </c>
      <c r="G38" s="522">
        <f t="shared" ref="G38:Z38" si="6">G35</f>
        <v>2021</v>
      </c>
      <c r="H38" s="522">
        <f t="shared" si="6"/>
        <v>2022</v>
      </c>
      <c r="I38" s="522">
        <f t="shared" si="6"/>
        <v>2023</v>
      </c>
      <c r="J38" s="522">
        <f t="shared" si="6"/>
        <v>2024</v>
      </c>
      <c r="K38" s="522">
        <f t="shared" si="6"/>
        <v>2025</v>
      </c>
      <c r="L38" s="522">
        <f t="shared" si="6"/>
        <v>2026</v>
      </c>
      <c r="M38" s="522">
        <f t="shared" si="6"/>
        <v>2027</v>
      </c>
      <c r="N38" s="522">
        <f t="shared" si="6"/>
        <v>2028</v>
      </c>
      <c r="O38" s="522">
        <f t="shared" si="6"/>
        <v>2029</v>
      </c>
      <c r="P38" s="522">
        <f t="shared" si="6"/>
        <v>2030</v>
      </c>
      <c r="Q38" s="522">
        <f t="shared" si="6"/>
        <v>2031</v>
      </c>
      <c r="R38" s="522">
        <f t="shared" si="6"/>
        <v>2032</v>
      </c>
      <c r="S38" s="522">
        <f t="shared" si="6"/>
        <v>2033</v>
      </c>
      <c r="T38" s="522">
        <f t="shared" si="6"/>
        <v>2034</v>
      </c>
      <c r="U38" s="522">
        <f t="shared" si="6"/>
        <v>2035</v>
      </c>
      <c r="V38" s="522">
        <f t="shared" si="6"/>
        <v>2036</v>
      </c>
      <c r="W38" s="522">
        <f t="shared" si="6"/>
        <v>2037</v>
      </c>
      <c r="X38" s="522">
        <f t="shared" si="6"/>
        <v>2038</v>
      </c>
      <c r="Y38" s="522">
        <f t="shared" si="6"/>
        <v>2039</v>
      </c>
      <c r="Z38" s="522">
        <f t="shared" si="6"/>
        <v>2040</v>
      </c>
      <c r="AA38" s="446"/>
      <c r="AB38" s="447"/>
    </row>
    <row r="39" spans="2:28" x14ac:dyDescent="0.2">
      <c r="B39" s="445"/>
      <c r="C39" s="534"/>
      <c r="D39" s="546" t="str">
        <f>IF(I8=1,"Loss of F Factor Benefit",0)</f>
        <v>Loss of F Factor Benefit</v>
      </c>
      <c r="E39" s="541" t="s">
        <v>240</v>
      </c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446"/>
      <c r="AB39" s="447"/>
    </row>
    <row r="40" spans="2:28" x14ac:dyDescent="0.2">
      <c r="B40" s="445"/>
      <c r="C40" s="446"/>
      <c r="D40" s="538"/>
      <c r="E40" s="534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446"/>
      <c r="AB40" s="447"/>
    </row>
    <row r="41" spans="2:28" x14ac:dyDescent="0.2">
      <c r="B41" s="445"/>
      <c r="C41" s="446"/>
      <c r="D41" s="542" t="s">
        <v>116</v>
      </c>
      <c r="E41" s="527"/>
      <c r="F41" s="522">
        <f>F38</f>
        <v>2020</v>
      </c>
      <c r="G41" s="522">
        <f t="shared" ref="G41:Z41" si="7">G38</f>
        <v>2021</v>
      </c>
      <c r="H41" s="522">
        <f t="shared" si="7"/>
        <v>2022</v>
      </c>
      <c r="I41" s="522">
        <f t="shared" si="7"/>
        <v>2023</v>
      </c>
      <c r="J41" s="522">
        <f t="shared" si="7"/>
        <v>2024</v>
      </c>
      <c r="K41" s="522">
        <f t="shared" si="7"/>
        <v>2025</v>
      </c>
      <c r="L41" s="522">
        <f t="shared" si="7"/>
        <v>2026</v>
      </c>
      <c r="M41" s="522">
        <f t="shared" si="7"/>
        <v>2027</v>
      </c>
      <c r="N41" s="522">
        <f t="shared" si="7"/>
        <v>2028</v>
      </c>
      <c r="O41" s="522">
        <f t="shared" si="7"/>
        <v>2029</v>
      </c>
      <c r="P41" s="522">
        <f t="shared" si="7"/>
        <v>2030</v>
      </c>
      <c r="Q41" s="522">
        <f t="shared" si="7"/>
        <v>2031</v>
      </c>
      <c r="R41" s="522">
        <f t="shared" si="7"/>
        <v>2032</v>
      </c>
      <c r="S41" s="522">
        <f t="shared" si="7"/>
        <v>2033</v>
      </c>
      <c r="T41" s="522">
        <f t="shared" si="7"/>
        <v>2034</v>
      </c>
      <c r="U41" s="522">
        <f t="shared" si="7"/>
        <v>2035</v>
      </c>
      <c r="V41" s="522">
        <f t="shared" si="7"/>
        <v>2036</v>
      </c>
      <c r="W41" s="522">
        <f t="shared" si="7"/>
        <v>2037</v>
      </c>
      <c r="X41" s="522">
        <f t="shared" si="7"/>
        <v>2038</v>
      </c>
      <c r="Y41" s="522">
        <f t="shared" si="7"/>
        <v>2039</v>
      </c>
      <c r="Z41" s="522">
        <f t="shared" si="7"/>
        <v>2040</v>
      </c>
      <c r="AA41" s="446"/>
      <c r="AB41" s="447"/>
    </row>
    <row r="42" spans="2:28" x14ac:dyDescent="0.2">
      <c r="B42" s="445"/>
      <c r="C42" s="446"/>
      <c r="D42" s="695" t="s">
        <v>320</v>
      </c>
      <c r="E42" s="519" t="s">
        <v>104</v>
      </c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446"/>
      <c r="AB42" s="447"/>
    </row>
    <row r="43" spans="2:28" x14ac:dyDescent="0.2">
      <c r="B43" s="445"/>
      <c r="C43" s="446"/>
      <c r="D43" s="542" t="s">
        <v>315</v>
      </c>
      <c r="E43" s="519" t="s">
        <v>104</v>
      </c>
      <c r="F43" s="510"/>
      <c r="G43" s="510"/>
      <c r="H43" s="510"/>
      <c r="I43" s="510"/>
      <c r="J43" s="510"/>
      <c r="K43" s="510"/>
      <c r="L43" s="510"/>
      <c r="M43" s="510"/>
      <c r="N43" s="510"/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446"/>
      <c r="AB43" s="447"/>
    </row>
    <row r="44" spans="2:28" x14ac:dyDescent="0.2">
      <c r="B44" s="445"/>
      <c r="C44" s="446"/>
      <c r="D44" s="542" t="s">
        <v>316</v>
      </c>
      <c r="E44" s="519" t="s">
        <v>104</v>
      </c>
      <c r="F44" s="510"/>
      <c r="G44" s="510"/>
      <c r="H44" s="510"/>
      <c r="I44" s="510"/>
      <c r="J44" s="510"/>
      <c r="K44" s="510"/>
      <c r="L44" s="510"/>
      <c r="M44" s="510"/>
      <c r="N44" s="510"/>
      <c r="O44" s="662"/>
      <c r="P44" s="662"/>
      <c r="Q44" s="662"/>
      <c r="R44" s="662"/>
      <c r="S44" s="662"/>
      <c r="T44" s="662"/>
      <c r="U44" s="662"/>
      <c r="V44" s="662"/>
      <c r="W44" s="662"/>
      <c r="X44" s="662"/>
      <c r="Y44" s="662"/>
      <c r="Z44" s="662"/>
      <c r="AA44" s="446"/>
      <c r="AB44" s="447"/>
    </row>
    <row r="45" spans="2:28" x14ac:dyDescent="0.2">
      <c r="B45" s="445"/>
      <c r="C45" s="446"/>
      <c r="D45" s="542" t="s">
        <v>48</v>
      </c>
      <c r="E45" s="519" t="s">
        <v>104</v>
      </c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62"/>
      <c r="W45" s="662"/>
      <c r="X45" s="662"/>
      <c r="Y45" s="662"/>
      <c r="Z45" s="662"/>
      <c r="AA45" s="446"/>
      <c r="AB45" s="447"/>
    </row>
    <row r="46" spans="2:28" x14ac:dyDescent="0.2">
      <c r="B46" s="445"/>
      <c r="C46" s="446"/>
      <c r="D46" s="542" t="s">
        <v>49</v>
      </c>
      <c r="E46" s="519" t="s">
        <v>104</v>
      </c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2"/>
      <c r="Y46" s="662"/>
      <c r="Z46" s="662"/>
      <c r="AA46" s="446"/>
      <c r="AB46" s="447"/>
    </row>
    <row r="47" spans="2:28" x14ac:dyDescent="0.2">
      <c r="B47" s="445"/>
      <c r="C47" s="446"/>
      <c r="D47" s="542" t="s">
        <v>278</v>
      </c>
      <c r="E47" s="519" t="s">
        <v>104</v>
      </c>
      <c r="F47" s="662"/>
      <c r="G47" s="662"/>
      <c r="H47" s="662"/>
      <c r="I47" s="662"/>
      <c r="J47" s="662"/>
      <c r="K47" s="662"/>
      <c r="L47" s="662"/>
      <c r="M47" s="662"/>
      <c r="N47" s="662"/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Y47" s="662"/>
      <c r="Z47" s="662"/>
      <c r="AA47" s="446"/>
      <c r="AB47" s="447"/>
    </row>
    <row r="48" spans="2:28" x14ac:dyDescent="0.2">
      <c r="B48" s="445"/>
      <c r="C48" s="446"/>
      <c r="D48" s="542" t="s">
        <v>279</v>
      </c>
      <c r="E48" s="519" t="s">
        <v>104</v>
      </c>
      <c r="F48" s="662"/>
      <c r="G48" s="662"/>
      <c r="H48" s="662"/>
      <c r="I48" s="662"/>
      <c r="J48" s="662"/>
      <c r="K48" s="662"/>
      <c r="L48" s="662"/>
      <c r="M48" s="662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446"/>
      <c r="AB48" s="447"/>
    </row>
    <row r="49" spans="2:28" x14ac:dyDescent="0.2">
      <c r="B49" s="445"/>
      <c r="C49" s="446"/>
      <c r="D49" s="542" t="s">
        <v>280</v>
      </c>
      <c r="E49" s="519" t="s">
        <v>104</v>
      </c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/>
      <c r="AA49" s="446"/>
      <c r="AB49" s="447"/>
    </row>
    <row r="50" spans="2:28" x14ac:dyDescent="0.2">
      <c r="B50" s="445"/>
      <c r="C50" s="446"/>
      <c r="D50" s="542" t="s">
        <v>281</v>
      </c>
      <c r="E50" s="519" t="s">
        <v>104</v>
      </c>
      <c r="F50" s="662"/>
      <c r="G50" s="662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2"/>
      <c r="Y50" s="662"/>
      <c r="Z50" s="662"/>
      <c r="AA50" s="446"/>
      <c r="AB50" s="447"/>
    </row>
    <row r="51" spans="2:28" x14ac:dyDescent="0.2">
      <c r="B51" s="445"/>
      <c r="C51" s="446"/>
      <c r="D51" s="542" t="s">
        <v>282</v>
      </c>
      <c r="E51" s="519" t="s">
        <v>104</v>
      </c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662"/>
      <c r="T51" s="662"/>
      <c r="U51" s="662"/>
      <c r="V51" s="662"/>
      <c r="W51" s="662"/>
      <c r="X51" s="662"/>
      <c r="Y51" s="662"/>
      <c r="Z51" s="662"/>
      <c r="AA51" s="446"/>
      <c r="AB51" s="447"/>
    </row>
    <row r="52" spans="2:28" x14ac:dyDescent="0.2">
      <c r="B52" s="445"/>
      <c r="C52" s="446"/>
      <c r="D52" s="487"/>
      <c r="E52" s="551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446"/>
      <c r="AA52" s="446"/>
      <c r="AB52" s="447"/>
    </row>
    <row r="53" spans="2:28" ht="13.5" thickBot="1" x14ac:dyDescent="0.25">
      <c r="B53" s="445"/>
      <c r="C53" s="446"/>
      <c r="D53" s="492" t="str">
        <f>"Option 1: "&amp;+E16</f>
        <v>Option 1: Provide In Meter Capabilities</v>
      </c>
      <c r="E53" s="487"/>
      <c r="F53" s="446"/>
      <c r="G53" s="446"/>
      <c r="H53" s="446"/>
      <c r="I53" s="446"/>
      <c r="J53" s="446"/>
      <c r="K53" s="512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7"/>
    </row>
    <row r="54" spans="2:28" x14ac:dyDescent="0.2">
      <c r="B54" s="445"/>
      <c r="C54" s="446"/>
      <c r="D54" s="487"/>
      <c r="E54" s="487"/>
      <c r="F54" s="446"/>
      <c r="G54" s="446"/>
      <c r="H54" s="446"/>
      <c r="I54" s="446"/>
      <c r="J54" s="446"/>
      <c r="K54" s="512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7"/>
    </row>
    <row r="55" spans="2:28" x14ac:dyDescent="0.2">
      <c r="B55" s="445"/>
      <c r="C55" s="446"/>
      <c r="D55" s="520"/>
      <c r="E55" s="521"/>
      <c r="F55" s="522">
        <f>G12</f>
        <v>2020</v>
      </c>
      <c r="G55" s="523">
        <f>F55+1</f>
        <v>2021</v>
      </c>
      <c r="H55" s="523">
        <f t="shared" ref="H55:Z55" si="8">G55+1</f>
        <v>2022</v>
      </c>
      <c r="I55" s="523">
        <f t="shared" si="8"/>
        <v>2023</v>
      </c>
      <c r="J55" s="523">
        <f t="shared" si="8"/>
        <v>2024</v>
      </c>
      <c r="K55" s="523">
        <f t="shared" si="8"/>
        <v>2025</v>
      </c>
      <c r="L55" s="523">
        <f t="shared" si="8"/>
        <v>2026</v>
      </c>
      <c r="M55" s="523">
        <f t="shared" si="8"/>
        <v>2027</v>
      </c>
      <c r="N55" s="523">
        <f t="shared" si="8"/>
        <v>2028</v>
      </c>
      <c r="O55" s="523">
        <f t="shared" si="8"/>
        <v>2029</v>
      </c>
      <c r="P55" s="523">
        <f t="shared" si="8"/>
        <v>2030</v>
      </c>
      <c r="Q55" s="523">
        <f t="shared" si="8"/>
        <v>2031</v>
      </c>
      <c r="R55" s="523">
        <f t="shared" si="8"/>
        <v>2032</v>
      </c>
      <c r="S55" s="523">
        <f t="shared" si="8"/>
        <v>2033</v>
      </c>
      <c r="T55" s="523">
        <f t="shared" si="8"/>
        <v>2034</v>
      </c>
      <c r="U55" s="523">
        <f t="shared" si="8"/>
        <v>2035</v>
      </c>
      <c r="V55" s="523">
        <f t="shared" si="8"/>
        <v>2036</v>
      </c>
      <c r="W55" s="523">
        <f t="shared" si="8"/>
        <v>2037</v>
      </c>
      <c r="X55" s="523">
        <f t="shared" si="8"/>
        <v>2038</v>
      </c>
      <c r="Y55" s="523">
        <f t="shared" si="8"/>
        <v>2039</v>
      </c>
      <c r="Z55" s="523">
        <f t="shared" si="8"/>
        <v>2040</v>
      </c>
      <c r="AA55" s="446"/>
      <c r="AB55" s="447"/>
    </row>
    <row r="56" spans="2:28" x14ac:dyDescent="0.2">
      <c r="B56" s="445"/>
      <c r="C56" s="689" t="str">
        <f>$C$16</f>
        <v>Option 1: Provide In Meter Capabilities</v>
      </c>
      <c r="D56" s="542" t="str">
        <f>$D$27</f>
        <v>Maintenance Costs</v>
      </c>
      <c r="E56" s="519" t="s">
        <v>104</v>
      </c>
      <c r="F56" s="537"/>
      <c r="G56" s="537"/>
      <c r="H56" s="537"/>
      <c r="I56" s="537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446"/>
      <c r="AB56" s="447"/>
    </row>
    <row r="57" spans="2:28" x14ac:dyDescent="0.2">
      <c r="B57" s="445"/>
      <c r="C57" s="446"/>
      <c r="D57" s="543"/>
      <c r="E57" s="533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46"/>
      <c r="AB57" s="447"/>
    </row>
    <row r="58" spans="2:28" x14ac:dyDescent="0.2">
      <c r="B58" s="445"/>
      <c r="C58" s="446"/>
      <c r="D58" s="542" t="str">
        <f>IF($I$8=1,"Negative Impact on Revenue (STPIS)",0)</f>
        <v>Negative Impact on Revenue (STPIS)</v>
      </c>
      <c r="E58" s="528">
        <v>5</v>
      </c>
      <c r="F58" s="522">
        <f>F55</f>
        <v>2020</v>
      </c>
      <c r="G58" s="522">
        <f t="shared" ref="G58:Z58" si="9">G55</f>
        <v>2021</v>
      </c>
      <c r="H58" s="522">
        <f t="shared" si="9"/>
        <v>2022</v>
      </c>
      <c r="I58" s="522">
        <f t="shared" si="9"/>
        <v>2023</v>
      </c>
      <c r="J58" s="522">
        <f t="shared" si="9"/>
        <v>2024</v>
      </c>
      <c r="K58" s="522">
        <f t="shared" si="9"/>
        <v>2025</v>
      </c>
      <c r="L58" s="522">
        <f t="shared" si="9"/>
        <v>2026</v>
      </c>
      <c r="M58" s="522">
        <f t="shared" si="9"/>
        <v>2027</v>
      </c>
      <c r="N58" s="522">
        <f t="shared" si="9"/>
        <v>2028</v>
      </c>
      <c r="O58" s="522">
        <f t="shared" si="9"/>
        <v>2029</v>
      </c>
      <c r="P58" s="522">
        <f t="shared" si="9"/>
        <v>2030</v>
      </c>
      <c r="Q58" s="522">
        <f t="shared" si="9"/>
        <v>2031</v>
      </c>
      <c r="R58" s="522">
        <f t="shared" si="9"/>
        <v>2032</v>
      </c>
      <c r="S58" s="522">
        <f t="shared" si="9"/>
        <v>2033</v>
      </c>
      <c r="T58" s="522">
        <f t="shared" si="9"/>
        <v>2034</v>
      </c>
      <c r="U58" s="522">
        <f t="shared" si="9"/>
        <v>2035</v>
      </c>
      <c r="V58" s="522">
        <f t="shared" si="9"/>
        <v>2036</v>
      </c>
      <c r="W58" s="522">
        <f t="shared" si="9"/>
        <v>2037</v>
      </c>
      <c r="X58" s="522">
        <f t="shared" si="9"/>
        <v>2038</v>
      </c>
      <c r="Y58" s="522">
        <f t="shared" si="9"/>
        <v>2039</v>
      </c>
      <c r="Z58" s="522">
        <f t="shared" si="9"/>
        <v>2040</v>
      </c>
      <c r="AA58" s="446"/>
      <c r="AB58" s="447"/>
    </row>
    <row r="59" spans="2:28" x14ac:dyDescent="0.2">
      <c r="B59" s="445"/>
      <c r="C59" s="689" t="str">
        <f>$C$16</f>
        <v>Option 1: Provide In Meter Capabilities</v>
      </c>
      <c r="D59" s="544" t="str">
        <f>IF($I$8=1,"SAIFI sustained",0)</f>
        <v>SAIFI sustained</v>
      </c>
      <c r="E59" s="529" t="s">
        <v>148</v>
      </c>
      <c r="F59" s="675">
        <v>0</v>
      </c>
      <c r="G59" s="530">
        <f>IF($E$58=1,0,IF(OR($E$58=2,$E$58=3,$E$58=4,$E$58=5),$F$59))</f>
        <v>0</v>
      </c>
      <c r="H59" s="530">
        <f>IF($E$58=1,0,IF(OR($E$58=2,$E$58=3,$E$58=4,$E$58=5),$F$59))</f>
        <v>0</v>
      </c>
      <c r="I59" s="530">
        <f>IF($E$58=1,0,IF(OR($E$58=2,$E$58=3,$E$58=4,$E$58=5),$F$59))</f>
        <v>0</v>
      </c>
      <c r="J59" s="530">
        <f>IF($E$58=1,0,IF(OR($E$58=2,$E$58=3,$E$58=4,$E$58=5),$F$59))</f>
        <v>0</v>
      </c>
      <c r="K59" s="530">
        <f>IF($E$58=1,0,IF(OR($E$58=2,$E$58=3,$E$58=4,$E$58=5),$F$59))</f>
        <v>0</v>
      </c>
      <c r="L59" s="525"/>
      <c r="M59" s="530">
        <f>IF(OR($E$58=1,$E$58=2),0,$L$59)</f>
        <v>0</v>
      </c>
      <c r="N59" s="530">
        <f>IF(OR($E$58=1,$E$58=2),0,$L$59)</f>
        <v>0</v>
      </c>
      <c r="O59" s="530">
        <f>IF(OR($E$58=1,$E$58=2),0,$L$59)</f>
        <v>0</v>
      </c>
      <c r="P59" s="530">
        <f>IF(OR($E$58=1,$E$58=2),0,$L$59)</f>
        <v>0</v>
      </c>
      <c r="Q59" s="530">
        <f>IF(OR($E$58=1,$E$58=2),0,$L$59)</f>
        <v>0</v>
      </c>
      <c r="R59" s="525"/>
      <c r="S59" s="530">
        <f>IF(OR($E$58=1,$E$58=2,$E$58=3),0,$R$59)</f>
        <v>0</v>
      </c>
      <c r="T59" s="530">
        <f>IF(OR($E$58=1,$E$58=2,$E$58=3),0,$R$59)</f>
        <v>0</v>
      </c>
      <c r="U59" s="530">
        <f>IF(OR($E$58=1,$E$58=2,$E$58=3),0,$R$59)</f>
        <v>0</v>
      </c>
      <c r="V59" s="530">
        <f>IF(OR($E$58=1,$E$58=2,$E$58=3),0,$R$59)</f>
        <v>0</v>
      </c>
      <c r="W59" s="530">
        <f>IF(OR($E$58=1,$E$58=2,$E$58=3),0,$R$59)</f>
        <v>0</v>
      </c>
      <c r="X59" s="525"/>
      <c r="Y59" s="530">
        <f>IF($E$58=5,$X$59,0)</f>
        <v>0</v>
      </c>
      <c r="Z59" s="530">
        <f>IF($E$58=5,$X$59,0)</f>
        <v>0</v>
      </c>
      <c r="AA59" s="446"/>
      <c r="AB59" s="447"/>
    </row>
    <row r="60" spans="2:28" x14ac:dyDescent="0.2">
      <c r="B60" s="445"/>
      <c r="C60" s="689" t="str">
        <f>$C$16</f>
        <v>Option 1: Provide In Meter Capabilities</v>
      </c>
      <c r="D60" s="544" t="str">
        <f>IF($I$8=1,"SAIDI accidental",0)</f>
        <v>SAIDI accidental</v>
      </c>
      <c r="E60" s="529" t="s">
        <v>149</v>
      </c>
      <c r="F60" s="524">
        <v>0</v>
      </c>
      <c r="G60" s="530">
        <f>IF($E$58=1,0,IF(OR($E$58=2,$E$58=3,$E$58=4,$E$58=5),$F$60))</f>
        <v>0</v>
      </c>
      <c r="H60" s="530">
        <f>IF($E$58=1,0,IF(OR($E$58=2,$E$58=3,$E$58=4,$E$58=5),$F$60))</f>
        <v>0</v>
      </c>
      <c r="I60" s="530">
        <f>IF($E$58=1,0,IF(OR($E$58=2,$E$58=3,$E$58=4,$E$58=5),$F$60))</f>
        <v>0</v>
      </c>
      <c r="J60" s="530">
        <f>IF($E$58=1,0,IF(OR($E$58=2,$E$58=3,$E$58=4,$E$58=5),$F$60))</f>
        <v>0</v>
      </c>
      <c r="K60" s="530">
        <f>IF($E$58=1,0,IF(OR($E$58=2,$E$58=3,$E$58=4,$E$58=5),$F$60))</f>
        <v>0</v>
      </c>
      <c r="L60" s="525"/>
      <c r="M60" s="530">
        <f>IF(OR($E$58=1,$E$58=2),0,$L$60)</f>
        <v>0</v>
      </c>
      <c r="N60" s="530">
        <f>IF(OR($E$58=1,$E$58=2),0,$L$60)</f>
        <v>0</v>
      </c>
      <c r="O60" s="530">
        <f>IF(OR($E$58=1,$E$58=2),0,$L$60)</f>
        <v>0</v>
      </c>
      <c r="P60" s="530">
        <f>IF(OR($E$58=1,$E$58=2),0,$L$60)</f>
        <v>0</v>
      </c>
      <c r="Q60" s="530">
        <f>IF(OR($E$58=1,$E$58=2),0,$L$60)</f>
        <v>0</v>
      </c>
      <c r="R60" s="525"/>
      <c r="S60" s="530">
        <f>IF(OR($E$58=1,$E$58=2,$E$58=3),0,$R$60)</f>
        <v>0</v>
      </c>
      <c r="T60" s="530">
        <f>IF(OR($E$58=1,$E$58=2,$E$58=3),0,$R$60)</f>
        <v>0</v>
      </c>
      <c r="U60" s="530">
        <f>IF(OR($E$58=1,$E$58=2,$E$58=3),0,$R$60)</f>
        <v>0</v>
      </c>
      <c r="V60" s="530">
        <f>IF(OR($E$58=1,$E$58=2,$E$58=3),0,$R$60)</f>
        <v>0</v>
      </c>
      <c r="W60" s="530">
        <f>IF(OR($E$58=1,$E$58=2,$E$58=3),0,$R$60)</f>
        <v>0</v>
      </c>
      <c r="X60" s="525"/>
      <c r="Y60" s="530">
        <f>IF($E$58=5,$X$60,0)</f>
        <v>0</v>
      </c>
      <c r="Z60" s="530">
        <f>IF($E$58=5,$X$60,0)</f>
        <v>0</v>
      </c>
      <c r="AA60" s="446"/>
      <c r="AB60" s="447"/>
    </row>
    <row r="61" spans="2:28" x14ac:dyDescent="0.2">
      <c r="B61" s="445"/>
      <c r="C61" s="689" t="str">
        <f>$C$16</f>
        <v>Option 1: Provide In Meter Capabilities</v>
      </c>
      <c r="D61" s="544" t="str">
        <f>IF($I$8=1,"MAIFI momentary",0)</f>
        <v>MAIFI momentary</v>
      </c>
      <c r="E61" s="529" t="s">
        <v>148</v>
      </c>
      <c r="F61" s="525"/>
      <c r="G61" s="530">
        <f>IF($E$58=1,0,IF(OR($E$58=2,$E$58=3,$E$58=4,$E$58=5),$F$61))</f>
        <v>0</v>
      </c>
      <c r="H61" s="530">
        <f>IF($E$58=1,0,IF(OR($E$58=2,$E$58=3,$E$58=4,$E$58=5),$F$61))</f>
        <v>0</v>
      </c>
      <c r="I61" s="530">
        <f>IF($E$58=1,0,IF(OR($E$58=2,$E$58=3,$E$58=4,$E$58=5),$F$61))</f>
        <v>0</v>
      </c>
      <c r="J61" s="530">
        <f>IF($E$58=1,0,IF(OR($E$58=2,$E$58=3,$E$58=4,$E$58=5),$F$61))</f>
        <v>0</v>
      </c>
      <c r="K61" s="530">
        <f>IF($E$58=1,0,IF(OR($E$58=2,$E$58=3,$E$58=4,$E$58=5),$F$61))</f>
        <v>0</v>
      </c>
      <c r="L61" s="525"/>
      <c r="M61" s="530">
        <f>IF(OR($E$58=1,$E$58=2),0,$L$61)</f>
        <v>0</v>
      </c>
      <c r="N61" s="530">
        <f>IF(OR($E$58=1,$E$58=2),0,$L$61)</f>
        <v>0</v>
      </c>
      <c r="O61" s="530">
        <f>IF(OR($E$58=1,$E$58=2),0,$L$61)</f>
        <v>0</v>
      </c>
      <c r="P61" s="530">
        <f>IF(OR($E$58=1,$E$58=2),0,$L$61)</f>
        <v>0</v>
      </c>
      <c r="Q61" s="530">
        <f>IF(OR($E$58=1,$E$58=2),0,$L$61)</f>
        <v>0</v>
      </c>
      <c r="R61" s="525"/>
      <c r="S61" s="530">
        <f>IF(OR($E$58=1,$E$58=2,$E$58=3),0,$R$61)</f>
        <v>0</v>
      </c>
      <c r="T61" s="530">
        <f>IF(OR($E$58=1,$E$58=2,$E$58=3),0,$R$61)</f>
        <v>0</v>
      </c>
      <c r="U61" s="530">
        <f>IF(OR($E$58=1,$E$58=2,$E$58=3),0,$R$61)</f>
        <v>0</v>
      </c>
      <c r="V61" s="530">
        <f>IF(OR($E$58=1,$E$58=2,$E$58=3),0,$R$61)</f>
        <v>0</v>
      </c>
      <c r="W61" s="530">
        <f>IF(OR($E$58=1,$E$58=2,$E$58=3),0,$R$61)</f>
        <v>0</v>
      </c>
      <c r="X61" s="525"/>
      <c r="Y61" s="530">
        <f>IF($E$58=5,$X$61,0)</f>
        <v>0</v>
      </c>
      <c r="Z61" s="530">
        <f>IF($E$58=5,$X$61,0)</f>
        <v>0</v>
      </c>
      <c r="AA61" s="446"/>
      <c r="AB61" s="447"/>
    </row>
    <row r="62" spans="2:28" x14ac:dyDescent="0.2">
      <c r="B62" s="445"/>
      <c r="C62" s="689" t="str">
        <f>$C$16</f>
        <v>Option 1: Provide In Meter Capabilities</v>
      </c>
      <c r="D62" s="544" t="str">
        <f>IF($I$8=1,"Call centre response",0)</f>
        <v>Call centre response</v>
      </c>
      <c r="E62" s="529" t="s">
        <v>150</v>
      </c>
      <c r="F62" s="526"/>
      <c r="G62" s="531">
        <f>IF($E$58=1,0,IF(OR($E$58=2,$E$58=3,$E$58=4,$E$58=5),$F$62))</f>
        <v>0</v>
      </c>
      <c r="H62" s="531">
        <f>IF($E$58=1,0,IF(OR($E$58=2,$E$58=3,$E$58=4,$E$58=5),$F$62))</f>
        <v>0</v>
      </c>
      <c r="I62" s="531">
        <f>IF($E$58=1,0,IF(OR($E$58=2,$E$58=3,$E$58=4,$E$58=5),$F$62))</f>
        <v>0</v>
      </c>
      <c r="J62" s="531">
        <f>IF($E$58=1,0,IF(OR($E$58=2,$E$58=3,$E$58=4,$E$58=5),$F$62))</f>
        <v>0</v>
      </c>
      <c r="K62" s="531">
        <f>IF($E$58=1,0,IF(OR($E$58=2,$E$58=3,$E$58=4,$E$58=5),$F$62))</f>
        <v>0</v>
      </c>
      <c r="L62" s="526"/>
      <c r="M62" s="531">
        <f>IF(OR($E$58=1,$E$58=2),0,$L$62)</f>
        <v>0</v>
      </c>
      <c r="N62" s="531">
        <f>IF(OR($E$58=1,$E$58=2),0,$L$62)</f>
        <v>0</v>
      </c>
      <c r="O62" s="531">
        <f>IF(OR($E$58=1,$E$58=2),0,$L$62)</f>
        <v>0</v>
      </c>
      <c r="P62" s="531">
        <f>IF(OR($E$58=1,$E$58=2),0,$L$62)</f>
        <v>0</v>
      </c>
      <c r="Q62" s="531">
        <f>IF(OR($E$58=1,$E$58=2),0,$L$62)</f>
        <v>0</v>
      </c>
      <c r="R62" s="526"/>
      <c r="S62" s="531">
        <f>IF(OR($E$58=1,$E$58=2,$E$58=3),0,$R$62)</f>
        <v>0</v>
      </c>
      <c r="T62" s="531">
        <f>IF(OR($E$58=1,$E$58=2,$E$58=3),0,$R$62)</f>
        <v>0</v>
      </c>
      <c r="U62" s="531">
        <f>IF(OR($E$58=1,$E$58=2,$E$58=3),0,$R$62)</f>
        <v>0</v>
      </c>
      <c r="V62" s="531">
        <f>IF(OR($E$58=1,$E$58=2,$E$58=3),0,$R$62)</f>
        <v>0</v>
      </c>
      <c r="W62" s="531">
        <f>IF(OR($E$58=1,$E$58=2,$E$58=3),0,$R$62)</f>
        <v>0</v>
      </c>
      <c r="X62" s="526"/>
      <c r="Y62" s="531">
        <f>IF($E$58=5,$X$62,0)</f>
        <v>0</v>
      </c>
      <c r="Z62" s="531">
        <f>IF($E$58=5,$X$62,0)</f>
        <v>0</v>
      </c>
      <c r="AA62" s="446"/>
      <c r="AB62" s="447"/>
    </row>
    <row r="63" spans="2:28" x14ac:dyDescent="0.2">
      <c r="B63" s="445"/>
      <c r="C63" s="446"/>
      <c r="D63" s="545"/>
      <c r="E63" s="534"/>
      <c r="F63" s="535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446"/>
      <c r="AB63" s="447"/>
    </row>
    <row r="64" spans="2:28" x14ac:dyDescent="0.2">
      <c r="B64" s="445"/>
      <c r="C64" s="446"/>
      <c r="D64" s="542" t="str">
        <f>$D$35</f>
        <v>Network Outage Costs</v>
      </c>
      <c r="E64" s="528"/>
      <c r="F64" s="522">
        <f>G12</f>
        <v>2020</v>
      </c>
      <c r="G64" s="523">
        <f t="shared" ref="G64:Z64" si="10">F64+1</f>
        <v>2021</v>
      </c>
      <c r="H64" s="523">
        <f t="shared" si="10"/>
        <v>2022</v>
      </c>
      <c r="I64" s="523">
        <f t="shared" si="10"/>
        <v>2023</v>
      </c>
      <c r="J64" s="523">
        <f t="shared" si="10"/>
        <v>2024</v>
      </c>
      <c r="K64" s="523">
        <f t="shared" si="10"/>
        <v>2025</v>
      </c>
      <c r="L64" s="523">
        <f t="shared" si="10"/>
        <v>2026</v>
      </c>
      <c r="M64" s="523">
        <f t="shared" si="10"/>
        <v>2027</v>
      </c>
      <c r="N64" s="523">
        <f t="shared" si="10"/>
        <v>2028</v>
      </c>
      <c r="O64" s="523">
        <f t="shared" si="10"/>
        <v>2029</v>
      </c>
      <c r="P64" s="523">
        <f t="shared" si="10"/>
        <v>2030</v>
      </c>
      <c r="Q64" s="523">
        <f t="shared" si="10"/>
        <v>2031</v>
      </c>
      <c r="R64" s="523">
        <f t="shared" si="10"/>
        <v>2032</v>
      </c>
      <c r="S64" s="523">
        <f t="shared" si="10"/>
        <v>2033</v>
      </c>
      <c r="T64" s="523">
        <f t="shared" si="10"/>
        <v>2034</v>
      </c>
      <c r="U64" s="523">
        <f t="shared" si="10"/>
        <v>2035</v>
      </c>
      <c r="V64" s="523">
        <f t="shared" si="10"/>
        <v>2036</v>
      </c>
      <c r="W64" s="523">
        <f t="shared" si="10"/>
        <v>2037</v>
      </c>
      <c r="X64" s="523">
        <f t="shared" si="10"/>
        <v>2038</v>
      </c>
      <c r="Y64" s="523">
        <f t="shared" si="10"/>
        <v>2039</v>
      </c>
      <c r="Z64" s="523">
        <f t="shared" si="10"/>
        <v>2040</v>
      </c>
      <c r="AA64" s="446"/>
      <c r="AB64" s="447"/>
    </row>
    <row r="65" spans="2:28" x14ac:dyDescent="0.2">
      <c r="B65" s="445"/>
      <c r="C65" s="689" t="str">
        <f>$C$16</f>
        <v>Option 1: Provide In Meter Capabilities</v>
      </c>
      <c r="D65" s="544" t="str">
        <f>$D$36</f>
        <v>Customer off supply</v>
      </c>
      <c r="E65" s="529" t="s">
        <v>149</v>
      </c>
      <c r="F65" s="537"/>
      <c r="G65" s="537"/>
      <c r="H65" s="537"/>
      <c r="I65" s="537"/>
      <c r="J65" s="537"/>
      <c r="K65" s="537"/>
      <c r="L65" s="537"/>
      <c r="M65" s="537"/>
      <c r="N65" s="537"/>
      <c r="O65" s="537"/>
      <c r="P65" s="537"/>
      <c r="Q65" s="537"/>
      <c r="R65" s="537"/>
      <c r="S65" s="537"/>
      <c r="T65" s="537"/>
      <c r="U65" s="537"/>
      <c r="V65" s="537"/>
      <c r="W65" s="537"/>
      <c r="X65" s="537"/>
      <c r="Y65" s="537"/>
      <c r="Z65" s="537"/>
      <c r="AA65" s="446"/>
      <c r="AB65" s="447"/>
    </row>
    <row r="66" spans="2:28" x14ac:dyDescent="0.2">
      <c r="B66" s="445"/>
      <c r="C66" s="446"/>
      <c r="D66" s="543"/>
      <c r="E66" s="534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446"/>
      <c r="AB66" s="447"/>
    </row>
    <row r="67" spans="2:28" x14ac:dyDescent="0.2">
      <c r="B67" s="445"/>
      <c r="C67" s="446"/>
      <c r="D67" s="542" t="str">
        <f>D38</f>
        <v>Loss of F Factor Benefit</v>
      </c>
      <c r="E67" s="527"/>
      <c r="F67" s="522">
        <f>G12</f>
        <v>2020</v>
      </c>
      <c r="G67" s="523">
        <f t="shared" ref="G67:Z67" si="11">F67+1</f>
        <v>2021</v>
      </c>
      <c r="H67" s="523">
        <f t="shared" si="11"/>
        <v>2022</v>
      </c>
      <c r="I67" s="523">
        <f t="shared" si="11"/>
        <v>2023</v>
      </c>
      <c r="J67" s="523">
        <f t="shared" si="11"/>
        <v>2024</v>
      </c>
      <c r="K67" s="523">
        <f t="shared" si="11"/>
        <v>2025</v>
      </c>
      <c r="L67" s="523">
        <f t="shared" si="11"/>
        <v>2026</v>
      </c>
      <c r="M67" s="523">
        <f t="shared" si="11"/>
        <v>2027</v>
      </c>
      <c r="N67" s="523">
        <f t="shared" si="11"/>
        <v>2028</v>
      </c>
      <c r="O67" s="523">
        <f t="shared" si="11"/>
        <v>2029</v>
      </c>
      <c r="P67" s="523">
        <f t="shared" si="11"/>
        <v>2030</v>
      </c>
      <c r="Q67" s="523">
        <f t="shared" si="11"/>
        <v>2031</v>
      </c>
      <c r="R67" s="523">
        <f t="shared" si="11"/>
        <v>2032</v>
      </c>
      <c r="S67" s="523">
        <f t="shared" si="11"/>
        <v>2033</v>
      </c>
      <c r="T67" s="523">
        <f t="shared" si="11"/>
        <v>2034</v>
      </c>
      <c r="U67" s="523">
        <f t="shared" si="11"/>
        <v>2035</v>
      </c>
      <c r="V67" s="523">
        <f t="shared" si="11"/>
        <v>2036</v>
      </c>
      <c r="W67" s="523">
        <f t="shared" si="11"/>
        <v>2037</v>
      </c>
      <c r="X67" s="523">
        <f t="shared" si="11"/>
        <v>2038</v>
      </c>
      <c r="Y67" s="523">
        <f t="shared" si="11"/>
        <v>2039</v>
      </c>
      <c r="Z67" s="523">
        <f t="shared" si="11"/>
        <v>2040</v>
      </c>
      <c r="AA67" s="446"/>
      <c r="AB67" s="447"/>
    </row>
    <row r="68" spans="2:28" x14ac:dyDescent="0.2">
      <c r="B68" s="445"/>
      <c r="C68" s="689" t="str">
        <f>$C$16</f>
        <v>Option 1: Provide In Meter Capabilities</v>
      </c>
      <c r="D68" s="546" t="str">
        <f>$D$39</f>
        <v>Loss of F Factor Benefit</v>
      </c>
      <c r="E68" s="541" t="str">
        <f>$E$39</f>
        <v>(No. of fire start NOT avoided)</v>
      </c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446"/>
      <c r="AB68" s="447"/>
    </row>
    <row r="69" spans="2:28" x14ac:dyDescent="0.2">
      <c r="B69" s="445"/>
      <c r="C69" s="446"/>
      <c r="D69" s="538"/>
      <c r="E69" s="534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446"/>
      <c r="AB69" s="447"/>
    </row>
    <row r="70" spans="2:28" x14ac:dyDescent="0.2">
      <c r="B70" s="445"/>
      <c r="C70" s="446"/>
      <c r="D70" s="542" t="s">
        <v>116</v>
      </c>
      <c r="E70" s="527"/>
      <c r="F70" s="522">
        <f>G12</f>
        <v>2020</v>
      </c>
      <c r="G70" s="523">
        <f t="shared" ref="G70:Z70" si="12">F70+1</f>
        <v>2021</v>
      </c>
      <c r="H70" s="523">
        <f t="shared" si="12"/>
        <v>2022</v>
      </c>
      <c r="I70" s="523">
        <f t="shared" si="12"/>
        <v>2023</v>
      </c>
      <c r="J70" s="523">
        <f t="shared" si="12"/>
        <v>2024</v>
      </c>
      <c r="K70" s="523">
        <f t="shared" si="12"/>
        <v>2025</v>
      </c>
      <c r="L70" s="523">
        <f t="shared" si="12"/>
        <v>2026</v>
      </c>
      <c r="M70" s="523">
        <f t="shared" si="12"/>
        <v>2027</v>
      </c>
      <c r="N70" s="523">
        <f t="shared" si="12"/>
        <v>2028</v>
      </c>
      <c r="O70" s="523">
        <f t="shared" si="12"/>
        <v>2029</v>
      </c>
      <c r="P70" s="523">
        <f t="shared" si="12"/>
        <v>2030</v>
      </c>
      <c r="Q70" s="523">
        <f t="shared" si="12"/>
        <v>2031</v>
      </c>
      <c r="R70" s="523">
        <f t="shared" si="12"/>
        <v>2032</v>
      </c>
      <c r="S70" s="523">
        <f t="shared" si="12"/>
        <v>2033</v>
      </c>
      <c r="T70" s="523">
        <f t="shared" si="12"/>
        <v>2034</v>
      </c>
      <c r="U70" s="523">
        <f t="shared" si="12"/>
        <v>2035</v>
      </c>
      <c r="V70" s="523">
        <f t="shared" si="12"/>
        <v>2036</v>
      </c>
      <c r="W70" s="523">
        <f t="shared" si="12"/>
        <v>2037</v>
      </c>
      <c r="X70" s="523">
        <f t="shared" si="12"/>
        <v>2038</v>
      </c>
      <c r="Y70" s="523">
        <f t="shared" si="12"/>
        <v>2039</v>
      </c>
      <c r="Z70" s="523">
        <f t="shared" si="12"/>
        <v>2040</v>
      </c>
      <c r="AA70" s="446"/>
      <c r="AB70" s="447"/>
    </row>
    <row r="71" spans="2:28" x14ac:dyDescent="0.2">
      <c r="B71" s="445"/>
      <c r="C71" s="689" t="str">
        <f t="shared" ref="C71:C80" si="13">$C$16</f>
        <v>Option 1: Provide In Meter Capabilities</v>
      </c>
      <c r="D71" s="542" t="str">
        <f>$D$42</f>
        <v>Cost 1</v>
      </c>
      <c r="E71" s="519" t="s">
        <v>104</v>
      </c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446"/>
      <c r="AB71" s="447"/>
    </row>
    <row r="72" spans="2:28" x14ac:dyDescent="0.2">
      <c r="B72" s="445"/>
      <c r="C72" s="689" t="str">
        <f t="shared" si="13"/>
        <v>Option 1: Provide In Meter Capabilities</v>
      </c>
      <c r="D72" s="542" t="str">
        <f>$D$43</f>
        <v>Cost 2</v>
      </c>
      <c r="E72" s="519" t="s">
        <v>104</v>
      </c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446"/>
      <c r="AB72" s="447"/>
    </row>
    <row r="73" spans="2:28" x14ac:dyDescent="0.2">
      <c r="B73" s="445"/>
      <c r="C73" s="689" t="str">
        <f t="shared" si="13"/>
        <v>Option 1: Provide In Meter Capabilities</v>
      </c>
      <c r="D73" s="542" t="str">
        <f>$D$44</f>
        <v>Cost 3</v>
      </c>
      <c r="E73" s="519" t="s">
        <v>104</v>
      </c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446"/>
      <c r="AB73" s="447"/>
    </row>
    <row r="74" spans="2:28" x14ac:dyDescent="0.2">
      <c r="B74" s="445"/>
      <c r="C74" s="689" t="str">
        <f t="shared" si="13"/>
        <v>Option 1: Provide In Meter Capabilities</v>
      </c>
      <c r="D74" s="542" t="str">
        <f>$D$45</f>
        <v>Cost 4</v>
      </c>
      <c r="E74" s="519" t="s">
        <v>104</v>
      </c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446"/>
      <c r="AB74" s="447"/>
    </row>
    <row r="75" spans="2:28" x14ac:dyDescent="0.2">
      <c r="B75" s="445"/>
      <c r="C75" s="689" t="str">
        <f t="shared" si="13"/>
        <v>Option 1: Provide In Meter Capabilities</v>
      </c>
      <c r="D75" s="542" t="str">
        <f>$D$46</f>
        <v>Cost 5</v>
      </c>
      <c r="E75" s="519" t="s">
        <v>104</v>
      </c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550"/>
      <c r="U75" s="550"/>
      <c r="V75" s="550"/>
      <c r="W75" s="550"/>
      <c r="X75" s="550"/>
      <c r="Y75" s="550"/>
      <c r="Z75" s="550"/>
      <c r="AA75" s="446"/>
      <c r="AB75" s="447"/>
    </row>
    <row r="76" spans="2:28" x14ac:dyDescent="0.2">
      <c r="B76" s="445"/>
      <c r="C76" s="689" t="str">
        <f t="shared" si="13"/>
        <v>Option 1: Provide In Meter Capabilities</v>
      </c>
      <c r="D76" s="542" t="s">
        <v>278</v>
      </c>
      <c r="E76" s="519" t="s">
        <v>104</v>
      </c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446"/>
      <c r="AB76" s="447"/>
    </row>
    <row r="77" spans="2:28" x14ac:dyDescent="0.2">
      <c r="B77" s="445"/>
      <c r="C77" s="689" t="str">
        <f t="shared" si="13"/>
        <v>Option 1: Provide In Meter Capabilities</v>
      </c>
      <c r="D77" s="542" t="s">
        <v>279</v>
      </c>
      <c r="E77" s="519" t="s">
        <v>104</v>
      </c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446"/>
      <c r="AB77" s="447"/>
    </row>
    <row r="78" spans="2:28" x14ac:dyDescent="0.2">
      <c r="B78" s="445"/>
      <c r="C78" s="689" t="str">
        <f t="shared" si="13"/>
        <v>Option 1: Provide In Meter Capabilities</v>
      </c>
      <c r="D78" s="542" t="s">
        <v>280</v>
      </c>
      <c r="E78" s="519" t="s">
        <v>104</v>
      </c>
      <c r="F78" s="550"/>
      <c r="G78" s="550"/>
      <c r="H78" s="550"/>
      <c r="I78" s="550"/>
      <c r="J78" s="550"/>
      <c r="K78" s="550"/>
      <c r="L78" s="550"/>
      <c r="M78" s="550"/>
      <c r="N78" s="550"/>
      <c r="O78" s="550"/>
      <c r="P78" s="550"/>
      <c r="Q78" s="550"/>
      <c r="R78" s="550"/>
      <c r="S78" s="550"/>
      <c r="T78" s="550"/>
      <c r="U78" s="550"/>
      <c r="V78" s="550"/>
      <c r="W78" s="550"/>
      <c r="X78" s="550"/>
      <c r="Y78" s="550"/>
      <c r="Z78" s="550"/>
      <c r="AA78" s="446"/>
      <c r="AB78" s="447"/>
    </row>
    <row r="79" spans="2:28" x14ac:dyDescent="0.2">
      <c r="B79" s="445"/>
      <c r="C79" s="689" t="str">
        <f t="shared" si="13"/>
        <v>Option 1: Provide In Meter Capabilities</v>
      </c>
      <c r="D79" s="542" t="s">
        <v>281</v>
      </c>
      <c r="E79" s="519" t="s">
        <v>104</v>
      </c>
      <c r="F79" s="550"/>
      <c r="G79" s="550"/>
      <c r="H79" s="550"/>
      <c r="I79" s="550"/>
      <c r="J79" s="550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446"/>
      <c r="AB79" s="447"/>
    </row>
    <row r="80" spans="2:28" x14ac:dyDescent="0.2">
      <c r="B80" s="445"/>
      <c r="C80" s="689" t="str">
        <f t="shared" si="13"/>
        <v>Option 1: Provide In Meter Capabilities</v>
      </c>
      <c r="D80" s="542" t="s">
        <v>282</v>
      </c>
      <c r="E80" s="519" t="s">
        <v>104</v>
      </c>
      <c r="F80" s="550"/>
      <c r="G80" s="550"/>
      <c r="H80" s="550"/>
      <c r="I80" s="550"/>
      <c r="J80" s="550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446"/>
      <c r="AB80" s="447"/>
    </row>
    <row r="81" spans="2:28" x14ac:dyDescent="0.2">
      <c r="B81" s="445"/>
      <c r="C81" s="446"/>
      <c r="D81" s="532"/>
      <c r="E81" s="533"/>
      <c r="F81" s="446"/>
      <c r="G81" s="446"/>
      <c r="H81" s="446"/>
      <c r="I81" s="446"/>
      <c r="J81" s="446"/>
      <c r="K81" s="512"/>
      <c r="L81" s="446"/>
      <c r="M81" s="446"/>
      <c r="N81" s="446"/>
      <c r="O81" s="446"/>
      <c r="P81" s="446"/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7"/>
    </row>
    <row r="82" spans="2:28" ht="13.5" thickBot="1" x14ac:dyDescent="0.25">
      <c r="B82" s="445"/>
      <c r="C82" s="446"/>
      <c r="D82" s="492" t="str">
        <f>"Option 2: "&amp;+E17</f>
        <v>Option 2: Provide In Meter Capabilities with Near Real-time Centralised Analytics</v>
      </c>
      <c r="E82" s="487"/>
      <c r="F82" s="446"/>
      <c r="G82" s="446"/>
      <c r="H82" s="446"/>
      <c r="I82" s="446"/>
      <c r="J82" s="446"/>
      <c r="K82" s="512"/>
      <c r="L82" s="446"/>
      <c r="M82" s="446"/>
      <c r="N82" s="446"/>
      <c r="O82" s="446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7"/>
    </row>
    <row r="83" spans="2:28" x14ac:dyDescent="0.2">
      <c r="B83" s="445"/>
      <c r="C83" s="446"/>
      <c r="D83" s="487"/>
      <c r="E83" s="487"/>
      <c r="F83" s="446"/>
      <c r="G83" s="446"/>
      <c r="H83" s="446"/>
      <c r="I83" s="446"/>
      <c r="J83" s="446"/>
      <c r="K83" s="512"/>
      <c r="L83" s="446"/>
      <c r="M83" s="446"/>
      <c r="N83" s="446"/>
      <c r="O83" s="4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  <c r="AA83" s="446"/>
      <c r="AB83" s="447"/>
    </row>
    <row r="84" spans="2:28" x14ac:dyDescent="0.2">
      <c r="B84" s="445"/>
      <c r="C84" s="446"/>
      <c r="D84" s="520"/>
      <c r="E84" s="521"/>
      <c r="F84" s="522">
        <f>G12</f>
        <v>2020</v>
      </c>
      <c r="G84" s="523">
        <f>F84+1</f>
        <v>2021</v>
      </c>
      <c r="H84" s="523">
        <f t="shared" ref="H84:Z84" si="14">G84+1</f>
        <v>2022</v>
      </c>
      <c r="I84" s="523">
        <f t="shared" si="14"/>
        <v>2023</v>
      </c>
      <c r="J84" s="523">
        <f t="shared" si="14"/>
        <v>2024</v>
      </c>
      <c r="K84" s="523">
        <f t="shared" si="14"/>
        <v>2025</v>
      </c>
      <c r="L84" s="523">
        <f t="shared" si="14"/>
        <v>2026</v>
      </c>
      <c r="M84" s="523">
        <f t="shared" si="14"/>
        <v>2027</v>
      </c>
      <c r="N84" s="523">
        <f t="shared" si="14"/>
        <v>2028</v>
      </c>
      <c r="O84" s="523">
        <f t="shared" si="14"/>
        <v>2029</v>
      </c>
      <c r="P84" s="523">
        <f t="shared" si="14"/>
        <v>2030</v>
      </c>
      <c r="Q84" s="523">
        <f t="shared" si="14"/>
        <v>2031</v>
      </c>
      <c r="R84" s="523">
        <f t="shared" si="14"/>
        <v>2032</v>
      </c>
      <c r="S84" s="523">
        <f t="shared" si="14"/>
        <v>2033</v>
      </c>
      <c r="T84" s="523">
        <f t="shared" si="14"/>
        <v>2034</v>
      </c>
      <c r="U84" s="523">
        <f t="shared" si="14"/>
        <v>2035</v>
      </c>
      <c r="V84" s="523">
        <f t="shared" si="14"/>
        <v>2036</v>
      </c>
      <c r="W84" s="523">
        <f t="shared" si="14"/>
        <v>2037</v>
      </c>
      <c r="X84" s="523">
        <f t="shared" si="14"/>
        <v>2038</v>
      </c>
      <c r="Y84" s="523">
        <f t="shared" si="14"/>
        <v>2039</v>
      </c>
      <c r="Z84" s="523">
        <f t="shared" si="14"/>
        <v>2040</v>
      </c>
      <c r="AA84" s="446"/>
      <c r="AB84" s="447"/>
    </row>
    <row r="85" spans="2:28" x14ac:dyDescent="0.2">
      <c r="B85" s="445"/>
      <c r="C85" s="689" t="str">
        <f>$C$17</f>
        <v>Option 2: Provide In Meter Capabilities with Near Real-time Centralised Analytics</v>
      </c>
      <c r="D85" s="542" t="str">
        <f>$D$27</f>
        <v>Maintenance Costs</v>
      </c>
      <c r="E85" s="519" t="s">
        <v>104</v>
      </c>
      <c r="F85" s="510"/>
      <c r="G85" s="537"/>
      <c r="H85" s="537"/>
      <c r="I85" s="537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446"/>
      <c r="AB85" s="447"/>
    </row>
    <row r="86" spans="2:28" x14ac:dyDescent="0.2">
      <c r="B86" s="445"/>
      <c r="C86" s="446"/>
      <c r="D86" s="543"/>
      <c r="E86" s="533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  <c r="AA86" s="446"/>
      <c r="AB86" s="447"/>
    </row>
    <row r="87" spans="2:28" x14ac:dyDescent="0.2">
      <c r="B87" s="445"/>
      <c r="C87" s="446"/>
      <c r="D87" s="542" t="str">
        <f>IF($I$8=1,"Negative Impact on Revenue (STPIS)",0)</f>
        <v>Negative Impact on Revenue (STPIS)</v>
      </c>
      <c r="E87" s="528">
        <v>5</v>
      </c>
      <c r="F87" s="522">
        <f>G12</f>
        <v>2020</v>
      </c>
      <c r="G87" s="523">
        <f t="shared" ref="G87:Z87" si="15">F87+1</f>
        <v>2021</v>
      </c>
      <c r="H87" s="523">
        <f t="shared" si="15"/>
        <v>2022</v>
      </c>
      <c r="I87" s="523">
        <f t="shared" si="15"/>
        <v>2023</v>
      </c>
      <c r="J87" s="523">
        <f t="shared" si="15"/>
        <v>2024</v>
      </c>
      <c r="K87" s="523">
        <f t="shared" si="15"/>
        <v>2025</v>
      </c>
      <c r="L87" s="523">
        <f t="shared" si="15"/>
        <v>2026</v>
      </c>
      <c r="M87" s="523">
        <f t="shared" si="15"/>
        <v>2027</v>
      </c>
      <c r="N87" s="523">
        <f t="shared" si="15"/>
        <v>2028</v>
      </c>
      <c r="O87" s="523">
        <f t="shared" si="15"/>
        <v>2029</v>
      </c>
      <c r="P87" s="523">
        <f t="shared" si="15"/>
        <v>2030</v>
      </c>
      <c r="Q87" s="523">
        <f t="shared" si="15"/>
        <v>2031</v>
      </c>
      <c r="R87" s="523">
        <f t="shared" si="15"/>
        <v>2032</v>
      </c>
      <c r="S87" s="523">
        <f t="shared" si="15"/>
        <v>2033</v>
      </c>
      <c r="T87" s="523">
        <f t="shared" si="15"/>
        <v>2034</v>
      </c>
      <c r="U87" s="523">
        <f t="shared" si="15"/>
        <v>2035</v>
      </c>
      <c r="V87" s="523">
        <f t="shared" si="15"/>
        <v>2036</v>
      </c>
      <c r="W87" s="523">
        <f t="shared" si="15"/>
        <v>2037</v>
      </c>
      <c r="X87" s="523">
        <f t="shared" si="15"/>
        <v>2038</v>
      </c>
      <c r="Y87" s="523">
        <f t="shared" si="15"/>
        <v>2039</v>
      </c>
      <c r="Z87" s="523">
        <f t="shared" si="15"/>
        <v>2040</v>
      </c>
      <c r="AA87" s="446"/>
      <c r="AB87" s="447"/>
    </row>
    <row r="88" spans="2:28" x14ac:dyDescent="0.2">
      <c r="B88" s="445"/>
      <c r="C88" s="689" t="str">
        <f>$C$17</f>
        <v>Option 2: Provide In Meter Capabilities with Near Real-time Centralised Analytics</v>
      </c>
      <c r="D88" s="544" t="str">
        <f>IF($I$8=1,"SAIFI sustained",0)</f>
        <v>SAIFI sustained</v>
      </c>
      <c r="E88" s="529" t="s">
        <v>148</v>
      </c>
      <c r="F88" s="684"/>
      <c r="G88" s="530">
        <f>IF($E$87=1,0,IF(OR($E$87=2,$E$87=3,$E$87=4,$E$87=5),$F$88))</f>
        <v>0</v>
      </c>
      <c r="H88" s="530">
        <f>IF($E$87=1,0,IF(OR($E$87=2,$E$87=3,$E$87=4,$E$87=5),$F$88))</f>
        <v>0</v>
      </c>
      <c r="I88" s="530">
        <f>IF($E$87=1,0,IF(OR($E$87=2,$E$87=3,$E$87=4,$E$87=5),$F$88))</f>
        <v>0</v>
      </c>
      <c r="J88" s="530">
        <f>IF($E$87=1,0,IF(OR($E$87=2,$E$87=3,$E$87=4,$E$87=5),$F$88))</f>
        <v>0</v>
      </c>
      <c r="K88" s="530">
        <f>IF($E$87=1,0,IF(OR($E$87=2,$E$87=3,$E$87=4,$E$87=5),$F$88))</f>
        <v>0</v>
      </c>
      <c r="L88" s="525"/>
      <c r="M88" s="530">
        <f>IF(OR($E$87=1,$E$87=2),0,$L$88)</f>
        <v>0</v>
      </c>
      <c r="N88" s="530">
        <f>IF(OR($E$87=1,$E$87=2),0,$L$88)</f>
        <v>0</v>
      </c>
      <c r="O88" s="530">
        <f>IF(OR($E$87=1,$E$87=2),0,$L$88)</f>
        <v>0</v>
      </c>
      <c r="P88" s="530">
        <f>IF(OR($E$87=1,$E$87=2),0,$L$88)</f>
        <v>0</v>
      </c>
      <c r="Q88" s="530">
        <f>IF(OR($E$87=1,$E$87=2),0,$L$88)</f>
        <v>0</v>
      </c>
      <c r="R88" s="525"/>
      <c r="S88" s="530">
        <f>IF(OR($E$87=1,$E$87=2,$E$87=3),0,$R$88)</f>
        <v>0</v>
      </c>
      <c r="T88" s="530">
        <f>IF(OR($E$87=1,$E$87=2,$E$87=3),0,$R$88)</f>
        <v>0</v>
      </c>
      <c r="U88" s="530">
        <f>IF(OR($E$87=1,$E$87=2,$E$87=3),0,$R$88)</f>
        <v>0</v>
      </c>
      <c r="V88" s="530">
        <f>IF(OR($E$87=1,$E$87=2,$E$87=3),0,$R$88)</f>
        <v>0</v>
      </c>
      <c r="W88" s="530">
        <f>IF(OR($E$87=1,$E$87=2,$E$87=3),0,$R$88)</f>
        <v>0</v>
      </c>
      <c r="X88" s="525"/>
      <c r="Y88" s="530">
        <f>IF($E$87=5,$X$88,0)</f>
        <v>0</v>
      </c>
      <c r="Z88" s="530">
        <f>IF($E$87=5,$X$88,0)</f>
        <v>0</v>
      </c>
      <c r="AA88" s="446"/>
      <c r="AB88" s="447"/>
    </row>
    <row r="89" spans="2:28" x14ac:dyDescent="0.2">
      <c r="B89" s="445"/>
      <c r="C89" s="689" t="str">
        <f>$C$17</f>
        <v>Option 2: Provide In Meter Capabilities with Near Real-time Centralised Analytics</v>
      </c>
      <c r="D89" s="544" t="str">
        <f>IF($I$8=1,"SAIDI accidental",0)</f>
        <v>SAIDI accidental</v>
      </c>
      <c r="E89" s="529" t="s">
        <v>149</v>
      </c>
      <c r="F89" s="684"/>
      <c r="G89" s="530">
        <f>IF($E$87=1,0,IF(OR($E$87=2,$E$87=3,$E$87=4,$E$87=5),$F$89))</f>
        <v>0</v>
      </c>
      <c r="H89" s="530">
        <f>IF($E$87=1,0,IF(OR($E$87=2,$E$87=3,$E$87=4,$E$87=5),$F$89))</f>
        <v>0</v>
      </c>
      <c r="I89" s="530">
        <f>IF($E$87=1,0,IF(OR($E$87=2,$E$87=3,$E$87=4,$E$87=5),$F$89))</f>
        <v>0</v>
      </c>
      <c r="J89" s="530">
        <f>IF($E$87=1,0,IF(OR($E$87=2,$E$87=3,$E$87=4,$E$87=5),$F$89))</f>
        <v>0</v>
      </c>
      <c r="K89" s="530">
        <f>IF($E$87=1,0,IF(OR($E$87=2,$E$87=3,$E$87=4,$E$87=5),$F$89))</f>
        <v>0</v>
      </c>
      <c r="L89" s="525"/>
      <c r="M89" s="530">
        <f>IF(OR($E$87=1,$E$87=2),0,$L$89)</f>
        <v>0</v>
      </c>
      <c r="N89" s="530">
        <f>IF(OR($E$87=1,$E$87=2),0,$L$89)</f>
        <v>0</v>
      </c>
      <c r="O89" s="530">
        <f>IF(OR($E$87=1,$E$87=2),0,$L$89)</f>
        <v>0</v>
      </c>
      <c r="P89" s="530">
        <f>IF(OR($E$87=1,$E$87=2),0,$L$89)</f>
        <v>0</v>
      </c>
      <c r="Q89" s="530">
        <f>IF(OR($E$87=1,$E$87=2),0,$L$89)</f>
        <v>0</v>
      </c>
      <c r="R89" s="525"/>
      <c r="S89" s="530">
        <f>IF(OR($E$87=1,$E$87=2,$E$87=3),0,$R$89)</f>
        <v>0</v>
      </c>
      <c r="T89" s="530">
        <f>IF(OR($E$87=1,$E$87=2,$E$87=3),0,$R$89)</f>
        <v>0</v>
      </c>
      <c r="U89" s="530">
        <f>IF(OR($E$87=1,$E$87=2,$E$87=3),0,$R$89)</f>
        <v>0</v>
      </c>
      <c r="V89" s="530">
        <f>IF(OR($E$87=1,$E$87=2,$E$87=3),0,$R$89)</f>
        <v>0</v>
      </c>
      <c r="W89" s="530">
        <f>IF(OR($E$87=1,$E$87=2,$E$87=3),0,$R$89)</f>
        <v>0</v>
      </c>
      <c r="X89" s="525"/>
      <c r="Y89" s="530">
        <f>IF($E$87=5,$X$89,0)</f>
        <v>0</v>
      </c>
      <c r="Z89" s="530">
        <f>IF($E$87=5,$X$89,0)</f>
        <v>0</v>
      </c>
      <c r="AA89" s="446"/>
      <c r="AB89" s="447"/>
    </row>
    <row r="90" spans="2:28" x14ac:dyDescent="0.2">
      <c r="B90" s="445"/>
      <c r="C90" s="689" t="str">
        <f>$C$17</f>
        <v>Option 2: Provide In Meter Capabilities with Near Real-time Centralised Analytics</v>
      </c>
      <c r="D90" s="544" t="str">
        <f>IF($I$8=1,"MAIFI momentary",0)</f>
        <v>MAIFI momentary</v>
      </c>
      <c r="E90" s="529" t="s">
        <v>148</v>
      </c>
      <c r="F90" s="525"/>
      <c r="G90" s="530">
        <f>IF($E$87=1,0,IF(OR($E$87=2,$E$87=3,$E$87=4,$E$87=5),$F$90))</f>
        <v>0</v>
      </c>
      <c r="H90" s="530">
        <f>IF($E$87=1,0,IF(OR($E$87=2,$E$87=3,$E$87=4,$E$87=5),$F$90))</f>
        <v>0</v>
      </c>
      <c r="I90" s="530">
        <f>IF($E$87=1,0,IF(OR($E$87=2,$E$87=3,$E$87=4,$E$87=5),$F$90))</f>
        <v>0</v>
      </c>
      <c r="J90" s="530">
        <f>IF($E$87=1,0,IF(OR($E$87=2,$E$87=3,$E$87=4,$E$87=5),$F$90))</f>
        <v>0</v>
      </c>
      <c r="K90" s="530">
        <f>IF($E$87=1,0,IF(OR($E$87=2,$E$87=3,$E$87=4,$E$87=5),$F$90))</f>
        <v>0</v>
      </c>
      <c r="L90" s="525"/>
      <c r="M90" s="530">
        <f>IF(OR($E$87=1,$E$87=2),0,$L$90)</f>
        <v>0</v>
      </c>
      <c r="N90" s="530">
        <f>IF(OR($E$87=1,$E$87=2),0,$L$90)</f>
        <v>0</v>
      </c>
      <c r="O90" s="530">
        <f>IF(OR($E$87=1,$E$87=2),0,$L$90)</f>
        <v>0</v>
      </c>
      <c r="P90" s="530">
        <f>IF(OR($E$87=1,$E$87=2),0,$L$90)</f>
        <v>0</v>
      </c>
      <c r="Q90" s="530">
        <f>IF(OR($E$87=1,$E$87=2),0,$L$90)</f>
        <v>0</v>
      </c>
      <c r="R90" s="525"/>
      <c r="S90" s="530">
        <f>IF(OR($E$87=1,$E$87=2,$E$87=3),0,$R$90)</f>
        <v>0</v>
      </c>
      <c r="T90" s="530">
        <f>IF(OR($E$87=1,$E$87=2,$E$87=3),0,$R$90)</f>
        <v>0</v>
      </c>
      <c r="U90" s="530">
        <f>IF(OR($E$87=1,$E$87=2,$E$87=3),0,$R$90)</f>
        <v>0</v>
      </c>
      <c r="V90" s="530">
        <f>IF(OR($E$87=1,$E$87=2,$E$87=3),0,$R$90)</f>
        <v>0</v>
      </c>
      <c r="W90" s="530">
        <f>IF(OR($E$87=1,$E$87=2,$E$87=3),0,$R$90)</f>
        <v>0</v>
      </c>
      <c r="X90" s="525"/>
      <c r="Y90" s="530">
        <f>IF($E$87=5,$X$90,0)</f>
        <v>0</v>
      </c>
      <c r="Z90" s="530">
        <f>IF($E$87=5,$X$90,0)</f>
        <v>0</v>
      </c>
      <c r="AA90" s="446"/>
      <c r="AB90" s="447"/>
    </row>
    <row r="91" spans="2:28" x14ac:dyDescent="0.2">
      <c r="B91" s="445"/>
      <c r="C91" s="689" t="str">
        <f>$C$17</f>
        <v>Option 2: Provide In Meter Capabilities with Near Real-time Centralised Analytics</v>
      </c>
      <c r="D91" s="544" t="str">
        <f>IF($I$8=1,"Call centre response",0)</f>
        <v>Call centre response</v>
      </c>
      <c r="E91" s="529" t="s">
        <v>150</v>
      </c>
      <c r="F91" s="526"/>
      <c r="G91" s="531">
        <f>IF($E$87=1,0,IF(OR($E$87=2,$E$87=3,$E$87=4,$E$87=5),$F$91))</f>
        <v>0</v>
      </c>
      <c r="H91" s="531">
        <f>IF($E$87=1,0,IF(OR($E$87=2,$E$87=3,$E$87=4,$E$87=5),$F$91))</f>
        <v>0</v>
      </c>
      <c r="I91" s="531">
        <f>IF($E$87=1,0,IF(OR($E$87=2,$E$87=3,$E$87=4,$E$87=5),$F$91))</f>
        <v>0</v>
      </c>
      <c r="J91" s="531">
        <f>IF($E$87=1,0,IF(OR($E$87=2,$E$87=3,$E$87=4,$E$87=5),$F$91))</f>
        <v>0</v>
      </c>
      <c r="K91" s="531">
        <f>IF($E$87=1,0,IF(OR($E$87=2,$E$87=3,$E$87=4,$E$87=5),$F$91))</f>
        <v>0</v>
      </c>
      <c r="L91" s="526"/>
      <c r="M91" s="531">
        <f>IF(OR($E$87=1,$E$87=2),0,$L$91)</f>
        <v>0</v>
      </c>
      <c r="N91" s="531">
        <f>IF(OR($E$87=1,$E$87=2),0,$L$91)</f>
        <v>0</v>
      </c>
      <c r="O91" s="531">
        <f>IF(OR($E$87=1,$E$87=2),0,$L$91)</f>
        <v>0</v>
      </c>
      <c r="P91" s="531">
        <f>IF(OR($E$87=1,$E$87=2),0,$L$91)</f>
        <v>0</v>
      </c>
      <c r="Q91" s="531">
        <f>IF(OR($E$87=1,$E$87=2),0,$L$91)</f>
        <v>0</v>
      </c>
      <c r="R91" s="526"/>
      <c r="S91" s="531">
        <f>IF(OR($E$87=1,$E$87=2,$E$87=3),0,$R$91)</f>
        <v>0</v>
      </c>
      <c r="T91" s="531">
        <f>IF(OR($E$87=1,$E$87=2,$E$87=3),0,$R$91)</f>
        <v>0</v>
      </c>
      <c r="U91" s="531">
        <f>IF(OR($E$87=1,$E$87=2,$E$87=3),0,$R$91)</f>
        <v>0</v>
      </c>
      <c r="V91" s="531">
        <f>IF(OR($E$87=1,$E$87=2,$E$87=3),0,$R$91)</f>
        <v>0</v>
      </c>
      <c r="W91" s="531">
        <f>IF(OR($E$87=1,$E$87=2,$E$87=3),0,$R$91)</f>
        <v>0</v>
      </c>
      <c r="X91" s="526"/>
      <c r="Y91" s="531">
        <f>IF($E$87=5,$X$91,0)</f>
        <v>0</v>
      </c>
      <c r="Z91" s="531">
        <f>IF($E$87=5,$X$91,0)</f>
        <v>0</v>
      </c>
      <c r="AA91" s="446"/>
      <c r="AB91" s="447"/>
    </row>
    <row r="92" spans="2:28" x14ac:dyDescent="0.2">
      <c r="B92" s="445"/>
      <c r="C92" s="446"/>
      <c r="D92" s="545"/>
      <c r="E92" s="534"/>
      <c r="F92" s="535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6"/>
      <c r="X92" s="536"/>
      <c r="Y92" s="536"/>
      <c r="Z92" s="536"/>
      <c r="AA92" s="446"/>
      <c r="AB92" s="447"/>
    </row>
    <row r="93" spans="2:28" x14ac:dyDescent="0.2">
      <c r="B93" s="445"/>
      <c r="C93" s="446"/>
      <c r="D93" s="542" t="str">
        <f>$D$35</f>
        <v>Network Outage Costs</v>
      </c>
      <c r="E93" s="528"/>
      <c r="F93" s="522">
        <f>G12</f>
        <v>2020</v>
      </c>
      <c r="G93" s="523">
        <f t="shared" ref="G93:Z93" si="16">F93+1</f>
        <v>2021</v>
      </c>
      <c r="H93" s="523">
        <f t="shared" si="16"/>
        <v>2022</v>
      </c>
      <c r="I93" s="523">
        <f t="shared" si="16"/>
        <v>2023</v>
      </c>
      <c r="J93" s="523">
        <f t="shared" si="16"/>
        <v>2024</v>
      </c>
      <c r="K93" s="523">
        <f t="shared" si="16"/>
        <v>2025</v>
      </c>
      <c r="L93" s="523">
        <f t="shared" si="16"/>
        <v>2026</v>
      </c>
      <c r="M93" s="523">
        <f t="shared" si="16"/>
        <v>2027</v>
      </c>
      <c r="N93" s="523">
        <f t="shared" si="16"/>
        <v>2028</v>
      </c>
      <c r="O93" s="523">
        <f t="shared" si="16"/>
        <v>2029</v>
      </c>
      <c r="P93" s="523">
        <f t="shared" si="16"/>
        <v>2030</v>
      </c>
      <c r="Q93" s="523">
        <f t="shared" si="16"/>
        <v>2031</v>
      </c>
      <c r="R93" s="523">
        <f t="shared" si="16"/>
        <v>2032</v>
      </c>
      <c r="S93" s="523">
        <f t="shared" si="16"/>
        <v>2033</v>
      </c>
      <c r="T93" s="523">
        <f t="shared" si="16"/>
        <v>2034</v>
      </c>
      <c r="U93" s="523">
        <f t="shared" si="16"/>
        <v>2035</v>
      </c>
      <c r="V93" s="523">
        <f t="shared" si="16"/>
        <v>2036</v>
      </c>
      <c r="W93" s="523">
        <f t="shared" si="16"/>
        <v>2037</v>
      </c>
      <c r="X93" s="523">
        <f t="shared" si="16"/>
        <v>2038</v>
      </c>
      <c r="Y93" s="523">
        <f t="shared" si="16"/>
        <v>2039</v>
      </c>
      <c r="Z93" s="523">
        <f t="shared" si="16"/>
        <v>2040</v>
      </c>
      <c r="AA93" s="446"/>
      <c r="AB93" s="447"/>
    </row>
    <row r="94" spans="2:28" x14ac:dyDescent="0.2">
      <c r="B94" s="445"/>
      <c r="C94" s="689" t="str">
        <f>$C$17</f>
        <v>Option 2: Provide In Meter Capabilities with Near Real-time Centralised Analytics</v>
      </c>
      <c r="D94" s="544" t="str">
        <f>$D$36</f>
        <v>Customer off supply</v>
      </c>
      <c r="E94" s="529" t="s">
        <v>149</v>
      </c>
      <c r="F94" s="537"/>
      <c r="G94" s="537"/>
      <c r="H94" s="537"/>
      <c r="I94" s="537"/>
      <c r="J94" s="537"/>
      <c r="K94" s="537"/>
      <c r="L94" s="537"/>
      <c r="M94" s="537"/>
      <c r="N94" s="537"/>
      <c r="O94" s="537"/>
      <c r="P94" s="537"/>
      <c r="Q94" s="537"/>
      <c r="R94" s="537"/>
      <c r="S94" s="537"/>
      <c r="T94" s="537"/>
      <c r="U94" s="537"/>
      <c r="V94" s="537"/>
      <c r="W94" s="537"/>
      <c r="X94" s="537"/>
      <c r="Y94" s="537"/>
      <c r="Z94" s="537"/>
      <c r="AA94" s="446"/>
      <c r="AB94" s="447"/>
    </row>
    <row r="95" spans="2:28" x14ac:dyDescent="0.2">
      <c r="B95" s="445"/>
      <c r="C95" s="446"/>
      <c r="D95" s="543"/>
      <c r="E95" s="534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446"/>
      <c r="AB95" s="447"/>
    </row>
    <row r="96" spans="2:28" x14ac:dyDescent="0.2">
      <c r="B96" s="445"/>
      <c r="C96" s="446"/>
      <c r="D96" s="542" t="str">
        <f>D97</f>
        <v>Loss of F Factor Benefit</v>
      </c>
      <c r="E96" s="527"/>
      <c r="F96" s="522">
        <f>G12</f>
        <v>2020</v>
      </c>
      <c r="G96" s="523">
        <f t="shared" ref="G96:Z96" si="17">F96+1</f>
        <v>2021</v>
      </c>
      <c r="H96" s="523">
        <f t="shared" si="17"/>
        <v>2022</v>
      </c>
      <c r="I96" s="523">
        <f t="shared" si="17"/>
        <v>2023</v>
      </c>
      <c r="J96" s="523">
        <f t="shared" si="17"/>
        <v>2024</v>
      </c>
      <c r="K96" s="523">
        <f t="shared" si="17"/>
        <v>2025</v>
      </c>
      <c r="L96" s="523">
        <f t="shared" si="17"/>
        <v>2026</v>
      </c>
      <c r="M96" s="523">
        <f t="shared" si="17"/>
        <v>2027</v>
      </c>
      <c r="N96" s="523">
        <f t="shared" si="17"/>
        <v>2028</v>
      </c>
      <c r="O96" s="523">
        <f t="shared" si="17"/>
        <v>2029</v>
      </c>
      <c r="P96" s="523">
        <f t="shared" si="17"/>
        <v>2030</v>
      </c>
      <c r="Q96" s="523">
        <f t="shared" si="17"/>
        <v>2031</v>
      </c>
      <c r="R96" s="523">
        <f t="shared" si="17"/>
        <v>2032</v>
      </c>
      <c r="S96" s="523">
        <f t="shared" si="17"/>
        <v>2033</v>
      </c>
      <c r="T96" s="523">
        <f t="shared" si="17"/>
        <v>2034</v>
      </c>
      <c r="U96" s="523">
        <f t="shared" si="17"/>
        <v>2035</v>
      </c>
      <c r="V96" s="523">
        <f t="shared" si="17"/>
        <v>2036</v>
      </c>
      <c r="W96" s="523">
        <f t="shared" si="17"/>
        <v>2037</v>
      </c>
      <c r="X96" s="523">
        <f t="shared" si="17"/>
        <v>2038</v>
      </c>
      <c r="Y96" s="523">
        <f t="shared" si="17"/>
        <v>2039</v>
      </c>
      <c r="Z96" s="523">
        <f t="shared" si="17"/>
        <v>2040</v>
      </c>
      <c r="AA96" s="446"/>
      <c r="AB96" s="447"/>
    </row>
    <row r="97" spans="2:28" x14ac:dyDescent="0.2">
      <c r="B97" s="445"/>
      <c r="C97" s="689" t="str">
        <f>$C$17</f>
        <v>Option 2: Provide In Meter Capabilities with Near Real-time Centralised Analytics</v>
      </c>
      <c r="D97" s="546" t="str">
        <f>$D$39</f>
        <v>Loss of F Factor Benefit</v>
      </c>
      <c r="E97" s="541" t="str">
        <f>$E$39</f>
        <v>(No. of fire start NOT avoided)</v>
      </c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446"/>
      <c r="AB97" s="447"/>
    </row>
    <row r="98" spans="2:28" x14ac:dyDescent="0.2">
      <c r="B98" s="445"/>
      <c r="C98" s="446"/>
      <c r="D98" s="538"/>
      <c r="E98" s="534"/>
      <c r="F98" s="539"/>
      <c r="G98" s="539"/>
      <c r="H98" s="53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39"/>
      <c r="X98" s="539"/>
      <c r="Y98" s="539"/>
      <c r="Z98" s="539"/>
      <c r="AA98" s="446"/>
      <c r="AB98" s="447"/>
    </row>
    <row r="99" spans="2:28" x14ac:dyDescent="0.2">
      <c r="B99" s="445"/>
      <c r="C99" s="446"/>
      <c r="D99" s="542" t="s">
        <v>116</v>
      </c>
      <c r="E99" s="527"/>
      <c r="F99" s="522">
        <f>G12</f>
        <v>2020</v>
      </c>
      <c r="G99" s="523">
        <f t="shared" ref="G99:Z99" si="18">F99+1</f>
        <v>2021</v>
      </c>
      <c r="H99" s="523">
        <f t="shared" si="18"/>
        <v>2022</v>
      </c>
      <c r="I99" s="523">
        <f t="shared" si="18"/>
        <v>2023</v>
      </c>
      <c r="J99" s="523">
        <f t="shared" si="18"/>
        <v>2024</v>
      </c>
      <c r="K99" s="523">
        <f t="shared" si="18"/>
        <v>2025</v>
      </c>
      <c r="L99" s="523">
        <f t="shared" si="18"/>
        <v>2026</v>
      </c>
      <c r="M99" s="523">
        <f t="shared" si="18"/>
        <v>2027</v>
      </c>
      <c r="N99" s="523">
        <f t="shared" si="18"/>
        <v>2028</v>
      </c>
      <c r="O99" s="523">
        <f t="shared" si="18"/>
        <v>2029</v>
      </c>
      <c r="P99" s="523">
        <f t="shared" si="18"/>
        <v>2030</v>
      </c>
      <c r="Q99" s="523">
        <f t="shared" si="18"/>
        <v>2031</v>
      </c>
      <c r="R99" s="523">
        <f t="shared" si="18"/>
        <v>2032</v>
      </c>
      <c r="S99" s="523">
        <f t="shared" si="18"/>
        <v>2033</v>
      </c>
      <c r="T99" s="523">
        <f t="shared" si="18"/>
        <v>2034</v>
      </c>
      <c r="U99" s="523">
        <f t="shared" si="18"/>
        <v>2035</v>
      </c>
      <c r="V99" s="523">
        <f t="shared" si="18"/>
        <v>2036</v>
      </c>
      <c r="W99" s="523">
        <f t="shared" si="18"/>
        <v>2037</v>
      </c>
      <c r="X99" s="523">
        <f t="shared" si="18"/>
        <v>2038</v>
      </c>
      <c r="Y99" s="523">
        <f t="shared" si="18"/>
        <v>2039</v>
      </c>
      <c r="Z99" s="523">
        <f t="shared" si="18"/>
        <v>2040</v>
      </c>
      <c r="AA99" s="446"/>
      <c r="AB99" s="447"/>
    </row>
    <row r="100" spans="2:28" x14ac:dyDescent="0.2">
      <c r="B100" s="445"/>
      <c r="C100" s="689" t="str">
        <f t="shared" ref="C100:C109" si="19">$C$17</f>
        <v>Option 2: Provide In Meter Capabilities with Near Real-time Centralised Analytics</v>
      </c>
      <c r="D100" s="542" t="str">
        <f>$D$42</f>
        <v>Cost 1</v>
      </c>
      <c r="E100" s="519" t="s">
        <v>104</v>
      </c>
      <c r="F100" s="510"/>
      <c r="G100" s="510"/>
      <c r="H100" s="510"/>
      <c r="I100" s="510"/>
      <c r="J100" s="510"/>
      <c r="K100" s="510"/>
      <c r="L100" s="510"/>
      <c r="M100" s="510"/>
      <c r="N100" s="510"/>
      <c r="O100" s="510"/>
      <c r="P100" s="510"/>
      <c r="Q100" s="510"/>
      <c r="R100" s="510"/>
      <c r="S100" s="510"/>
      <c r="T100" s="510"/>
      <c r="U100" s="510"/>
      <c r="V100" s="510"/>
      <c r="W100" s="510"/>
      <c r="X100" s="510"/>
      <c r="Y100" s="510"/>
      <c r="Z100" s="510"/>
      <c r="AA100" s="446"/>
      <c r="AB100" s="447"/>
    </row>
    <row r="101" spans="2:28" x14ac:dyDescent="0.2">
      <c r="B101" s="445"/>
      <c r="C101" s="689" t="str">
        <f t="shared" si="19"/>
        <v>Option 2: Provide In Meter Capabilities with Near Real-time Centralised Analytics</v>
      </c>
      <c r="D101" s="542" t="str">
        <f>$D$43</f>
        <v>Cost 2</v>
      </c>
      <c r="E101" s="519" t="s">
        <v>104</v>
      </c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446"/>
      <c r="AB101" s="447"/>
    </row>
    <row r="102" spans="2:28" x14ac:dyDescent="0.2">
      <c r="B102" s="445"/>
      <c r="C102" s="689" t="str">
        <f t="shared" si="19"/>
        <v>Option 2: Provide In Meter Capabilities with Near Real-time Centralised Analytics</v>
      </c>
      <c r="D102" s="542" t="str">
        <f>$D$44</f>
        <v>Cost 3</v>
      </c>
      <c r="E102" s="519" t="s">
        <v>104</v>
      </c>
      <c r="F102" s="550"/>
      <c r="G102" s="550"/>
      <c r="H102" s="550"/>
      <c r="I102" s="550"/>
      <c r="J102" s="550"/>
      <c r="K102" s="550"/>
      <c r="L102" s="550"/>
      <c r="M102" s="550"/>
      <c r="N102" s="550"/>
      <c r="O102" s="550"/>
      <c r="P102" s="550"/>
      <c r="Q102" s="550"/>
      <c r="R102" s="550"/>
      <c r="S102" s="550"/>
      <c r="T102" s="550"/>
      <c r="U102" s="550"/>
      <c r="V102" s="550"/>
      <c r="W102" s="550"/>
      <c r="X102" s="550"/>
      <c r="Y102" s="550"/>
      <c r="Z102" s="550"/>
      <c r="AA102" s="446"/>
      <c r="AB102" s="447"/>
    </row>
    <row r="103" spans="2:28" x14ac:dyDescent="0.2">
      <c r="B103" s="445"/>
      <c r="C103" s="689" t="str">
        <f t="shared" si="19"/>
        <v>Option 2: Provide In Meter Capabilities with Near Real-time Centralised Analytics</v>
      </c>
      <c r="D103" s="542" t="str">
        <f>$D$45</f>
        <v>Cost 4</v>
      </c>
      <c r="E103" s="519" t="s">
        <v>104</v>
      </c>
      <c r="F103" s="550"/>
      <c r="G103" s="550"/>
      <c r="H103" s="550"/>
      <c r="I103" s="550"/>
      <c r="J103" s="550"/>
      <c r="K103" s="550"/>
      <c r="L103" s="550"/>
      <c r="M103" s="550"/>
      <c r="N103" s="550"/>
      <c r="O103" s="550"/>
      <c r="P103" s="550"/>
      <c r="Q103" s="550"/>
      <c r="R103" s="550"/>
      <c r="S103" s="550"/>
      <c r="T103" s="550"/>
      <c r="U103" s="550"/>
      <c r="V103" s="550"/>
      <c r="W103" s="550"/>
      <c r="X103" s="550"/>
      <c r="Y103" s="550"/>
      <c r="Z103" s="550"/>
      <c r="AA103" s="446"/>
      <c r="AB103" s="447"/>
    </row>
    <row r="104" spans="2:28" x14ac:dyDescent="0.2">
      <c r="B104" s="445"/>
      <c r="C104" s="689" t="str">
        <f t="shared" si="19"/>
        <v>Option 2: Provide In Meter Capabilities with Near Real-time Centralised Analytics</v>
      </c>
      <c r="D104" s="542" t="str">
        <f>$D$46</f>
        <v>Cost 5</v>
      </c>
      <c r="E104" s="519" t="s">
        <v>104</v>
      </c>
      <c r="F104" s="550"/>
      <c r="G104" s="550"/>
      <c r="H104" s="550"/>
      <c r="I104" s="550"/>
      <c r="J104" s="550"/>
      <c r="K104" s="550"/>
      <c r="L104" s="550"/>
      <c r="M104" s="550"/>
      <c r="N104" s="55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0"/>
      <c r="Z104" s="550"/>
      <c r="AA104" s="446"/>
      <c r="AB104" s="447"/>
    </row>
    <row r="105" spans="2:28" x14ac:dyDescent="0.2">
      <c r="B105" s="445"/>
      <c r="C105" s="689" t="str">
        <f t="shared" si="19"/>
        <v>Option 2: Provide In Meter Capabilities with Near Real-time Centralised Analytics</v>
      </c>
      <c r="D105" s="542" t="s">
        <v>278</v>
      </c>
      <c r="E105" s="519" t="s">
        <v>104</v>
      </c>
      <c r="F105" s="550"/>
      <c r="G105" s="550"/>
      <c r="H105" s="550"/>
      <c r="I105" s="550"/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0"/>
      <c r="X105" s="550"/>
      <c r="Y105" s="550"/>
      <c r="Z105" s="550"/>
      <c r="AA105" s="446"/>
      <c r="AB105" s="447"/>
    </row>
    <row r="106" spans="2:28" x14ac:dyDescent="0.2">
      <c r="B106" s="445"/>
      <c r="C106" s="689" t="str">
        <f t="shared" si="19"/>
        <v>Option 2: Provide In Meter Capabilities with Near Real-time Centralised Analytics</v>
      </c>
      <c r="D106" s="542" t="s">
        <v>279</v>
      </c>
      <c r="E106" s="519" t="s">
        <v>104</v>
      </c>
      <c r="F106" s="550"/>
      <c r="G106" s="550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550"/>
      <c r="X106" s="550"/>
      <c r="Y106" s="550"/>
      <c r="Z106" s="550"/>
      <c r="AA106" s="446"/>
      <c r="AB106" s="447"/>
    </row>
    <row r="107" spans="2:28" x14ac:dyDescent="0.2">
      <c r="B107" s="445"/>
      <c r="C107" s="689" t="str">
        <f t="shared" si="19"/>
        <v>Option 2: Provide In Meter Capabilities with Near Real-time Centralised Analytics</v>
      </c>
      <c r="D107" s="542" t="s">
        <v>280</v>
      </c>
      <c r="E107" s="519" t="s">
        <v>104</v>
      </c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446"/>
      <c r="AB107" s="447"/>
    </row>
    <row r="108" spans="2:28" x14ac:dyDescent="0.2">
      <c r="B108" s="445"/>
      <c r="C108" s="689" t="str">
        <f t="shared" si="19"/>
        <v>Option 2: Provide In Meter Capabilities with Near Real-time Centralised Analytics</v>
      </c>
      <c r="D108" s="542" t="s">
        <v>281</v>
      </c>
      <c r="E108" s="519" t="s">
        <v>104</v>
      </c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446"/>
      <c r="AB108" s="447"/>
    </row>
    <row r="109" spans="2:28" x14ac:dyDescent="0.2">
      <c r="B109" s="445"/>
      <c r="C109" s="689" t="str">
        <f t="shared" si="19"/>
        <v>Option 2: Provide In Meter Capabilities with Near Real-time Centralised Analytics</v>
      </c>
      <c r="D109" s="542" t="s">
        <v>282</v>
      </c>
      <c r="E109" s="519" t="s">
        <v>104</v>
      </c>
      <c r="F109" s="550"/>
      <c r="G109" s="550"/>
      <c r="H109" s="550"/>
      <c r="I109" s="550"/>
      <c r="J109" s="550"/>
      <c r="K109" s="550"/>
      <c r="L109" s="550"/>
      <c r="M109" s="550"/>
      <c r="N109" s="550"/>
      <c r="O109" s="550"/>
      <c r="P109" s="550"/>
      <c r="Q109" s="550"/>
      <c r="R109" s="550"/>
      <c r="S109" s="550"/>
      <c r="T109" s="550"/>
      <c r="U109" s="550"/>
      <c r="V109" s="550"/>
      <c r="W109" s="550"/>
      <c r="X109" s="550"/>
      <c r="Y109" s="550"/>
      <c r="Z109" s="550"/>
      <c r="AA109" s="446"/>
      <c r="AB109" s="447"/>
    </row>
    <row r="110" spans="2:28" x14ac:dyDescent="0.2">
      <c r="B110" s="445"/>
      <c r="C110" s="446"/>
      <c r="D110" s="532"/>
      <c r="E110" s="533"/>
      <c r="F110" s="446"/>
      <c r="G110" s="446"/>
      <c r="H110" s="446"/>
      <c r="I110" s="446"/>
      <c r="J110" s="446"/>
      <c r="K110" s="512"/>
      <c r="L110" s="446"/>
      <c r="M110" s="446"/>
      <c r="N110" s="446"/>
      <c r="O110" s="446"/>
      <c r="P110" s="446"/>
      <c r="Q110" s="446"/>
      <c r="R110" s="446"/>
      <c r="S110" s="446"/>
      <c r="T110" s="446"/>
      <c r="U110" s="446"/>
      <c r="V110" s="446"/>
      <c r="W110" s="446"/>
      <c r="X110" s="446"/>
      <c r="Y110" s="446"/>
      <c r="Z110" s="446"/>
      <c r="AA110" s="446"/>
      <c r="AB110" s="447"/>
    </row>
    <row r="111" spans="2:28" ht="13.5" thickBot="1" x14ac:dyDescent="0.25">
      <c r="B111" s="445"/>
      <c r="C111" s="446"/>
      <c r="D111" s="492" t="str">
        <f>"Option 3: "&amp;+E18</f>
        <v xml:space="preserve">Option 3: </v>
      </c>
      <c r="E111" s="487"/>
      <c r="F111" s="446"/>
      <c r="G111" s="446"/>
      <c r="H111" s="446"/>
      <c r="I111" s="446"/>
      <c r="J111" s="446"/>
      <c r="K111" s="512"/>
      <c r="L111" s="446"/>
      <c r="M111" s="446"/>
      <c r="N111" s="446"/>
      <c r="O111" s="446"/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7"/>
    </row>
    <row r="112" spans="2:28" x14ac:dyDescent="0.2">
      <c r="B112" s="445"/>
      <c r="C112" s="446"/>
      <c r="D112" s="487"/>
      <c r="E112" s="487"/>
      <c r="F112" s="446"/>
      <c r="G112" s="446"/>
      <c r="H112" s="446"/>
      <c r="I112" s="446"/>
      <c r="J112" s="446"/>
      <c r="K112" s="512"/>
      <c r="L112" s="446"/>
      <c r="M112" s="446"/>
      <c r="N112" s="446"/>
      <c r="O112" s="446"/>
      <c r="P112" s="446"/>
      <c r="Q112" s="446"/>
      <c r="R112" s="446"/>
      <c r="S112" s="446"/>
      <c r="T112" s="446"/>
      <c r="U112" s="446"/>
      <c r="V112" s="446"/>
      <c r="W112" s="446"/>
      <c r="X112" s="446"/>
      <c r="Y112" s="446"/>
      <c r="Z112" s="446"/>
      <c r="AA112" s="446"/>
      <c r="AB112" s="447"/>
    </row>
    <row r="113" spans="2:28" x14ac:dyDescent="0.2">
      <c r="B113" s="445"/>
      <c r="C113" s="446"/>
      <c r="D113" s="520"/>
      <c r="E113" s="521"/>
      <c r="F113" s="522">
        <f>G12</f>
        <v>2020</v>
      </c>
      <c r="G113" s="523">
        <f>F113+1</f>
        <v>2021</v>
      </c>
      <c r="H113" s="523">
        <f t="shared" ref="H113:Z113" si="20">G113+1</f>
        <v>2022</v>
      </c>
      <c r="I113" s="523">
        <f t="shared" si="20"/>
        <v>2023</v>
      </c>
      <c r="J113" s="523">
        <f t="shared" si="20"/>
        <v>2024</v>
      </c>
      <c r="K113" s="523">
        <f t="shared" si="20"/>
        <v>2025</v>
      </c>
      <c r="L113" s="523">
        <f t="shared" si="20"/>
        <v>2026</v>
      </c>
      <c r="M113" s="523">
        <f t="shared" si="20"/>
        <v>2027</v>
      </c>
      <c r="N113" s="523">
        <f t="shared" si="20"/>
        <v>2028</v>
      </c>
      <c r="O113" s="523">
        <f t="shared" si="20"/>
        <v>2029</v>
      </c>
      <c r="P113" s="523">
        <f t="shared" si="20"/>
        <v>2030</v>
      </c>
      <c r="Q113" s="523">
        <f t="shared" si="20"/>
        <v>2031</v>
      </c>
      <c r="R113" s="523">
        <f t="shared" si="20"/>
        <v>2032</v>
      </c>
      <c r="S113" s="523">
        <f t="shared" si="20"/>
        <v>2033</v>
      </c>
      <c r="T113" s="523">
        <f t="shared" si="20"/>
        <v>2034</v>
      </c>
      <c r="U113" s="523">
        <f t="shared" si="20"/>
        <v>2035</v>
      </c>
      <c r="V113" s="523">
        <f t="shared" si="20"/>
        <v>2036</v>
      </c>
      <c r="W113" s="523">
        <f t="shared" si="20"/>
        <v>2037</v>
      </c>
      <c r="X113" s="523">
        <f t="shared" si="20"/>
        <v>2038</v>
      </c>
      <c r="Y113" s="523">
        <f t="shared" si="20"/>
        <v>2039</v>
      </c>
      <c r="Z113" s="523">
        <f t="shared" si="20"/>
        <v>2040</v>
      </c>
      <c r="AA113" s="446"/>
      <c r="AB113" s="447"/>
    </row>
    <row r="114" spans="2:28" x14ac:dyDescent="0.2">
      <c r="B114" s="445"/>
      <c r="C114" s="689" t="str">
        <f>$C$18</f>
        <v xml:space="preserve">Option 3: </v>
      </c>
      <c r="D114" s="542" t="str">
        <f>$D$27</f>
        <v>Maintenance Costs</v>
      </c>
      <c r="E114" s="519" t="s">
        <v>104</v>
      </c>
      <c r="F114" s="510"/>
      <c r="G114" s="537"/>
      <c r="H114" s="537"/>
      <c r="I114" s="537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446"/>
      <c r="AB114" s="447"/>
    </row>
    <row r="115" spans="2:28" x14ac:dyDescent="0.2">
      <c r="B115" s="445"/>
      <c r="C115" s="446"/>
      <c r="D115" s="543"/>
      <c r="E115" s="533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46"/>
      <c r="AB115" s="447"/>
    </row>
    <row r="116" spans="2:28" x14ac:dyDescent="0.2">
      <c r="B116" s="445"/>
      <c r="C116" s="446"/>
      <c r="D116" s="542" t="str">
        <f>IF($I$8=1,"Negative Impact on Revenue (STPIS)",0)</f>
        <v>Negative Impact on Revenue (STPIS)</v>
      </c>
      <c r="E116" s="528">
        <v>5</v>
      </c>
      <c r="F116" s="522">
        <f>G12</f>
        <v>2020</v>
      </c>
      <c r="G116" s="523">
        <f t="shared" ref="G116:Z116" si="21">F116+1</f>
        <v>2021</v>
      </c>
      <c r="H116" s="523">
        <f t="shared" si="21"/>
        <v>2022</v>
      </c>
      <c r="I116" s="523">
        <f t="shared" si="21"/>
        <v>2023</v>
      </c>
      <c r="J116" s="523">
        <f t="shared" si="21"/>
        <v>2024</v>
      </c>
      <c r="K116" s="523">
        <f t="shared" si="21"/>
        <v>2025</v>
      </c>
      <c r="L116" s="523">
        <f t="shared" si="21"/>
        <v>2026</v>
      </c>
      <c r="M116" s="523">
        <f t="shared" si="21"/>
        <v>2027</v>
      </c>
      <c r="N116" s="523">
        <f t="shared" si="21"/>
        <v>2028</v>
      </c>
      <c r="O116" s="523">
        <f t="shared" si="21"/>
        <v>2029</v>
      </c>
      <c r="P116" s="523">
        <f t="shared" si="21"/>
        <v>2030</v>
      </c>
      <c r="Q116" s="523">
        <f t="shared" si="21"/>
        <v>2031</v>
      </c>
      <c r="R116" s="523">
        <f t="shared" si="21"/>
        <v>2032</v>
      </c>
      <c r="S116" s="523">
        <f t="shared" si="21"/>
        <v>2033</v>
      </c>
      <c r="T116" s="523">
        <f t="shared" si="21"/>
        <v>2034</v>
      </c>
      <c r="U116" s="523">
        <f t="shared" si="21"/>
        <v>2035</v>
      </c>
      <c r="V116" s="523">
        <f t="shared" si="21"/>
        <v>2036</v>
      </c>
      <c r="W116" s="523">
        <f t="shared" si="21"/>
        <v>2037</v>
      </c>
      <c r="X116" s="523">
        <f t="shared" si="21"/>
        <v>2038</v>
      </c>
      <c r="Y116" s="523">
        <f t="shared" si="21"/>
        <v>2039</v>
      </c>
      <c r="Z116" s="523">
        <f t="shared" si="21"/>
        <v>2040</v>
      </c>
      <c r="AA116" s="446"/>
      <c r="AB116" s="447"/>
    </row>
    <row r="117" spans="2:28" x14ac:dyDescent="0.2">
      <c r="B117" s="445"/>
      <c r="C117" s="689" t="str">
        <f>$C$18</f>
        <v xml:space="preserve">Option 3: </v>
      </c>
      <c r="D117" s="544" t="str">
        <f>IF($I$8=1,"SAIFI sustained",0)</f>
        <v>SAIFI sustained</v>
      </c>
      <c r="E117" s="529" t="s">
        <v>148</v>
      </c>
      <c r="F117" s="524"/>
      <c r="G117" s="530">
        <f>IF($E$116=1,0,IF(OR($E$116=2,$E$116=3,$E$116=4,$E$116=5),$F$117))</f>
        <v>0</v>
      </c>
      <c r="H117" s="530">
        <f>IF($E$116=1,0,IF(OR($E$116=2,$E$116=3,$E$116=4,$E$116=5),$F$117))</f>
        <v>0</v>
      </c>
      <c r="I117" s="530">
        <f>IF($E$116=1,0,IF(OR($E$116=2,$E$116=3,$E$116=4,$E$116=5),$F$117))</f>
        <v>0</v>
      </c>
      <c r="J117" s="530">
        <f>IF($E$116=1,0,IF(OR($E$116=2,$E$116=3,$E$116=4,$E$116=5),$F$117))</f>
        <v>0</v>
      </c>
      <c r="K117" s="530">
        <f>IF($E$116=1,0,IF(OR($E$116=2,$E$116=3,$E$116=4,$E$116=5),$F$117))</f>
        <v>0</v>
      </c>
      <c r="L117" s="525"/>
      <c r="M117" s="530">
        <f>IF(OR($E$116=1,$E$116=2),0,$L$117)</f>
        <v>0</v>
      </c>
      <c r="N117" s="530">
        <f>IF(OR($E$116=1,$E$116=2),0,$L$117)</f>
        <v>0</v>
      </c>
      <c r="O117" s="530">
        <f>IF(OR($E$116=1,$E$116=2),0,$L$117)</f>
        <v>0</v>
      </c>
      <c r="P117" s="530">
        <f>IF(OR($E$116=1,$E$116=2),0,$L$117)</f>
        <v>0</v>
      </c>
      <c r="Q117" s="530">
        <f>IF(OR($E$116=1,$E$116=2),0,$L$117)</f>
        <v>0</v>
      </c>
      <c r="R117" s="525"/>
      <c r="S117" s="530">
        <f>IF(OR($E$116=1,$E$116=2,$E$116=3),0,$R$117)</f>
        <v>0</v>
      </c>
      <c r="T117" s="530">
        <f>IF(OR($E$116=1,$E$116=2,$E$116=3),0,$R$117)</f>
        <v>0</v>
      </c>
      <c r="U117" s="530">
        <f>IF(OR($E$116=1,$E$116=2,$E$116=3),0,$R$117)</f>
        <v>0</v>
      </c>
      <c r="V117" s="530">
        <f>IF(OR($E$116=1,$E$116=2,$E$116=3),0,$R$117)</f>
        <v>0</v>
      </c>
      <c r="W117" s="530">
        <f>IF(OR($E$116=1,$E$116=2,$E$116=3),0,$R$117)</f>
        <v>0</v>
      </c>
      <c r="X117" s="525"/>
      <c r="Y117" s="530">
        <f>IF($E$116=5,$X$117,0)</f>
        <v>0</v>
      </c>
      <c r="Z117" s="530">
        <f>IF($E$116=5,$X$117,0)</f>
        <v>0</v>
      </c>
      <c r="AA117" s="446"/>
      <c r="AB117" s="447"/>
    </row>
    <row r="118" spans="2:28" x14ac:dyDescent="0.2">
      <c r="B118" s="445"/>
      <c r="C118" s="689" t="str">
        <f>$C$18</f>
        <v xml:space="preserve">Option 3: </v>
      </c>
      <c r="D118" s="544" t="str">
        <f>IF($I$8=1,"SAIDI accidental",0)</f>
        <v>SAIDI accidental</v>
      </c>
      <c r="E118" s="529" t="s">
        <v>149</v>
      </c>
      <c r="F118" s="525"/>
      <c r="G118" s="530">
        <f>IF($E$116=1,0,IF(OR($E$116=2,$E$116=3,$E$116=4,$E$116=5),$F$118))</f>
        <v>0</v>
      </c>
      <c r="H118" s="530">
        <f>IF($E$116=1,0,IF(OR($E$116=2,$E$116=3,$E$116=4,$E$116=5),$F$118))</f>
        <v>0</v>
      </c>
      <c r="I118" s="530">
        <f>IF($E$116=1,0,IF(OR($E$116=2,$E$116=3,$E$116=4,$E$116=5),$F$118))</f>
        <v>0</v>
      </c>
      <c r="J118" s="530">
        <f>IF($E$116=1,0,IF(OR($E$116=2,$E$116=3,$E$116=4,$E$116=5),$F$118))</f>
        <v>0</v>
      </c>
      <c r="K118" s="530">
        <f>IF($E$116=1,0,IF(OR($E$116=2,$E$116=3,$E$116=4,$E$116=5),$F$118))</f>
        <v>0</v>
      </c>
      <c r="L118" s="525"/>
      <c r="M118" s="530">
        <f>IF(OR($E$116=1,$E$116=2),0,$L$118)</f>
        <v>0</v>
      </c>
      <c r="N118" s="530">
        <f>IF(OR($E$116=1,$E$116=2),0,$L$118)</f>
        <v>0</v>
      </c>
      <c r="O118" s="530">
        <f>IF(OR($E$116=1,$E$116=2),0,$L$118)</f>
        <v>0</v>
      </c>
      <c r="P118" s="530">
        <f>IF(OR($E$116=1,$E$116=2),0,$L$118)</f>
        <v>0</v>
      </c>
      <c r="Q118" s="530">
        <f>IF(OR($E$116=1,$E$116=2),0,$L$118)</f>
        <v>0</v>
      </c>
      <c r="R118" s="525"/>
      <c r="S118" s="530">
        <f>IF(OR($E$116=1,$E$116=2,$E$116=3),0,$R$118)</f>
        <v>0</v>
      </c>
      <c r="T118" s="530">
        <f>IF(OR($E$116=1,$E$116=2,$E$116=3),0,$R$118)</f>
        <v>0</v>
      </c>
      <c r="U118" s="530">
        <f>IF(OR($E$116=1,$E$116=2,$E$116=3),0,$R$118)</f>
        <v>0</v>
      </c>
      <c r="V118" s="530">
        <f>IF(OR($E$116=1,$E$116=2,$E$116=3),0,$R$118)</f>
        <v>0</v>
      </c>
      <c r="W118" s="530">
        <f>IF(OR($E$116=1,$E$116=2,$E$116=3),0,$R$118)</f>
        <v>0</v>
      </c>
      <c r="X118" s="525"/>
      <c r="Y118" s="530">
        <f>IF($E$116=5,$X$118,0)</f>
        <v>0</v>
      </c>
      <c r="Z118" s="530">
        <f>IF($E$116=5,$X$118,0)</f>
        <v>0</v>
      </c>
      <c r="AA118" s="446"/>
      <c r="AB118" s="447"/>
    </row>
    <row r="119" spans="2:28" x14ac:dyDescent="0.2">
      <c r="B119" s="445"/>
      <c r="C119" s="689" t="str">
        <f>$C$18</f>
        <v xml:space="preserve">Option 3: </v>
      </c>
      <c r="D119" s="544" t="str">
        <f>IF($I$8=1,"MAIFI momentary",0)</f>
        <v>MAIFI momentary</v>
      </c>
      <c r="E119" s="529" t="s">
        <v>148</v>
      </c>
      <c r="F119" s="525"/>
      <c r="G119" s="530">
        <f>IF($E$116=1,0,IF(OR($E$116=2,$E$116=3,$E$116=4,$E$116=5),$F$119))</f>
        <v>0</v>
      </c>
      <c r="H119" s="530">
        <f>IF($E$116=1,0,IF(OR($E$116=2,$E$116=3,$E$116=4,$E$116=5),$F$119))</f>
        <v>0</v>
      </c>
      <c r="I119" s="530">
        <f>IF($E$116=1,0,IF(OR($E$116=2,$E$116=3,$E$116=4,$E$116=5),$F$119))</f>
        <v>0</v>
      </c>
      <c r="J119" s="530">
        <f>IF($E$116=1,0,IF(OR($E$116=2,$E$116=3,$E$116=4,$E$116=5),$F$119))</f>
        <v>0</v>
      </c>
      <c r="K119" s="530">
        <f>IF($E$116=1,0,IF(OR($E$116=2,$E$116=3,$E$116=4,$E$116=5),$F$119))</f>
        <v>0</v>
      </c>
      <c r="L119" s="525"/>
      <c r="M119" s="530">
        <f>IF(OR($E$116=1,$E$116=2),0,$L$119)</f>
        <v>0</v>
      </c>
      <c r="N119" s="530">
        <f>IF(OR($E$116=1,$E$116=2),0,$L$119)</f>
        <v>0</v>
      </c>
      <c r="O119" s="530">
        <f>IF(OR($E$116=1,$E$116=2),0,$L$119)</f>
        <v>0</v>
      </c>
      <c r="P119" s="530">
        <f>IF(OR($E$116=1,$E$116=2),0,$L$119)</f>
        <v>0</v>
      </c>
      <c r="Q119" s="530">
        <f>IF(OR($E$116=1,$E$116=2),0,$L$119)</f>
        <v>0</v>
      </c>
      <c r="R119" s="525"/>
      <c r="S119" s="530">
        <f>IF(OR($E$116=1,$E$116=2,$E$116=3),0,$R$119)</f>
        <v>0</v>
      </c>
      <c r="T119" s="530">
        <f>IF(OR($E$116=1,$E$116=2,$E$116=3),0,$R$119)</f>
        <v>0</v>
      </c>
      <c r="U119" s="530">
        <f>IF(OR($E$116=1,$E$116=2,$E$116=3),0,$R$119)</f>
        <v>0</v>
      </c>
      <c r="V119" s="530">
        <f>IF(OR($E$116=1,$E$116=2,$E$116=3),0,$R$119)</f>
        <v>0</v>
      </c>
      <c r="W119" s="530">
        <f>IF(OR($E$116=1,$E$116=2,$E$116=3),0,$R$119)</f>
        <v>0</v>
      </c>
      <c r="X119" s="525"/>
      <c r="Y119" s="530">
        <f>IF($E$116=5,$X$119,0)</f>
        <v>0</v>
      </c>
      <c r="Z119" s="530">
        <f>IF($E$116=5,$X$119,0)</f>
        <v>0</v>
      </c>
      <c r="AA119" s="446"/>
      <c r="AB119" s="447"/>
    </row>
    <row r="120" spans="2:28" x14ac:dyDescent="0.2">
      <c r="B120" s="445"/>
      <c r="C120" s="689" t="str">
        <f>$C$18</f>
        <v xml:space="preserve">Option 3: </v>
      </c>
      <c r="D120" s="544" t="str">
        <f>IF($I$8=1,"Call centre response",0)</f>
        <v>Call centre response</v>
      </c>
      <c r="E120" s="529" t="s">
        <v>150</v>
      </c>
      <c r="F120" s="526"/>
      <c r="G120" s="531">
        <f>IF($E$116=1,0,IF(OR($E$116=2,$E$116=3,$E$116=4,$E$116=5),$F$120))</f>
        <v>0</v>
      </c>
      <c r="H120" s="531">
        <f>IF($E$116=1,0,IF(OR($E$116=2,$E$116=3,$E$116=4,$E$116=5),$F$120))</f>
        <v>0</v>
      </c>
      <c r="I120" s="531">
        <f>IF($E$116=1,0,IF(OR($E$116=2,$E$116=3,$E$116=4,$E$116=5),$F$120))</f>
        <v>0</v>
      </c>
      <c r="J120" s="531">
        <f>IF($E$116=1,0,IF(OR($E$116=2,$E$116=3,$E$116=4,$E$116=5),$F$120))</f>
        <v>0</v>
      </c>
      <c r="K120" s="531">
        <f>IF($E$116=1,0,IF(OR($E$116=2,$E$116=3,$E$116=4,$E$116=5),$F$120))</f>
        <v>0</v>
      </c>
      <c r="L120" s="526"/>
      <c r="M120" s="531">
        <f>IF(OR($E$116=1,$E$116=2),0,$L$120)</f>
        <v>0</v>
      </c>
      <c r="N120" s="531">
        <f>IF(OR($E$116=1,$E$116=2),0,$L$120)</f>
        <v>0</v>
      </c>
      <c r="O120" s="531">
        <f>IF(OR($E$116=1,$E$116=2),0,$L$120)</f>
        <v>0</v>
      </c>
      <c r="P120" s="531">
        <f>IF(OR($E$116=1,$E$116=2),0,$L$120)</f>
        <v>0</v>
      </c>
      <c r="Q120" s="531">
        <f>IF(OR($E$116=1,$E$116=2),0,$L$120)</f>
        <v>0</v>
      </c>
      <c r="R120" s="526"/>
      <c r="S120" s="531">
        <f>IF(OR($E$116=1,$E$116=2,$E$116=3),0,$R$120)</f>
        <v>0</v>
      </c>
      <c r="T120" s="531">
        <f>IF(OR($E$116=1,$E$116=2,$E$116=3),0,$R$120)</f>
        <v>0</v>
      </c>
      <c r="U120" s="531">
        <f>IF(OR($E$116=1,$E$116=2,$E$116=3),0,$R$120)</f>
        <v>0</v>
      </c>
      <c r="V120" s="531">
        <f>IF(OR($E$116=1,$E$116=2,$E$116=3),0,$R$120)</f>
        <v>0</v>
      </c>
      <c r="W120" s="531">
        <f>IF(OR($E$116=1,$E$116=2,$E$116=3),0,$R$120)</f>
        <v>0</v>
      </c>
      <c r="X120" s="526"/>
      <c r="Y120" s="531">
        <f>IF($E$116=5,$X$120,0)</f>
        <v>0</v>
      </c>
      <c r="Z120" s="531">
        <f>IF($E$116=5,$X$120,0)</f>
        <v>0</v>
      </c>
      <c r="AA120" s="446"/>
      <c r="AB120" s="447"/>
    </row>
    <row r="121" spans="2:28" x14ac:dyDescent="0.2">
      <c r="B121" s="445"/>
      <c r="C121" s="446"/>
      <c r="D121" s="545"/>
      <c r="E121" s="534"/>
      <c r="F121" s="535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446"/>
      <c r="AB121" s="447"/>
    </row>
    <row r="122" spans="2:28" x14ac:dyDescent="0.2">
      <c r="B122" s="445"/>
      <c r="C122" s="446"/>
      <c r="D122" s="542" t="str">
        <f>$D$35</f>
        <v>Network Outage Costs</v>
      </c>
      <c r="E122" s="528"/>
      <c r="F122" s="522">
        <f>G12</f>
        <v>2020</v>
      </c>
      <c r="G122" s="523">
        <f t="shared" ref="G122:Z122" si="22">F122+1</f>
        <v>2021</v>
      </c>
      <c r="H122" s="523">
        <f t="shared" si="22"/>
        <v>2022</v>
      </c>
      <c r="I122" s="523">
        <f t="shared" si="22"/>
        <v>2023</v>
      </c>
      <c r="J122" s="523">
        <f t="shared" si="22"/>
        <v>2024</v>
      </c>
      <c r="K122" s="523">
        <f t="shared" si="22"/>
        <v>2025</v>
      </c>
      <c r="L122" s="523">
        <f t="shared" si="22"/>
        <v>2026</v>
      </c>
      <c r="M122" s="523">
        <f t="shared" si="22"/>
        <v>2027</v>
      </c>
      <c r="N122" s="523">
        <f t="shared" si="22"/>
        <v>2028</v>
      </c>
      <c r="O122" s="523">
        <f t="shared" si="22"/>
        <v>2029</v>
      </c>
      <c r="P122" s="523">
        <f t="shared" si="22"/>
        <v>2030</v>
      </c>
      <c r="Q122" s="523">
        <f t="shared" si="22"/>
        <v>2031</v>
      </c>
      <c r="R122" s="523">
        <f t="shared" si="22"/>
        <v>2032</v>
      </c>
      <c r="S122" s="523">
        <f t="shared" si="22"/>
        <v>2033</v>
      </c>
      <c r="T122" s="523">
        <f t="shared" si="22"/>
        <v>2034</v>
      </c>
      <c r="U122" s="523">
        <f t="shared" si="22"/>
        <v>2035</v>
      </c>
      <c r="V122" s="523">
        <f t="shared" si="22"/>
        <v>2036</v>
      </c>
      <c r="W122" s="523">
        <f t="shared" si="22"/>
        <v>2037</v>
      </c>
      <c r="X122" s="523">
        <f t="shared" si="22"/>
        <v>2038</v>
      </c>
      <c r="Y122" s="523">
        <f t="shared" si="22"/>
        <v>2039</v>
      </c>
      <c r="Z122" s="523">
        <f t="shared" si="22"/>
        <v>2040</v>
      </c>
      <c r="AA122" s="446"/>
      <c r="AB122" s="447"/>
    </row>
    <row r="123" spans="2:28" x14ac:dyDescent="0.2">
      <c r="B123" s="445"/>
      <c r="C123" s="689" t="str">
        <f>$C$18</f>
        <v xml:space="preserve">Option 3: </v>
      </c>
      <c r="D123" s="544" t="str">
        <f>$D$36</f>
        <v>Customer off supply</v>
      </c>
      <c r="E123" s="529" t="s">
        <v>149</v>
      </c>
      <c r="F123" s="537"/>
      <c r="G123" s="537"/>
      <c r="H123" s="537"/>
      <c r="I123" s="537"/>
      <c r="J123" s="537"/>
      <c r="K123" s="537"/>
      <c r="L123" s="537"/>
      <c r="M123" s="537"/>
      <c r="N123" s="537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37"/>
      <c r="Z123" s="537"/>
      <c r="AA123" s="446"/>
      <c r="AB123" s="447"/>
    </row>
    <row r="124" spans="2:28" x14ac:dyDescent="0.2">
      <c r="B124" s="445"/>
      <c r="C124" s="446"/>
      <c r="D124" s="543"/>
      <c r="E124" s="534"/>
      <c r="F124" s="539"/>
      <c r="G124" s="539"/>
      <c r="H124" s="539"/>
      <c r="I124" s="539"/>
      <c r="J124" s="539"/>
      <c r="K124" s="539"/>
      <c r="L124" s="539"/>
      <c r="M124" s="539"/>
      <c r="N124" s="539"/>
      <c r="O124" s="539"/>
      <c r="P124" s="539"/>
      <c r="Q124" s="539"/>
      <c r="R124" s="539"/>
      <c r="S124" s="539"/>
      <c r="T124" s="539"/>
      <c r="U124" s="539"/>
      <c r="V124" s="539"/>
      <c r="W124" s="539"/>
      <c r="X124" s="539"/>
      <c r="Y124" s="539"/>
      <c r="Z124" s="539"/>
      <c r="AA124" s="446"/>
      <c r="AB124" s="447"/>
    </row>
    <row r="125" spans="2:28" x14ac:dyDescent="0.2">
      <c r="B125" s="445"/>
      <c r="C125" s="446"/>
      <c r="D125" s="542" t="str">
        <f>D126</f>
        <v>Loss of F Factor Benefit</v>
      </c>
      <c r="E125" s="527"/>
      <c r="F125" s="522">
        <f>G12</f>
        <v>2020</v>
      </c>
      <c r="G125" s="523">
        <f t="shared" ref="G125:Z125" si="23">F125+1</f>
        <v>2021</v>
      </c>
      <c r="H125" s="523">
        <f t="shared" si="23"/>
        <v>2022</v>
      </c>
      <c r="I125" s="523">
        <f t="shared" si="23"/>
        <v>2023</v>
      </c>
      <c r="J125" s="523">
        <f t="shared" si="23"/>
        <v>2024</v>
      </c>
      <c r="K125" s="523">
        <f t="shared" si="23"/>
        <v>2025</v>
      </c>
      <c r="L125" s="523">
        <f t="shared" si="23"/>
        <v>2026</v>
      </c>
      <c r="M125" s="523">
        <f t="shared" si="23"/>
        <v>2027</v>
      </c>
      <c r="N125" s="523">
        <f t="shared" si="23"/>
        <v>2028</v>
      </c>
      <c r="O125" s="523">
        <f t="shared" si="23"/>
        <v>2029</v>
      </c>
      <c r="P125" s="523">
        <f t="shared" si="23"/>
        <v>2030</v>
      </c>
      <c r="Q125" s="523">
        <f t="shared" si="23"/>
        <v>2031</v>
      </c>
      <c r="R125" s="523">
        <f t="shared" si="23"/>
        <v>2032</v>
      </c>
      <c r="S125" s="523">
        <f t="shared" si="23"/>
        <v>2033</v>
      </c>
      <c r="T125" s="523">
        <f t="shared" si="23"/>
        <v>2034</v>
      </c>
      <c r="U125" s="523">
        <f t="shared" si="23"/>
        <v>2035</v>
      </c>
      <c r="V125" s="523">
        <f t="shared" si="23"/>
        <v>2036</v>
      </c>
      <c r="W125" s="523">
        <f t="shared" si="23"/>
        <v>2037</v>
      </c>
      <c r="X125" s="523">
        <f t="shared" si="23"/>
        <v>2038</v>
      </c>
      <c r="Y125" s="523">
        <f t="shared" si="23"/>
        <v>2039</v>
      </c>
      <c r="Z125" s="523">
        <f t="shared" si="23"/>
        <v>2040</v>
      </c>
      <c r="AA125" s="446"/>
      <c r="AB125" s="447"/>
    </row>
    <row r="126" spans="2:28" x14ac:dyDescent="0.2">
      <c r="B126" s="445"/>
      <c r="C126" s="689" t="str">
        <f>$C$18</f>
        <v xml:space="preserve">Option 3: </v>
      </c>
      <c r="D126" s="546" t="str">
        <f>$D$39</f>
        <v>Loss of F Factor Benefit</v>
      </c>
      <c r="E126" s="541" t="str">
        <f>$E$39</f>
        <v>(No. of fire start NOT avoided)</v>
      </c>
      <c r="F126" s="540"/>
      <c r="G126" s="540"/>
      <c r="H126" s="540"/>
      <c r="I126" s="540"/>
      <c r="J126" s="540"/>
      <c r="K126" s="540"/>
      <c r="L126" s="540"/>
      <c r="M126" s="540"/>
      <c r="N126" s="540"/>
      <c r="O126" s="540"/>
      <c r="P126" s="540"/>
      <c r="Q126" s="540"/>
      <c r="R126" s="540"/>
      <c r="S126" s="540"/>
      <c r="T126" s="540"/>
      <c r="U126" s="540"/>
      <c r="V126" s="540"/>
      <c r="W126" s="540"/>
      <c r="X126" s="540"/>
      <c r="Y126" s="540"/>
      <c r="Z126" s="540"/>
      <c r="AA126" s="446"/>
      <c r="AB126" s="447"/>
    </row>
    <row r="127" spans="2:28" x14ac:dyDescent="0.2">
      <c r="B127" s="445"/>
      <c r="C127" s="446"/>
      <c r="D127" s="538"/>
      <c r="E127" s="534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S127" s="539"/>
      <c r="T127" s="539"/>
      <c r="U127" s="539"/>
      <c r="V127" s="539"/>
      <c r="W127" s="539"/>
      <c r="X127" s="539"/>
      <c r="Y127" s="539"/>
      <c r="Z127" s="539"/>
      <c r="AA127" s="446"/>
      <c r="AB127" s="447"/>
    </row>
    <row r="128" spans="2:28" x14ac:dyDescent="0.2">
      <c r="B128" s="445"/>
      <c r="C128" s="446"/>
      <c r="D128" s="542" t="s">
        <v>116</v>
      </c>
      <c r="E128" s="527"/>
      <c r="F128" s="522">
        <f>G12</f>
        <v>2020</v>
      </c>
      <c r="G128" s="523">
        <f t="shared" ref="G128:Z128" si="24">F128+1</f>
        <v>2021</v>
      </c>
      <c r="H128" s="523">
        <f t="shared" si="24"/>
        <v>2022</v>
      </c>
      <c r="I128" s="523">
        <f t="shared" si="24"/>
        <v>2023</v>
      </c>
      <c r="J128" s="523">
        <f t="shared" si="24"/>
        <v>2024</v>
      </c>
      <c r="K128" s="523">
        <f t="shared" si="24"/>
        <v>2025</v>
      </c>
      <c r="L128" s="523">
        <f t="shared" si="24"/>
        <v>2026</v>
      </c>
      <c r="M128" s="523">
        <f t="shared" si="24"/>
        <v>2027</v>
      </c>
      <c r="N128" s="523">
        <f t="shared" si="24"/>
        <v>2028</v>
      </c>
      <c r="O128" s="523">
        <f t="shared" si="24"/>
        <v>2029</v>
      </c>
      <c r="P128" s="523">
        <f t="shared" si="24"/>
        <v>2030</v>
      </c>
      <c r="Q128" s="523">
        <f t="shared" si="24"/>
        <v>2031</v>
      </c>
      <c r="R128" s="523">
        <f t="shared" si="24"/>
        <v>2032</v>
      </c>
      <c r="S128" s="523">
        <f t="shared" si="24"/>
        <v>2033</v>
      </c>
      <c r="T128" s="523">
        <f t="shared" si="24"/>
        <v>2034</v>
      </c>
      <c r="U128" s="523">
        <f t="shared" si="24"/>
        <v>2035</v>
      </c>
      <c r="V128" s="523">
        <f t="shared" si="24"/>
        <v>2036</v>
      </c>
      <c r="W128" s="523">
        <f t="shared" si="24"/>
        <v>2037</v>
      </c>
      <c r="X128" s="523">
        <f t="shared" si="24"/>
        <v>2038</v>
      </c>
      <c r="Y128" s="523">
        <f t="shared" si="24"/>
        <v>2039</v>
      </c>
      <c r="Z128" s="523">
        <f t="shared" si="24"/>
        <v>2040</v>
      </c>
      <c r="AA128" s="446"/>
      <c r="AB128" s="447"/>
    </row>
    <row r="129" spans="2:28" x14ac:dyDescent="0.2">
      <c r="B129" s="445"/>
      <c r="C129" s="689" t="str">
        <f t="shared" ref="C129:C138" si="25">$C$18</f>
        <v xml:space="preserve">Option 3: </v>
      </c>
      <c r="D129" s="542" t="str">
        <f>$D$42</f>
        <v>Cost 1</v>
      </c>
      <c r="E129" s="519" t="s">
        <v>104</v>
      </c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1"/>
      <c r="X129" s="281"/>
      <c r="Y129" s="281"/>
      <c r="Z129" s="281">
        <f t="shared" ref="Z129" si="26">Y129</f>
        <v>0</v>
      </c>
      <c r="AA129" s="446"/>
      <c r="AB129" s="447"/>
    </row>
    <row r="130" spans="2:28" x14ac:dyDescent="0.2">
      <c r="B130" s="445"/>
      <c r="C130" s="689" t="str">
        <f t="shared" si="25"/>
        <v xml:space="preserve">Option 3: </v>
      </c>
      <c r="D130" s="542" t="str">
        <f>$D$43</f>
        <v>Cost 2</v>
      </c>
      <c r="E130" s="519" t="s">
        <v>104</v>
      </c>
      <c r="F130" s="549"/>
      <c r="G130" s="549"/>
      <c r="H130" s="549"/>
      <c r="I130" s="549"/>
      <c r="J130" s="549"/>
      <c r="K130" s="549"/>
      <c r="L130" s="549"/>
      <c r="M130" s="549"/>
      <c r="N130" s="549"/>
      <c r="O130" s="549"/>
      <c r="P130" s="549"/>
      <c r="Q130" s="549"/>
      <c r="R130" s="549"/>
      <c r="S130" s="549"/>
      <c r="T130" s="549"/>
      <c r="U130" s="549"/>
      <c r="V130" s="549"/>
      <c r="W130" s="549"/>
      <c r="X130" s="549"/>
      <c r="Y130" s="549"/>
      <c r="Z130" s="549"/>
      <c r="AA130" s="446"/>
      <c r="AB130" s="447"/>
    </row>
    <row r="131" spans="2:28" x14ac:dyDescent="0.2">
      <c r="B131" s="445"/>
      <c r="C131" s="689" t="str">
        <f t="shared" si="25"/>
        <v xml:space="preserve">Option 3: </v>
      </c>
      <c r="D131" s="542" t="str">
        <f>$D$44</f>
        <v>Cost 3</v>
      </c>
      <c r="E131" s="519" t="s">
        <v>104</v>
      </c>
      <c r="F131" s="550"/>
      <c r="G131" s="550"/>
      <c r="H131" s="550"/>
      <c r="I131" s="550"/>
      <c r="J131" s="550"/>
      <c r="K131" s="550"/>
      <c r="L131" s="550"/>
      <c r="M131" s="550"/>
      <c r="N131" s="550"/>
      <c r="O131" s="550"/>
      <c r="P131" s="550"/>
      <c r="Q131" s="550"/>
      <c r="R131" s="550"/>
      <c r="S131" s="550"/>
      <c r="T131" s="550"/>
      <c r="U131" s="550"/>
      <c r="V131" s="550"/>
      <c r="W131" s="550"/>
      <c r="X131" s="550"/>
      <c r="Y131" s="550"/>
      <c r="Z131" s="550"/>
      <c r="AA131" s="446"/>
      <c r="AB131" s="447"/>
    </row>
    <row r="132" spans="2:28" x14ac:dyDescent="0.2">
      <c r="B132" s="445"/>
      <c r="C132" s="689" t="str">
        <f t="shared" si="25"/>
        <v xml:space="preserve">Option 3: </v>
      </c>
      <c r="D132" s="542" t="str">
        <f>$D$45</f>
        <v>Cost 4</v>
      </c>
      <c r="E132" s="519" t="s">
        <v>104</v>
      </c>
      <c r="F132" s="550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550"/>
      <c r="Z132" s="550"/>
      <c r="AA132" s="446"/>
      <c r="AB132" s="447"/>
    </row>
    <row r="133" spans="2:28" x14ac:dyDescent="0.2">
      <c r="B133" s="445"/>
      <c r="C133" s="689" t="str">
        <f t="shared" si="25"/>
        <v xml:space="preserve">Option 3: </v>
      </c>
      <c r="D133" s="542" t="str">
        <f>$D$46</f>
        <v>Cost 5</v>
      </c>
      <c r="E133" s="519" t="s">
        <v>104</v>
      </c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446"/>
      <c r="AB133" s="447"/>
    </row>
    <row r="134" spans="2:28" x14ac:dyDescent="0.2">
      <c r="B134" s="445"/>
      <c r="C134" s="689" t="str">
        <f t="shared" si="25"/>
        <v xml:space="preserve">Option 3: </v>
      </c>
      <c r="D134" s="542" t="s">
        <v>278</v>
      </c>
      <c r="E134" s="519" t="s">
        <v>104</v>
      </c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446"/>
      <c r="AB134" s="447"/>
    </row>
    <row r="135" spans="2:28" x14ac:dyDescent="0.2">
      <c r="B135" s="445"/>
      <c r="C135" s="689" t="str">
        <f t="shared" si="25"/>
        <v xml:space="preserve">Option 3: </v>
      </c>
      <c r="D135" s="542" t="s">
        <v>279</v>
      </c>
      <c r="E135" s="519" t="s">
        <v>104</v>
      </c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446"/>
      <c r="AB135" s="447"/>
    </row>
    <row r="136" spans="2:28" x14ac:dyDescent="0.2">
      <c r="B136" s="445"/>
      <c r="C136" s="689" t="str">
        <f t="shared" si="25"/>
        <v xml:space="preserve">Option 3: </v>
      </c>
      <c r="D136" s="542" t="s">
        <v>280</v>
      </c>
      <c r="E136" s="519" t="s">
        <v>104</v>
      </c>
      <c r="F136" s="550"/>
      <c r="G136" s="550"/>
      <c r="H136" s="550"/>
      <c r="I136" s="550"/>
      <c r="J136" s="550"/>
      <c r="K136" s="550"/>
      <c r="L136" s="550"/>
      <c r="M136" s="550"/>
      <c r="N136" s="550"/>
      <c r="O136" s="550"/>
      <c r="P136" s="550"/>
      <c r="Q136" s="550"/>
      <c r="R136" s="550"/>
      <c r="S136" s="550"/>
      <c r="T136" s="550"/>
      <c r="U136" s="550"/>
      <c r="V136" s="550"/>
      <c r="W136" s="550"/>
      <c r="X136" s="550"/>
      <c r="Y136" s="550"/>
      <c r="Z136" s="550"/>
      <c r="AA136" s="446"/>
      <c r="AB136" s="447"/>
    </row>
    <row r="137" spans="2:28" x14ac:dyDescent="0.2">
      <c r="B137" s="445"/>
      <c r="C137" s="689" t="str">
        <f t="shared" si="25"/>
        <v xml:space="preserve">Option 3: </v>
      </c>
      <c r="D137" s="542" t="s">
        <v>281</v>
      </c>
      <c r="E137" s="519" t="s">
        <v>104</v>
      </c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446"/>
      <c r="AB137" s="447"/>
    </row>
    <row r="138" spans="2:28" x14ac:dyDescent="0.2">
      <c r="B138" s="445"/>
      <c r="C138" s="689" t="str">
        <f t="shared" si="25"/>
        <v xml:space="preserve">Option 3: </v>
      </c>
      <c r="D138" s="542" t="s">
        <v>282</v>
      </c>
      <c r="E138" s="519" t="s">
        <v>104</v>
      </c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446"/>
      <c r="AB138" s="447"/>
    </row>
    <row r="139" spans="2:28" x14ac:dyDescent="0.2">
      <c r="B139" s="445"/>
      <c r="C139" s="446"/>
      <c r="D139" s="532"/>
      <c r="E139" s="533"/>
      <c r="F139" s="446"/>
      <c r="G139" s="446"/>
      <c r="H139" s="446"/>
      <c r="I139" s="446"/>
      <c r="J139" s="446"/>
      <c r="K139" s="512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7"/>
    </row>
    <row r="140" spans="2:28" ht="13.5" thickBot="1" x14ac:dyDescent="0.25">
      <c r="B140" s="445"/>
      <c r="C140" s="446"/>
      <c r="D140" s="492" t="str">
        <f>"Option 4: "&amp;+E19</f>
        <v xml:space="preserve">Option 4: </v>
      </c>
      <c r="E140" s="487"/>
      <c r="F140" s="446"/>
      <c r="G140" s="446"/>
      <c r="H140" s="446"/>
      <c r="I140" s="446"/>
      <c r="J140" s="446"/>
      <c r="K140" s="512"/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7"/>
    </row>
    <row r="141" spans="2:28" x14ac:dyDescent="0.2">
      <c r="B141" s="445"/>
      <c r="C141" s="446"/>
      <c r="D141" s="487"/>
      <c r="E141" s="487"/>
      <c r="F141" s="446"/>
      <c r="G141" s="446"/>
      <c r="H141" s="446"/>
      <c r="I141" s="446"/>
      <c r="J141" s="446"/>
      <c r="K141" s="512"/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7"/>
    </row>
    <row r="142" spans="2:28" x14ac:dyDescent="0.2">
      <c r="B142" s="445"/>
      <c r="C142" s="446"/>
      <c r="D142" s="520"/>
      <c r="E142" s="521"/>
      <c r="F142" s="522">
        <f>G12</f>
        <v>2020</v>
      </c>
      <c r="G142" s="523">
        <f>F142+1</f>
        <v>2021</v>
      </c>
      <c r="H142" s="523">
        <f t="shared" ref="H142:Z142" si="27">G142+1</f>
        <v>2022</v>
      </c>
      <c r="I142" s="523">
        <f t="shared" si="27"/>
        <v>2023</v>
      </c>
      <c r="J142" s="523">
        <f t="shared" si="27"/>
        <v>2024</v>
      </c>
      <c r="K142" s="523">
        <f t="shared" si="27"/>
        <v>2025</v>
      </c>
      <c r="L142" s="523">
        <f t="shared" si="27"/>
        <v>2026</v>
      </c>
      <c r="M142" s="523">
        <f t="shared" si="27"/>
        <v>2027</v>
      </c>
      <c r="N142" s="523">
        <f t="shared" si="27"/>
        <v>2028</v>
      </c>
      <c r="O142" s="523">
        <f t="shared" si="27"/>
        <v>2029</v>
      </c>
      <c r="P142" s="523">
        <f t="shared" si="27"/>
        <v>2030</v>
      </c>
      <c r="Q142" s="523">
        <f t="shared" si="27"/>
        <v>2031</v>
      </c>
      <c r="R142" s="523">
        <f t="shared" si="27"/>
        <v>2032</v>
      </c>
      <c r="S142" s="523">
        <f t="shared" si="27"/>
        <v>2033</v>
      </c>
      <c r="T142" s="523">
        <f t="shared" si="27"/>
        <v>2034</v>
      </c>
      <c r="U142" s="523">
        <f t="shared" si="27"/>
        <v>2035</v>
      </c>
      <c r="V142" s="523">
        <f t="shared" si="27"/>
        <v>2036</v>
      </c>
      <c r="W142" s="523">
        <f t="shared" si="27"/>
        <v>2037</v>
      </c>
      <c r="X142" s="523">
        <f t="shared" si="27"/>
        <v>2038</v>
      </c>
      <c r="Y142" s="523">
        <f t="shared" si="27"/>
        <v>2039</v>
      </c>
      <c r="Z142" s="523">
        <f t="shared" si="27"/>
        <v>2040</v>
      </c>
      <c r="AA142" s="446"/>
      <c r="AB142" s="447"/>
    </row>
    <row r="143" spans="2:28" x14ac:dyDescent="0.2">
      <c r="B143" s="445"/>
      <c r="C143" s="689" t="str">
        <f>$C$19</f>
        <v xml:space="preserve">Option 4: </v>
      </c>
      <c r="D143" s="542" t="str">
        <f>$D$27</f>
        <v>Maintenance Costs</v>
      </c>
      <c r="E143" s="519" t="s">
        <v>104</v>
      </c>
      <c r="F143" s="281"/>
      <c r="G143" s="537"/>
      <c r="H143" s="537"/>
      <c r="I143" s="537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  <c r="W143" s="281"/>
      <c r="X143" s="281"/>
      <c r="Y143" s="281"/>
      <c r="Z143" s="281"/>
      <c r="AA143" s="446"/>
      <c r="AB143" s="447"/>
    </row>
    <row r="144" spans="2:28" x14ac:dyDescent="0.2">
      <c r="B144" s="445"/>
      <c r="C144" s="446"/>
      <c r="D144" s="543"/>
      <c r="E144" s="533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  <c r="AA144" s="446"/>
      <c r="AB144" s="447"/>
    </row>
    <row r="145" spans="2:28" x14ac:dyDescent="0.2">
      <c r="B145" s="445"/>
      <c r="C145" s="446"/>
      <c r="D145" s="542" t="str">
        <f>IF($I$8=1,"Negative Impact on Revenue (STPIS)",0)</f>
        <v>Negative Impact on Revenue (STPIS)</v>
      </c>
      <c r="E145" s="528">
        <v>5</v>
      </c>
      <c r="F145" s="522">
        <f>G12</f>
        <v>2020</v>
      </c>
      <c r="G145" s="523">
        <f t="shared" ref="G145:Z145" si="28">F145+1</f>
        <v>2021</v>
      </c>
      <c r="H145" s="523">
        <f t="shared" si="28"/>
        <v>2022</v>
      </c>
      <c r="I145" s="523">
        <f t="shared" si="28"/>
        <v>2023</v>
      </c>
      <c r="J145" s="523">
        <f t="shared" si="28"/>
        <v>2024</v>
      </c>
      <c r="K145" s="523">
        <f t="shared" si="28"/>
        <v>2025</v>
      </c>
      <c r="L145" s="523">
        <f t="shared" si="28"/>
        <v>2026</v>
      </c>
      <c r="M145" s="523">
        <f t="shared" si="28"/>
        <v>2027</v>
      </c>
      <c r="N145" s="523">
        <f t="shared" si="28"/>
        <v>2028</v>
      </c>
      <c r="O145" s="523">
        <f t="shared" si="28"/>
        <v>2029</v>
      </c>
      <c r="P145" s="523">
        <f t="shared" si="28"/>
        <v>2030</v>
      </c>
      <c r="Q145" s="523">
        <f t="shared" si="28"/>
        <v>2031</v>
      </c>
      <c r="R145" s="523">
        <f t="shared" si="28"/>
        <v>2032</v>
      </c>
      <c r="S145" s="523">
        <f t="shared" si="28"/>
        <v>2033</v>
      </c>
      <c r="T145" s="523">
        <f t="shared" si="28"/>
        <v>2034</v>
      </c>
      <c r="U145" s="523">
        <f t="shared" si="28"/>
        <v>2035</v>
      </c>
      <c r="V145" s="523">
        <f t="shared" si="28"/>
        <v>2036</v>
      </c>
      <c r="W145" s="523">
        <f t="shared" si="28"/>
        <v>2037</v>
      </c>
      <c r="X145" s="523">
        <f t="shared" si="28"/>
        <v>2038</v>
      </c>
      <c r="Y145" s="523">
        <f t="shared" si="28"/>
        <v>2039</v>
      </c>
      <c r="Z145" s="523">
        <f t="shared" si="28"/>
        <v>2040</v>
      </c>
      <c r="AA145" s="446"/>
      <c r="AB145" s="447"/>
    </row>
    <row r="146" spans="2:28" x14ac:dyDescent="0.2">
      <c r="B146" s="445"/>
      <c r="C146" s="689" t="str">
        <f>$C$19</f>
        <v xml:space="preserve">Option 4: </v>
      </c>
      <c r="D146" s="544" t="str">
        <f>IF($I$8=1,"SAIFI sustained",0)</f>
        <v>SAIFI sustained</v>
      </c>
      <c r="E146" s="529" t="s">
        <v>148</v>
      </c>
      <c r="F146" s="677">
        <v>0</v>
      </c>
      <c r="G146" s="530">
        <f>IF($E$145=1,0,IF(OR($E$145=2,$E$145=3,$E$145=4,$E$145=5),$F$146))</f>
        <v>0</v>
      </c>
      <c r="H146" s="530">
        <f>IF($E$145=1,0,IF(OR($E$145=2,$E$145=3,$E$145=4,$E$145=5),$F$146))</f>
        <v>0</v>
      </c>
      <c r="I146" s="530">
        <f>IF($E$145=1,0,IF(OR($E$145=2,$E$145=3,$E$145=4,$E$145=5),$F$146))</f>
        <v>0</v>
      </c>
      <c r="J146" s="530">
        <f>IF($E$145=1,0,IF(OR($E$145=2,$E$145=3,$E$145=4,$E$145=5),$F$146))</f>
        <v>0</v>
      </c>
      <c r="K146" s="530">
        <f>IF($E$145=1,0,IF(OR($E$145=2,$E$145=3,$E$145=4,$E$145=5),$F$146))</f>
        <v>0</v>
      </c>
      <c r="L146" s="525"/>
      <c r="M146" s="530">
        <f>IF(OR($E$145=1,$E$145=2),0,$L$146)</f>
        <v>0</v>
      </c>
      <c r="N146" s="530">
        <f>IF(OR($E$145=1,$E$145=2),0,$L$146)</f>
        <v>0</v>
      </c>
      <c r="O146" s="530">
        <f>IF(OR($E$145=1,$E$145=2),0,$L$146)</f>
        <v>0</v>
      </c>
      <c r="P146" s="530">
        <f>IF(OR($E$145=1,$E$145=2),0,$L$146)</f>
        <v>0</v>
      </c>
      <c r="Q146" s="530">
        <f>IF(OR($E$145=1,$E$145=2),0,$L$146)</f>
        <v>0</v>
      </c>
      <c r="R146" s="525"/>
      <c r="S146" s="530">
        <f>IF(OR($E$145=1,$E$145=2,$E$145=3),0,$R$146)</f>
        <v>0</v>
      </c>
      <c r="T146" s="530">
        <f>IF(OR($E$145=1,$E$145=2,$E$145=3),0,$R$146)</f>
        <v>0</v>
      </c>
      <c r="U146" s="530">
        <f>IF(OR($E$145=1,$E$145=2,$E$145=3),0,$R$146)</f>
        <v>0</v>
      </c>
      <c r="V146" s="530">
        <f>IF(OR($E$145=1,$E$145=2,$E$145=3),0,$R$146)</f>
        <v>0</v>
      </c>
      <c r="W146" s="530">
        <f>IF(OR($E$145=1,$E$145=2,$E$145=3),0,$R$146)</f>
        <v>0</v>
      </c>
      <c r="X146" s="525"/>
      <c r="Y146" s="530">
        <f>IF($E$145=5,$X$146,0)</f>
        <v>0</v>
      </c>
      <c r="Z146" s="530">
        <f>IF($E$145=5,$X$146,0)</f>
        <v>0</v>
      </c>
      <c r="AA146" s="446"/>
      <c r="AB146" s="447"/>
    </row>
    <row r="147" spans="2:28" x14ac:dyDescent="0.2">
      <c r="B147" s="445"/>
      <c r="C147" s="689" t="str">
        <f>$C$19</f>
        <v xml:space="preserve">Option 4: </v>
      </c>
      <c r="D147" s="544" t="str">
        <f>IF($I$8=1,"SAIDI accidental",0)</f>
        <v>SAIDI accidental</v>
      </c>
      <c r="E147" s="529" t="s">
        <v>149</v>
      </c>
      <c r="F147" s="676">
        <v>0</v>
      </c>
      <c r="G147" s="530">
        <f>IF($E$145=1,0,IF(OR($E$145=2,$E$145=3,$E$145=4,$E$145=5),$F$147))</f>
        <v>0</v>
      </c>
      <c r="H147" s="530">
        <f>IF($E$145=1,0,IF(OR($E$145=2,$E$145=3,$E$145=4,$E$145=5),$F$147))</f>
        <v>0</v>
      </c>
      <c r="I147" s="530">
        <f>IF($E$145=1,0,IF(OR($E$145=2,$E$145=3,$E$145=4,$E$145=5),$F$147))</f>
        <v>0</v>
      </c>
      <c r="J147" s="530">
        <f>IF($E$145=1,0,IF(OR($E$145=2,$E$145=3,$E$145=4,$E$145=5),$F$147))</f>
        <v>0</v>
      </c>
      <c r="K147" s="530">
        <f>IF($E$145=1,0,IF(OR($E$145=2,$E$145=3,$E$145=4,$E$145=5),$F$147))</f>
        <v>0</v>
      </c>
      <c r="L147" s="525"/>
      <c r="M147" s="530">
        <f>IF(OR($E$145=1,$E$145=2),0,$L$147)</f>
        <v>0</v>
      </c>
      <c r="N147" s="530">
        <f>IF(OR($E$145=1,$E$145=2),0,$L$147)</f>
        <v>0</v>
      </c>
      <c r="O147" s="530">
        <f>IF(OR($E$145=1,$E$145=2),0,$L$147)</f>
        <v>0</v>
      </c>
      <c r="P147" s="530">
        <f>IF(OR($E$145=1,$E$145=2),0,$L$147)</f>
        <v>0</v>
      </c>
      <c r="Q147" s="530">
        <f>IF(OR($E$145=1,$E$145=2),0,$L$147)</f>
        <v>0</v>
      </c>
      <c r="R147" s="525"/>
      <c r="S147" s="530">
        <f>IF(OR($E$145=1,$E$145=2,$E$145=3),0,$R$147)</f>
        <v>0</v>
      </c>
      <c r="T147" s="530">
        <f>IF(OR($E$145=1,$E$145=2,$E$145=3),0,$R$147)</f>
        <v>0</v>
      </c>
      <c r="U147" s="530">
        <f>IF(OR($E$145=1,$E$145=2,$E$145=3),0,$R$147)</f>
        <v>0</v>
      </c>
      <c r="V147" s="530">
        <f>IF(OR($E$145=1,$E$145=2,$E$145=3),0,$R$147)</f>
        <v>0</v>
      </c>
      <c r="W147" s="530">
        <f>IF(OR($E$145=1,$E$145=2,$E$145=3),0,$R$147)</f>
        <v>0</v>
      </c>
      <c r="X147" s="525"/>
      <c r="Y147" s="530">
        <f>IF($E$145=5,$X$147,0)</f>
        <v>0</v>
      </c>
      <c r="Z147" s="530">
        <f>IF($E$145=5,$X$147,0)</f>
        <v>0</v>
      </c>
      <c r="AA147" s="446"/>
      <c r="AB147" s="447"/>
    </row>
    <row r="148" spans="2:28" x14ac:dyDescent="0.2">
      <c r="B148" s="445"/>
      <c r="C148" s="689" t="str">
        <f>$C$19</f>
        <v xml:space="preserve">Option 4: </v>
      </c>
      <c r="D148" s="544" t="str">
        <f>IF($I$8=1,"MAIFI momentary",0)</f>
        <v>MAIFI momentary</v>
      </c>
      <c r="E148" s="529" t="s">
        <v>148</v>
      </c>
      <c r="F148" s="281">
        <f>F61</f>
        <v>0</v>
      </c>
      <c r="G148" s="530">
        <f>IF($E$116=1,0,IF(OR($E$116=2,$E$116=3,$E$116=4,$E$116=5),$F$119))</f>
        <v>0</v>
      </c>
      <c r="H148" s="530">
        <f>IF($E$116=1,0,IF(OR($E$116=2,$E$116=3,$E$116=4,$E$116=5),$F$119))</f>
        <v>0</v>
      </c>
      <c r="I148" s="530">
        <f>IF($E$116=1,0,IF(OR($E$116=2,$E$116=3,$E$116=4,$E$116=5),$F$119))</f>
        <v>0</v>
      </c>
      <c r="J148" s="530">
        <f>IF($E$116=1,0,IF(OR($E$116=2,$E$116=3,$E$116=4,$E$116=5),$F$119))</f>
        <v>0</v>
      </c>
      <c r="K148" s="530">
        <f>IF($E$116=1,0,IF(OR($E$116=2,$E$116=3,$E$116=4,$E$116=5),$F$119))</f>
        <v>0</v>
      </c>
      <c r="L148" s="525"/>
      <c r="M148" s="530">
        <f>IF(OR($E$116=1,$E$116=2),0,$L$119)</f>
        <v>0</v>
      </c>
      <c r="N148" s="530">
        <f>IF(OR($E$116=1,$E$116=2),0,$L$119)</f>
        <v>0</v>
      </c>
      <c r="O148" s="530">
        <f>IF(OR($E$116=1,$E$116=2),0,$L$119)</f>
        <v>0</v>
      </c>
      <c r="P148" s="530">
        <f>IF(OR($E$116=1,$E$116=2),0,$L$119)</f>
        <v>0</v>
      </c>
      <c r="Q148" s="530">
        <f>IF(OR($E$116=1,$E$116=2),0,$L$119)</f>
        <v>0</v>
      </c>
      <c r="R148" s="525"/>
      <c r="S148" s="530">
        <f>IF(OR($E$116=1,$E$116=2,$E$116=3),0,$R$119)</f>
        <v>0</v>
      </c>
      <c r="T148" s="530">
        <f>IF(OR($E$116=1,$E$116=2,$E$116=3),0,$R$119)</f>
        <v>0</v>
      </c>
      <c r="U148" s="530">
        <f>IF(OR($E$116=1,$E$116=2,$E$116=3),0,$R$119)</f>
        <v>0</v>
      </c>
      <c r="V148" s="530">
        <f>IF(OR($E$116=1,$E$116=2,$E$116=3),0,$R$119)</f>
        <v>0</v>
      </c>
      <c r="W148" s="530">
        <f>IF(OR($E$116=1,$E$116=2,$E$116=3),0,$R$119)</f>
        <v>0</v>
      </c>
      <c r="X148" s="525"/>
      <c r="Y148" s="530">
        <f>IF($E$116=5,$X$119,0)</f>
        <v>0</v>
      </c>
      <c r="Z148" s="530">
        <f>IF($E$116=5,$X$119,0)</f>
        <v>0</v>
      </c>
      <c r="AA148" s="446"/>
      <c r="AB148" s="447"/>
    </row>
    <row r="149" spans="2:28" x14ac:dyDescent="0.2">
      <c r="B149" s="445"/>
      <c r="C149" s="689" t="str">
        <f>$C$19</f>
        <v xml:space="preserve">Option 4: </v>
      </c>
      <c r="D149" s="544" t="str">
        <f>IF($I$8=1,"Call centre response",0)</f>
        <v>Call centre response</v>
      </c>
      <c r="E149" s="529" t="s">
        <v>150</v>
      </c>
      <c r="F149" s="526"/>
      <c r="G149" s="531">
        <f>IF($E$145=1,0,IF(OR($E$145=2,$E$145=3,$E$145=4,$E$145=5),$F$149))</f>
        <v>0</v>
      </c>
      <c r="H149" s="531">
        <f>IF($E$145=1,0,IF(OR($E$145=2,$E$145=3,$E$145=4,$E$145=5),$F$149))</f>
        <v>0</v>
      </c>
      <c r="I149" s="531">
        <f>IF($E$145=1,0,IF(OR($E$145=2,$E$145=3,$E$145=4,$E$145=5),$F$149))</f>
        <v>0</v>
      </c>
      <c r="J149" s="531">
        <f>IF($E$145=1,0,IF(OR($E$145=2,$E$145=3,$E$145=4,$E$145=5),$F$149))</f>
        <v>0</v>
      </c>
      <c r="K149" s="531">
        <f>IF($E$145=1,0,IF(OR($E$145=2,$E$145=3,$E$145=4,$E$145=5),$F$149))</f>
        <v>0</v>
      </c>
      <c r="L149" s="526"/>
      <c r="M149" s="531">
        <f>IF(OR($E$145=1,$E$145=2),0,$L$149)</f>
        <v>0</v>
      </c>
      <c r="N149" s="531">
        <f>IF(OR($E$145=1,$E$145=2),0,$L$149)</f>
        <v>0</v>
      </c>
      <c r="O149" s="531">
        <f>IF(OR($E$145=1,$E$145=2),0,$L$149)</f>
        <v>0</v>
      </c>
      <c r="P149" s="531">
        <f>IF(OR($E$145=1,$E$145=2),0,$L$149)</f>
        <v>0</v>
      </c>
      <c r="Q149" s="531">
        <f>IF(OR($E$145=1,$E$145=2),0,$L$149)</f>
        <v>0</v>
      </c>
      <c r="R149" s="526"/>
      <c r="S149" s="531">
        <f>IF(OR($E$145=1,$E$145=2,$E$145=3),0,$R$149)</f>
        <v>0</v>
      </c>
      <c r="T149" s="531">
        <f>IF(OR($E$145=1,$E$145=2,$E$145=3),0,$R$149)</f>
        <v>0</v>
      </c>
      <c r="U149" s="531">
        <f>IF(OR($E$145=1,$E$145=2,$E$145=3),0,$R$149)</f>
        <v>0</v>
      </c>
      <c r="V149" s="531">
        <f>IF(OR($E$145=1,$E$145=2,$E$145=3),0,$R$149)</f>
        <v>0</v>
      </c>
      <c r="W149" s="531">
        <f>IF(OR($E$145=1,$E$145=2,$E$145=3),0,$R$149)</f>
        <v>0</v>
      </c>
      <c r="X149" s="526"/>
      <c r="Y149" s="531">
        <f>IF($E$145=5,$X$149,0)</f>
        <v>0</v>
      </c>
      <c r="Z149" s="531">
        <f>IF($E$145=5,$X$149,0)</f>
        <v>0</v>
      </c>
      <c r="AA149" s="446"/>
      <c r="AB149" s="447"/>
    </row>
    <row r="150" spans="2:28" x14ac:dyDescent="0.2">
      <c r="B150" s="445"/>
      <c r="C150" s="446"/>
      <c r="D150" s="545"/>
      <c r="E150" s="534"/>
      <c r="F150" s="535"/>
      <c r="G150" s="536"/>
      <c r="H150" s="536"/>
      <c r="I150" s="536"/>
      <c r="J150" s="536"/>
      <c r="K150" s="536"/>
      <c r="L150" s="536"/>
      <c r="M150" s="536"/>
      <c r="N150" s="53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6"/>
      <c r="AA150" s="446"/>
      <c r="AB150" s="447"/>
    </row>
    <row r="151" spans="2:28" x14ac:dyDescent="0.2">
      <c r="B151" s="445"/>
      <c r="C151" s="446"/>
      <c r="D151" s="542" t="str">
        <f>$D$35</f>
        <v>Network Outage Costs</v>
      </c>
      <c r="E151" s="528"/>
      <c r="F151" s="522">
        <f>G12</f>
        <v>2020</v>
      </c>
      <c r="G151" s="523">
        <f t="shared" ref="G151:Z151" si="29">F151+1</f>
        <v>2021</v>
      </c>
      <c r="H151" s="523">
        <f t="shared" si="29"/>
        <v>2022</v>
      </c>
      <c r="I151" s="523">
        <f t="shared" si="29"/>
        <v>2023</v>
      </c>
      <c r="J151" s="523">
        <f t="shared" si="29"/>
        <v>2024</v>
      </c>
      <c r="K151" s="523">
        <f t="shared" si="29"/>
        <v>2025</v>
      </c>
      <c r="L151" s="523">
        <f t="shared" si="29"/>
        <v>2026</v>
      </c>
      <c r="M151" s="523">
        <f t="shared" si="29"/>
        <v>2027</v>
      </c>
      <c r="N151" s="523">
        <f t="shared" si="29"/>
        <v>2028</v>
      </c>
      <c r="O151" s="523">
        <f t="shared" si="29"/>
        <v>2029</v>
      </c>
      <c r="P151" s="523">
        <f t="shared" si="29"/>
        <v>2030</v>
      </c>
      <c r="Q151" s="523">
        <f t="shared" si="29"/>
        <v>2031</v>
      </c>
      <c r="R151" s="523">
        <f t="shared" si="29"/>
        <v>2032</v>
      </c>
      <c r="S151" s="523">
        <f t="shared" si="29"/>
        <v>2033</v>
      </c>
      <c r="T151" s="523">
        <f t="shared" si="29"/>
        <v>2034</v>
      </c>
      <c r="U151" s="523">
        <f t="shared" si="29"/>
        <v>2035</v>
      </c>
      <c r="V151" s="523">
        <f t="shared" si="29"/>
        <v>2036</v>
      </c>
      <c r="W151" s="523">
        <f t="shared" si="29"/>
        <v>2037</v>
      </c>
      <c r="X151" s="523">
        <f t="shared" si="29"/>
        <v>2038</v>
      </c>
      <c r="Y151" s="523">
        <f t="shared" si="29"/>
        <v>2039</v>
      </c>
      <c r="Z151" s="523">
        <f t="shared" si="29"/>
        <v>2040</v>
      </c>
      <c r="AA151" s="446"/>
      <c r="AB151" s="447"/>
    </row>
    <row r="152" spans="2:28" x14ac:dyDescent="0.2">
      <c r="B152" s="445"/>
      <c r="C152" s="689" t="str">
        <f>$C$19</f>
        <v xml:space="preserve">Option 4: </v>
      </c>
      <c r="D152" s="544" t="str">
        <f>$D$36</f>
        <v>Customer off supply</v>
      </c>
      <c r="E152" s="529" t="s">
        <v>149</v>
      </c>
      <c r="F152" s="675"/>
      <c r="G152" s="675"/>
      <c r="H152" s="675"/>
      <c r="I152" s="537"/>
      <c r="J152" s="537"/>
      <c r="K152" s="537"/>
      <c r="L152" s="537"/>
      <c r="M152" s="537"/>
      <c r="N152" s="537"/>
      <c r="O152" s="537"/>
      <c r="P152" s="537"/>
      <c r="Q152" s="537"/>
      <c r="R152" s="537"/>
      <c r="S152" s="537"/>
      <c r="T152" s="537"/>
      <c r="U152" s="537"/>
      <c r="V152" s="537"/>
      <c r="W152" s="537"/>
      <c r="X152" s="537"/>
      <c r="Y152" s="537"/>
      <c r="Z152" s="537"/>
      <c r="AA152" s="446"/>
      <c r="AB152" s="447"/>
    </row>
    <row r="153" spans="2:28" x14ac:dyDescent="0.2">
      <c r="B153" s="445"/>
      <c r="C153" s="446"/>
      <c r="D153" s="543"/>
      <c r="E153" s="534"/>
      <c r="F153" s="539"/>
      <c r="G153" s="539"/>
      <c r="H153" s="539"/>
      <c r="I153" s="539"/>
      <c r="J153" s="539"/>
      <c r="K153" s="539"/>
      <c r="L153" s="539"/>
      <c r="M153" s="539"/>
      <c r="N153" s="539"/>
      <c r="O153" s="539"/>
      <c r="P153" s="539"/>
      <c r="Q153" s="539"/>
      <c r="R153" s="539"/>
      <c r="S153" s="539"/>
      <c r="T153" s="539"/>
      <c r="U153" s="539"/>
      <c r="V153" s="539"/>
      <c r="W153" s="539"/>
      <c r="X153" s="539"/>
      <c r="Y153" s="539"/>
      <c r="Z153" s="539"/>
      <c r="AA153" s="446"/>
      <c r="AB153" s="447"/>
    </row>
    <row r="154" spans="2:28" x14ac:dyDescent="0.2">
      <c r="B154" s="445"/>
      <c r="C154" s="446"/>
      <c r="D154" s="542" t="str">
        <f>D155</f>
        <v>Loss of F Factor Benefit</v>
      </c>
      <c r="E154" s="527"/>
      <c r="F154" s="522">
        <f>G12</f>
        <v>2020</v>
      </c>
      <c r="G154" s="523">
        <f t="shared" ref="G154:Z154" si="30">F154+1</f>
        <v>2021</v>
      </c>
      <c r="H154" s="523">
        <f t="shared" si="30"/>
        <v>2022</v>
      </c>
      <c r="I154" s="523">
        <f t="shared" si="30"/>
        <v>2023</v>
      </c>
      <c r="J154" s="523">
        <f t="shared" si="30"/>
        <v>2024</v>
      </c>
      <c r="K154" s="523">
        <f t="shared" si="30"/>
        <v>2025</v>
      </c>
      <c r="L154" s="523">
        <f t="shared" si="30"/>
        <v>2026</v>
      </c>
      <c r="M154" s="523">
        <f t="shared" si="30"/>
        <v>2027</v>
      </c>
      <c r="N154" s="523">
        <f t="shared" si="30"/>
        <v>2028</v>
      </c>
      <c r="O154" s="523">
        <f t="shared" si="30"/>
        <v>2029</v>
      </c>
      <c r="P154" s="523">
        <f t="shared" si="30"/>
        <v>2030</v>
      </c>
      <c r="Q154" s="523">
        <f t="shared" si="30"/>
        <v>2031</v>
      </c>
      <c r="R154" s="523">
        <f t="shared" si="30"/>
        <v>2032</v>
      </c>
      <c r="S154" s="523">
        <f t="shared" si="30"/>
        <v>2033</v>
      </c>
      <c r="T154" s="523">
        <f t="shared" si="30"/>
        <v>2034</v>
      </c>
      <c r="U154" s="523">
        <f t="shared" si="30"/>
        <v>2035</v>
      </c>
      <c r="V154" s="523">
        <f t="shared" si="30"/>
        <v>2036</v>
      </c>
      <c r="W154" s="523">
        <f t="shared" si="30"/>
        <v>2037</v>
      </c>
      <c r="X154" s="523">
        <f t="shared" si="30"/>
        <v>2038</v>
      </c>
      <c r="Y154" s="523">
        <f t="shared" si="30"/>
        <v>2039</v>
      </c>
      <c r="Z154" s="523">
        <f t="shared" si="30"/>
        <v>2040</v>
      </c>
      <c r="AA154" s="446"/>
      <c r="AB154" s="447"/>
    </row>
    <row r="155" spans="2:28" x14ac:dyDescent="0.2">
      <c r="B155" s="445"/>
      <c r="C155" s="689" t="str">
        <f>$C$19</f>
        <v xml:space="preserve">Option 4: </v>
      </c>
      <c r="D155" s="546" t="str">
        <f>$D$39</f>
        <v>Loss of F Factor Benefit</v>
      </c>
      <c r="E155" s="541" t="str">
        <f>$E$39</f>
        <v>(No. of fire start NOT avoided)</v>
      </c>
      <c r="F155" s="540"/>
      <c r="G155" s="540"/>
      <c r="H155" s="540"/>
      <c r="I155" s="540"/>
      <c r="J155" s="540"/>
      <c r="K155" s="540"/>
      <c r="L155" s="540"/>
      <c r="M155" s="540"/>
      <c r="N155" s="540"/>
      <c r="O155" s="540"/>
      <c r="P155" s="540"/>
      <c r="Q155" s="540"/>
      <c r="R155" s="540"/>
      <c r="S155" s="540"/>
      <c r="T155" s="540"/>
      <c r="U155" s="540"/>
      <c r="V155" s="540"/>
      <c r="W155" s="540"/>
      <c r="X155" s="540"/>
      <c r="Y155" s="540"/>
      <c r="Z155" s="540"/>
      <c r="AA155" s="446"/>
      <c r="AB155" s="447"/>
    </row>
    <row r="156" spans="2:28" x14ac:dyDescent="0.2">
      <c r="B156" s="445"/>
      <c r="C156" s="446"/>
      <c r="D156" s="538"/>
      <c r="E156" s="534"/>
      <c r="F156" s="539"/>
      <c r="G156" s="539"/>
      <c r="H156" s="539"/>
      <c r="I156" s="539"/>
      <c r="J156" s="539"/>
      <c r="K156" s="539"/>
      <c r="L156" s="539"/>
      <c r="M156" s="539"/>
      <c r="N156" s="539"/>
      <c r="O156" s="539"/>
      <c r="P156" s="539"/>
      <c r="Q156" s="539"/>
      <c r="R156" s="539"/>
      <c r="S156" s="539"/>
      <c r="T156" s="539"/>
      <c r="U156" s="539"/>
      <c r="V156" s="539"/>
      <c r="W156" s="539"/>
      <c r="X156" s="539"/>
      <c r="Y156" s="539"/>
      <c r="Z156" s="539"/>
      <c r="AA156" s="446"/>
      <c r="AB156" s="447"/>
    </row>
    <row r="157" spans="2:28" x14ac:dyDescent="0.2">
      <c r="B157" s="445"/>
      <c r="C157" s="446"/>
      <c r="D157" s="542" t="s">
        <v>116</v>
      </c>
      <c r="E157" s="527"/>
      <c r="F157" s="522">
        <f>G12</f>
        <v>2020</v>
      </c>
      <c r="G157" s="523">
        <f t="shared" ref="G157:Z157" si="31">F157+1</f>
        <v>2021</v>
      </c>
      <c r="H157" s="523">
        <f t="shared" si="31"/>
        <v>2022</v>
      </c>
      <c r="I157" s="523">
        <f t="shared" si="31"/>
        <v>2023</v>
      </c>
      <c r="J157" s="523">
        <f t="shared" si="31"/>
        <v>2024</v>
      </c>
      <c r="K157" s="523">
        <f t="shared" si="31"/>
        <v>2025</v>
      </c>
      <c r="L157" s="523">
        <f t="shared" si="31"/>
        <v>2026</v>
      </c>
      <c r="M157" s="523">
        <f t="shared" si="31"/>
        <v>2027</v>
      </c>
      <c r="N157" s="523">
        <f t="shared" si="31"/>
        <v>2028</v>
      </c>
      <c r="O157" s="523">
        <f t="shared" si="31"/>
        <v>2029</v>
      </c>
      <c r="P157" s="523">
        <f t="shared" si="31"/>
        <v>2030</v>
      </c>
      <c r="Q157" s="523">
        <f t="shared" si="31"/>
        <v>2031</v>
      </c>
      <c r="R157" s="523">
        <f t="shared" si="31"/>
        <v>2032</v>
      </c>
      <c r="S157" s="523">
        <f t="shared" si="31"/>
        <v>2033</v>
      </c>
      <c r="T157" s="523">
        <f t="shared" si="31"/>
        <v>2034</v>
      </c>
      <c r="U157" s="523">
        <f t="shared" si="31"/>
        <v>2035</v>
      </c>
      <c r="V157" s="523">
        <f t="shared" si="31"/>
        <v>2036</v>
      </c>
      <c r="W157" s="523">
        <f t="shared" si="31"/>
        <v>2037</v>
      </c>
      <c r="X157" s="523">
        <f t="shared" si="31"/>
        <v>2038</v>
      </c>
      <c r="Y157" s="523">
        <f t="shared" si="31"/>
        <v>2039</v>
      </c>
      <c r="Z157" s="523">
        <f t="shared" si="31"/>
        <v>2040</v>
      </c>
      <c r="AA157" s="446"/>
      <c r="AB157" s="447"/>
    </row>
    <row r="158" spans="2:28" x14ac:dyDescent="0.2">
      <c r="B158" s="445"/>
      <c r="C158" s="689" t="str">
        <f t="shared" ref="C158:C167" si="32">$C$19</f>
        <v xml:space="preserve">Option 4: </v>
      </c>
      <c r="D158" s="542" t="str">
        <f>$D$42</f>
        <v>Cost 1</v>
      </c>
      <c r="E158" s="519" t="s">
        <v>104</v>
      </c>
      <c r="F158" s="548"/>
      <c r="G158" s="548"/>
      <c r="H158" s="548"/>
      <c r="I158" s="548"/>
      <c r="J158" s="548"/>
      <c r="K158" s="548"/>
      <c r="L158" s="548"/>
      <c r="M158" s="548"/>
      <c r="N158" s="548"/>
      <c r="O158" s="548"/>
      <c r="P158" s="548"/>
      <c r="Q158" s="548"/>
      <c r="R158" s="548"/>
      <c r="S158" s="548"/>
      <c r="T158" s="548"/>
      <c r="U158" s="548"/>
      <c r="V158" s="548"/>
      <c r="W158" s="548"/>
      <c r="X158" s="548"/>
      <c r="Y158" s="548"/>
      <c r="Z158" s="548"/>
      <c r="AA158" s="446"/>
      <c r="AB158" s="447"/>
    </row>
    <row r="159" spans="2:28" x14ac:dyDescent="0.2">
      <c r="B159" s="445"/>
      <c r="C159" s="689" t="str">
        <f t="shared" si="32"/>
        <v xml:space="preserve">Option 4: </v>
      </c>
      <c r="D159" s="542" t="str">
        <f>$D$43</f>
        <v>Cost 2</v>
      </c>
      <c r="E159" s="519" t="s">
        <v>104</v>
      </c>
      <c r="F159" s="548"/>
      <c r="G159" s="548"/>
      <c r="H159" s="548"/>
      <c r="I159" s="548"/>
      <c r="J159" s="548"/>
      <c r="K159" s="548"/>
      <c r="L159" s="548"/>
      <c r="M159" s="548"/>
      <c r="N159" s="548"/>
      <c r="O159" s="548"/>
      <c r="P159" s="548"/>
      <c r="Q159" s="548"/>
      <c r="R159" s="548"/>
      <c r="S159" s="548"/>
      <c r="T159" s="548"/>
      <c r="U159" s="548"/>
      <c r="V159" s="548"/>
      <c r="W159" s="548"/>
      <c r="X159" s="548"/>
      <c r="Y159" s="548"/>
      <c r="Z159" s="548"/>
      <c r="AA159" s="446"/>
      <c r="AB159" s="447"/>
    </row>
    <row r="160" spans="2:28" x14ac:dyDescent="0.2">
      <c r="B160" s="445"/>
      <c r="C160" s="689" t="str">
        <f t="shared" si="32"/>
        <v xml:space="preserve">Option 4: </v>
      </c>
      <c r="D160" s="542" t="str">
        <f>$D$44</f>
        <v>Cost 3</v>
      </c>
      <c r="E160" s="519" t="s">
        <v>104</v>
      </c>
      <c r="F160" s="548"/>
      <c r="G160" s="548"/>
      <c r="H160" s="548"/>
      <c r="I160" s="548"/>
      <c r="J160" s="548"/>
      <c r="K160" s="548"/>
      <c r="L160" s="548"/>
      <c r="M160" s="548"/>
      <c r="N160" s="548"/>
      <c r="O160" s="548"/>
      <c r="P160" s="548"/>
      <c r="Q160" s="548"/>
      <c r="R160" s="548"/>
      <c r="S160" s="548"/>
      <c r="T160" s="548"/>
      <c r="U160" s="548"/>
      <c r="V160" s="548"/>
      <c r="W160" s="548"/>
      <c r="X160" s="548"/>
      <c r="Y160" s="548"/>
      <c r="Z160" s="548"/>
      <c r="AA160" s="446"/>
      <c r="AB160" s="447"/>
    </row>
    <row r="161" spans="2:28" x14ac:dyDescent="0.2">
      <c r="B161" s="445"/>
      <c r="C161" s="689" t="str">
        <f t="shared" si="32"/>
        <v xml:space="preserve">Option 4: </v>
      </c>
      <c r="D161" s="542" t="str">
        <f>$D$45</f>
        <v>Cost 4</v>
      </c>
      <c r="E161" s="519" t="s">
        <v>104</v>
      </c>
      <c r="F161" s="548"/>
      <c r="G161" s="548"/>
      <c r="H161" s="548"/>
      <c r="I161" s="548"/>
      <c r="J161" s="548"/>
      <c r="K161" s="548"/>
      <c r="L161" s="548"/>
      <c r="M161" s="548"/>
      <c r="N161" s="548"/>
      <c r="O161" s="548"/>
      <c r="P161" s="548"/>
      <c r="Q161" s="548"/>
      <c r="R161" s="548"/>
      <c r="S161" s="548"/>
      <c r="T161" s="548"/>
      <c r="U161" s="548"/>
      <c r="V161" s="548"/>
      <c r="W161" s="548"/>
      <c r="X161" s="548"/>
      <c r="Y161" s="548"/>
      <c r="Z161" s="548"/>
      <c r="AA161" s="446"/>
      <c r="AB161" s="447"/>
    </row>
    <row r="162" spans="2:28" x14ac:dyDescent="0.2">
      <c r="B162" s="445"/>
      <c r="C162" s="689" t="str">
        <f t="shared" si="32"/>
        <v xml:space="preserve">Option 4: </v>
      </c>
      <c r="D162" s="542" t="str">
        <f>$D$46</f>
        <v>Cost 5</v>
      </c>
      <c r="E162" s="519" t="s">
        <v>104</v>
      </c>
      <c r="F162" s="548"/>
      <c r="G162" s="548"/>
      <c r="H162" s="548"/>
      <c r="I162" s="548"/>
      <c r="J162" s="548"/>
      <c r="K162" s="548"/>
      <c r="L162" s="548"/>
      <c r="M162" s="548"/>
      <c r="N162" s="548"/>
      <c r="O162" s="548"/>
      <c r="P162" s="548"/>
      <c r="Q162" s="548"/>
      <c r="R162" s="548"/>
      <c r="S162" s="548"/>
      <c r="T162" s="548"/>
      <c r="U162" s="548"/>
      <c r="V162" s="548"/>
      <c r="W162" s="548"/>
      <c r="X162" s="548"/>
      <c r="Y162" s="548"/>
      <c r="Z162" s="548"/>
      <c r="AA162" s="446"/>
      <c r="AB162" s="447"/>
    </row>
    <row r="163" spans="2:28" x14ac:dyDescent="0.2">
      <c r="B163" s="445"/>
      <c r="C163" s="689" t="str">
        <f t="shared" si="32"/>
        <v xml:space="preserve">Option 4: </v>
      </c>
      <c r="D163" s="542" t="s">
        <v>278</v>
      </c>
      <c r="E163" s="519" t="s">
        <v>104</v>
      </c>
      <c r="F163" s="548"/>
      <c r="G163" s="548"/>
      <c r="H163" s="548"/>
      <c r="I163" s="548"/>
      <c r="J163" s="548"/>
      <c r="K163" s="548"/>
      <c r="L163" s="548"/>
      <c r="M163" s="548"/>
      <c r="N163" s="548"/>
      <c r="O163" s="548"/>
      <c r="P163" s="548"/>
      <c r="Q163" s="548"/>
      <c r="R163" s="548"/>
      <c r="S163" s="548"/>
      <c r="T163" s="548"/>
      <c r="U163" s="548"/>
      <c r="V163" s="548"/>
      <c r="W163" s="548"/>
      <c r="X163" s="548"/>
      <c r="Y163" s="548"/>
      <c r="Z163" s="548"/>
      <c r="AA163" s="446"/>
      <c r="AB163" s="447"/>
    </row>
    <row r="164" spans="2:28" x14ac:dyDescent="0.2">
      <c r="B164" s="445"/>
      <c r="C164" s="689" t="str">
        <f t="shared" si="32"/>
        <v xml:space="preserve">Option 4: </v>
      </c>
      <c r="D164" s="542" t="s">
        <v>279</v>
      </c>
      <c r="E164" s="519" t="s">
        <v>104</v>
      </c>
      <c r="F164" s="548"/>
      <c r="G164" s="548"/>
      <c r="H164" s="548"/>
      <c r="I164" s="548"/>
      <c r="J164" s="548"/>
      <c r="K164" s="548"/>
      <c r="L164" s="548"/>
      <c r="M164" s="548"/>
      <c r="N164" s="548"/>
      <c r="O164" s="548"/>
      <c r="P164" s="548"/>
      <c r="Q164" s="548"/>
      <c r="R164" s="548"/>
      <c r="S164" s="548"/>
      <c r="T164" s="548"/>
      <c r="U164" s="548"/>
      <c r="V164" s="548"/>
      <c r="W164" s="548"/>
      <c r="X164" s="548"/>
      <c r="Y164" s="548"/>
      <c r="Z164" s="548"/>
      <c r="AA164" s="446"/>
      <c r="AB164" s="447"/>
    </row>
    <row r="165" spans="2:28" x14ac:dyDescent="0.2">
      <c r="B165" s="445"/>
      <c r="C165" s="689" t="str">
        <f t="shared" si="32"/>
        <v xml:space="preserve">Option 4: </v>
      </c>
      <c r="D165" s="542" t="s">
        <v>280</v>
      </c>
      <c r="E165" s="519" t="s">
        <v>104</v>
      </c>
      <c r="F165" s="548"/>
      <c r="G165" s="548"/>
      <c r="H165" s="548"/>
      <c r="I165" s="548"/>
      <c r="J165" s="548"/>
      <c r="K165" s="548"/>
      <c r="L165" s="548"/>
      <c r="M165" s="548"/>
      <c r="N165" s="548"/>
      <c r="O165" s="548"/>
      <c r="P165" s="548"/>
      <c r="Q165" s="548"/>
      <c r="R165" s="548"/>
      <c r="S165" s="548"/>
      <c r="T165" s="548"/>
      <c r="U165" s="548"/>
      <c r="V165" s="548"/>
      <c r="W165" s="548"/>
      <c r="X165" s="548"/>
      <c r="Y165" s="548"/>
      <c r="Z165" s="548"/>
      <c r="AA165" s="446"/>
      <c r="AB165" s="447"/>
    </row>
    <row r="166" spans="2:28" x14ac:dyDescent="0.2">
      <c r="B166" s="445"/>
      <c r="C166" s="689" t="str">
        <f t="shared" si="32"/>
        <v xml:space="preserve">Option 4: </v>
      </c>
      <c r="D166" s="542" t="s">
        <v>281</v>
      </c>
      <c r="E166" s="519" t="s">
        <v>104</v>
      </c>
      <c r="F166" s="548"/>
      <c r="G166" s="548"/>
      <c r="H166" s="548"/>
      <c r="I166" s="548"/>
      <c r="J166" s="548"/>
      <c r="K166" s="548"/>
      <c r="L166" s="548"/>
      <c r="M166" s="548"/>
      <c r="N166" s="548"/>
      <c r="O166" s="548"/>
      <c r="P166" s="548"/>
      <c r="Q166" s="548"/>
      <c r="R166" s="548"/>
      <c r="S166" s="548"/>
      <c r="T166" s="548"/>
      <c r="U166" s="548"/>
      <c r="V166" s="548"/>
      <c r="W166" s="548"/>
      <c r="X166" s="548"/>
      <c r="Y166" s="548"/>
      <c r="Z166" s="548"/>
      <c r="AA166" s="446"/>
      <c r="AB166" s="447"/>
    </row>
    <row r="167" spans="2:28" x14ac:dyDescent="0.2">
      <c r="B167" s="445"/>
      <c r="C167" s="689" t="str">
        <f t="shared" si="32"/>
        <v xml:space="preserve">Option 4: </v>
      </c>
      <c r="D167" s="542" t="s">
        <v>282</v>
      </c>
      <c r="E167" s="519" t="s">
        <v>104</v>
      </c>
      <c r="F167" s="548"/>
      <c r="G167" s="548"/>
      <c r="H167" s="548"/>
      <c r="I167" s="548"/>
      <c r="J167" s="548"/>
      <c r="K167" s="548"/>
      <c r="L167" s="548"/>
      <c r="M167" s="548"/>
      <c r="N167" s="548"/>
      <c r="O167" s="548"/>
      <c r="P167" s="548"/>
      <c r="Q167" s="548"/>
      <c r="R167" s="548"/>
      <c r="S167" s="548"/>
      <c r="T167" s="548"/>
      <c r="U167" s="548"/>
      <c r="V167" s="548"/>
      <c r="W167" s="548"/>
      <c r="X167" s="548"/>
      <c r="Y167" s="548"/>
      <c r="Z167" s="548"/>
      <c r="AA167" s="446"/>
      <c r="AB167" s="447"/>
    </row>
    <row r="168" spans="2:28" x14ac:dyDescent="0.2">
      <c r="B168" s="445"/>
      <c r="C168" s="446"/>
      <c r="D168" s="532"/>
      <c r="E168" s="533"/>
      <c r="F168" s="446"/>
      <c r="G168" s="446"/>
      <c r="H168" s="446"/>
      <c r="I168" s="446"/>
      <c r="J168" s="446"/>
      <c r="K168" s="512"/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7"/>
    </row>
    <row r="169" spans="2:28" ht="13.5" thickBot="1" x14ac:dyDescent="0.25">
      <c r="B169" s="445"/>
      <c r="C169" s="446"/>
      <c r="D169" s="492" t="str">
        <f>"Option 5: "&amp;+E20</f>
        <v xml:space="preserve">Option 5: </v>
      </c>
      <c r="E169" s="487"/>
      <c r="F169" s="446"/>
      <c r="G169" s="446"/>
      <c r="H169" s="446"/>
      <c r="I169" s="446"/>
      <c r="J169" s="446"/>
      <c r="K169" s="512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7"/>
    </row>
    <row r="170" spans="2:28" x14ac:dyDescent="0.2">
      <c r="B170" s="445"/>
      <c r="C170" s="446"/>
      <c r="D170" s="487"/>
      <c r="E170" s="487"/>
      <c r="F170" s="446"/>
      <c r="G170" s="446"/>
      <c r="H170" s="446"/>
      <c r="I170" s="446"/>
      <c r="J170" s="446"/>
      <c r="K170" s="512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7"/>
    </row>
    <row r="171" spans="2:28" x14ac:dyDescent="0.2">
      <c r="B171" s="445"/>
      <c r="C171" s="446"/>
      <c r="D171" s="520"/>
      <c r="E171" s="521"/>
      <c r="F171" s="522">
        <f>G12</f>
        <v>2020</v>
      </c>
      <c r="G171" s="523">
        <f>F171+1</f>
        <v>2021</v>
      </c>
      <c r="H171" s="523">
        <f t="shared" ref="H171:Z171" si="33">G171+1</f>
        <v>2022</v>
      </c>
      <c r="I171" s="523">
        <f t="shared" si="33"/>
        <v>2023</v>
      </c>
      <c r="J171" s="523">
        <f t="shared" si="33"/>
        <v>2024</v>
      </c>
      <c r="K171" s="523">
        <f t="shared" si="33"/>
        <v>2025</v>
      </c>
      <c r="L171" s="523">
        <f t="shared" si="33"/>
        <v>2026</v>
      </c>
      <c r="M171" s="523">
        <f t="shared" si="33"/>
        <v>2027</v>
      </c>
      <c r="N171" s="523">
        <f t="shared" si="33"/>
        <v>2028</v>
      </c>
      <c r="O171" s="523">
        <f t="shared" si="33"/>
        <v>2029</v>
      </c>
      <c r="P171" s="523">
        <f t="shared" si="33"/>
        <v>2030</v>
      </c>
      <c r="Q171" s="523">
        <f t="shared" si="33"/>
        <v>2031</v>
      </c>
      <c r="R171" s="523">
        <f t="shared" si="33"/>
        <v>2032</v>
      </c>
      <c r="S171" s="523">
        <f t="shared" si="33"/>
        <v>2033</v>
      </c>
      <c r="T171" s="523">
        <f t="shared" si="33"/>
        <v>2034</v>
      </c>
      <c r="U171" s="523">
        <f t="shared" si="33"/>
        <v>2035</v>
      </c>
      <c r="V171" s="523">
        <f t="shared" si="33"/>
        <v>2036</v>
      </c>
      <c r="W171" s="523">
        <f t="shared" si="33"/>
        <v>2037</v>
      </c>
      <c r="X171" s="523">
        <f t="shared" si="33"/>
        <v>2038</v>
      </c>
      <c r="Y171" s="523">
        <f t="shared" si="33"/>
        <v>2039</v>
      </c>
      <c r="Z171" s="523">
        <f t="shared" si="33"/>
        <v>2040</v>
      </c>
      <c r="AA171" s="446"/>
      <c r="AB171" s="447"/>
    </row>
    <row r="172" spans="2:28" x14ac:dyDescent="0.2">
      <c r="B172" s="445"/>
      <c r="C172" s="689" t="str">
        <f>$C$20</f>
        <v xml:space="preserve">Option 5: </v>
      </c>
      <c r="D172" s="542" t="str">
        <f>$D$27</f>
        <v>Maintenance Costs</v>
      </c>
      <c r="E172" s="519" t="s">
        <v>104</v>
      </c>
      <c r="F172" s="281"/>
      <c r="G172" s="537"/>
      <c r="H172" s="537"/>
      <c r="I172" s="537"/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281"/>
      <c r="V172" s="281"/>
      <c r="W172" s="281"/>
      <c r="X172" s="281"/>
      <c r="Y172" s="281"/>
      <c r="Z172" s="281"/>
      <c r="AA172" s="446"/>
      <c r="AB172" s="447"/>
    </row>
    <row r="173" spans="2:28" x14ac:dyDescent="0.2">
      <c r="B173" s="445"/>
      <c r="C173" s="446"/>
      <c r="D173" s="543"/>
      <c r="E173" s="533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  <c r="AA173" s="446"/>
      <c r="AB173" s="447"/>
    </row>
    <row r="174" spans="2:28" x14ac:dyDescent="0.2">
      <c r="B174" s="445"/>
      <c r="C174" s="446"/>
      <c r="D174" s="542" t="str">
        <f>IF($I$8=1,"Negative Impact on Revenue (STPIS)",0)</f>
        <v>Negative Impact on Revenue (STPIS)</v>
      </c>
      <c r="E174" s="528">
        <v>5</v>
      </c>
      <c r="F174" s="522">
        <f>G12</f>
        <v>2020</v>
      </c>
      <c r="G174" s="523">
        <f t="shared" ref="G174:Z174" si="34">F174+1</f>
        <v>2021</v>
      </c>
      <c r="H174" s="523">
        <f t="shared" si="34"/>
        <v>2022</v>
      </c>
      <c r="I174" s="523">
        <f t="shared" si="34"/>
        <v>2023</v>
      </c>
      <c r="J174" s="523">
        <f t="shared" si="34"/>
        <v>2024</v>
      </c>
      <c r="K174" s="523">
        <f t="shared" si="34"/>
        <v>2025</v>
      </c>
      <c r="L174" s="523">
        <f t="shared" si="34"/>
        <v>2026</v>
      </c>
      <c r="M174" s="523">
        <f t="shared" si="34"/>
        <v>2027</v>
      </c>
      <c r="N174" s="523">
        <f t="shared" si="34"/>
        <v>2028</v>
      </c>
      <c r="O174" s="523">
        <f t="shared" si="34"/>
        <v>2029</v>
      </c>
      <c r="P174" s="523">
        <f t="shared" si="34"/>
        <v>2030</v>
      </c>
      <c r="Q174" s="523">
        <f t="shared" si="34"/>
        <v>2031</v>
      </c>
      <c r="R174" s="523">
        <f t="shared" si="34"/>
        <v>2032</v>
      </c>
      <c r="S174" s="523">
        <f t="shared" si="34"/>
        <v>2033</v>
      </c>
      <c r="T174" s="523">
        <f t="shared" si="34"/>
        <v>2034</v>
      </c>
      <c r="U174" s="523">
        <f t="shared" si="34"/>
        <v>2035</v>
      </c>
      <c r="V174" s="523">
        <f t="shared" si="34"/>
        <v>2036</v>
      </c>
      <c r="W174" s="523">
        <f t="shared" si="34"/>
        <v>2037</v>
      </c>
      <c r="X174" s="523">
        <f t="shared" si="34"/>
        <v>2038</v>
      </c>
      <c r="Y174" s="523">
        <f t="shared" si="34"/>
        <v>2039</v>
      </c>
      <c r="Z174" s="523">
        <f t="shared" si="34"/>
        <v>2040</v>
      </c>
      <c r="AA174" s="446"/>
      <c r="AB174" s="447"/>
    </row>
    <row r="175" spans="2:28" x14ac:dyDescent="0.2">
      <c r="B175" s="445"/>
      <c r="C175" s="689" t="str">
        <f>$C$20</f>
        <v xml:space="preserve">Option 5: </v>
      </c>
      <c r="D175" s="544" t="str">
        <f>IF($I$8=1,"SAIFI sustained",0)</f>
        <v>SAIFI sustained</v>
      </c>
      <c r="E175" s="529" t="s">
        <v>148</v>
      </c>
      <c r="F175" s="524">
        <v>0</v>
      </c>
      <c r="G175" s="530">
        <f>IF($E$174=1,0,IF(OR($E$174=2,$E$174=3,$E$174=4,$E$174=5),$F$175))</f>
        <v>0</v>
      </c>
      <c r="H175" s="530">
        <f>IF($E$174=1,0,IF(OR($E$174=2,$E$174=3,$E$174=4,$E$174=5),$F$175))</f>
        <v>0</v>
      </c>
      <c r="I175" s="530">
        <f>IF($E$174=1,0,IF(OR($E$174=2,$E$174=3,$E$174=4,$E$174=5),$F$175))</f>
        <v>0</v>
      </c>
      <c r="J175" s="530">
        <f>IF($E$174=1,0,IF(OR($E$174=2,$E$174=3,$E$174=4,$E$174=5),$F$175))</f>
        <v>0</v>
      </c>
      <c r="K175" s="530">
        <f>IF($E$174=1,0,IF(OR($E$174=2,$E$174=3,$E$174=4,$E$174=5),$F$175))</f>
        <v>0</v>
      </c>
      <c r="L175" s="525"/>
      <c r="M175" s="530">
        <f>IF(OR($E$174=1,$E$174=2),0,$L$175)</f>
        <v>0</v>
      </c>
      <c r="N175" s="530">
        <f>IF(OR($E$174=1,$E$174=2),0,$L$175)</f>
        <v>0</v>
      </c>
      <c r="O175" s="530">
        <f>IF(OR($E$174=1,$E$174=2),0,$L$175)</f>
        <v>0</v>
      </c>
      <c r="P175" s="530">
        <f>IF(OR($E$174=1,$E$174=2),0,$L$175)</f>
        <v>0</v>
      </c>
      <c r="Q175" s="530">
        <f>IF(OR($E$174=1,$E$174=2),0,$L$175)</f>
        <v>0</v>
      </c>
      <c r="R175" s="525"/>
      <c r="S175" s="530">
        <f>IF(OR($E$174=1,$E$174=2,$E$174=3),0,$R$175)</f>
        <v>0</v>
      </c>
      <c r="T175" s="530">
        <f>IF(OR($E$174=1,$E$174=2,$E$174=3),0,$R$175)</f>
        <v>0</v>
      </c>
      <c r="U175" s="530">
        <f>IF(OR($E$174=1,$E$174=2,$E$174=3),0,$R$175)</f>
        <v>0</v>
      </c>
      <c r="V175" s="530">
        <f>IF(OR($E$174=1,$E$174=2,$E$174=3),0,$R$175)</f>
        <v>0</v>
      </c>
      <c r="W175" s="530">
        <f>IF(OR($E$174=1,$E$174=2,$E$174=3),0,$R$175)</f>
        <v>0</v>
      </c>
      <c r="X175" s="525"/>
      <c r="Y175" s="530">
        <f>IF($E$174=5,$X$175,0)</f>
        <v>0</v>
      </c>
      <c r="Z175" s="530">
        <f>IF($E$174=5,$X$175,0)</f>
        <v>0</v>
      </c>
      <c r="AA175" s="446"/>
      <c r="AB175" s="447"/>
    </row>
    <row r="176" spans="2:28" x14ac:dyDescent="0.2">
      <c r="B176" s="445"/>
      <c r="C176" s="689" t="str">
        <f>$C$20</f>
        <v xml:space="preserve">Option 5: </v>
      </c>
      <c r="D176" s="544" t="str">
        <f>IF($I$8=1,"SAIDI accidental",0)</f>
        <v>SAIDI accidental</v>
      </c>
      <c r="E176" s="529" t="s">
        <v>149</v>
      </c>
      <c r="F176" s="524">
        <v>0</v>
      </c>
      <c r="G176" s="530">
        <f>IF($E$174=1,0,IF(OR($E$174=2,$E$174=3,$E$174=4,$E$174=5),$F$176))</f>
        <v>0</v>
      </c>
      <c r="H176" s="530">
        <f>IF($E$174=1,0,IF(OR($E$174=2,$E$174=3,$E$174=4,$E$174=5),$F$176))</f>
        <v>0</v>
      </c>
      <c r="I176" s="530">
        <f>IF($E$174=1,0,IF(OR($E$174=2,$E$174=3,$E$174=4,$E$174=5),$F$176))</f>
        <v>0</v>
      </c>
      <c r="J176" s="530">
        <f>IF($E$174=1,0,IF(OR($E$174=2,$E$174=3,$E$174=4,$E$174=5),$F$176))</f>
        <v>0</v>
      </c>
      <c r="K176" s="530">
        <f>IF($E$174=1,0,IF(OR($E$174=2,$E$174=3,$E$174=4,$E$174=5),$F$176))</f>
        <v>0</v>
      </c>
      <c r="L176" s="525"/>
      <c r="M176" s="530">
        <f>IF(OR($E$174=1,$E$174=2),0,$L$176)</f>
        <v>0</v>
      </c>
      <c r="N176" s="530">
        <f>IF(OR($E$174=1,$E$174=2),0,$L$176)</f>
        <v>0</v>
      </c>
      <c r="O176" s="530">
        <f>IF(OR($E$174=1,$E$174=2),0,$L$176)</f>
        <v>0</v>
      </c>
      <c r="P176" s="530">
        <f>IF(OR($E$174=1,$E$174=2),0,$L$176)</f>
        <v>0</v>
      </c>
      <c r="Q176" s="530">
        <f>IF(OR($E$174=1,$E$174=2),0,$L$176)</f>
        <v>0</v>
      </c>
      <c r="R176" s="525"/>
      <c r="S176" s="530">
        <f>IF(OR($E$174=1,$E$174=2,$E$174=3),0,$R$176)</f>
        <v>0</v>
      </c>
      <c r="T176" s="530">
        <f>IF(OR($E$174=1,$E$174=2,$E$174=3),0,$R$176)</f>
        <v>0</v>
      </c>
      <c r="U176" s="530">
        <f>IF(OR($E$174=1,$E$174=2,$E$174=3),0,$R$176)</f>
        <v>0</v>
      </c>
      <c r="V176" s="530">
        <f>IF(OR($E$174=1,$E$174=2,$E$174=3),0,$R$176)</f>
        <v>0</v>
      </c>
      <c r="W176" s="530">
        <f>IF(OR($E$174=1,$E$174=2,$E$174=3),0,$R$176)</f>
        <v>0</v>
      </c>
      <c r="X176" s="525"/>
      <c r="Y176" s="530">
        <f>IF($E$174=5,$X$176,0)</f>
        <v>0</v>
      </c>
      <c r="Z176" s="530">
        <f>IF($E$174=5,$X$176,0)</f>
        <v>0</v>
      </c>
      <c r="AA176" s="446"/>
      <c r="AB176" s="447"/>
    </row>
    <row r="177" spans="2:28" x14ac:dyDescent="0.2">
      <c r="B177" s="445"/>
      <c r="C177" s="689" t="str">
        <f>$C$20</f>
        <v xml:space="preserve">Option 5: </v>
      </c>
      <c r="D177" s="544" t="str">
        <f>IF($I$8=1,"MAIFI momentary",0)</f>
        <v>MAIFI momentary</v>
      </c>
      <c r="E177" s="529" t="s">
        <v>148</v>
      </c>
      <c r="F177" s="525"/>
      <c r="G177" s="530">
        <f>IF($E$116=1,0,IF(OR($E$116=2,$E$116=3,$E$116=4,$E$116=5),$F$119))</f>
        <v>0</v>
      </c>
      <c r="H177" s="530">
        <f>IF($E$116=1,0,IF(OR($E$116=2,$E$116=3,$E$116=4,$E$116=5),$F$119))</f>
        <v>0</v>
      </c>
      <c r="I177" s="530">
        <f>IF($E$116=1,0,IF(OR($E$116=2,$E$116=3,$E$116=4,$E$116=5),$F$119))</f>
        <v>0</v>
      </c>
      <c r="J177" s="530">
        <f>IF($E$116=1,0,IF(OR($E$116=2,$E$116=3,$E$116=4,$E$116=5),$F$119))</f>
        <v>0</v>
      </c>
      <c r="K177" s="530">
        <f>IF($E$116=1,0,IF(OR($E$116=2,$E$116=3,$E$116=4,$E$116=5),$F$119))</f>
        <v>0</v>
      </c>
      <c r="L177" s="525"/>
      <c r="M177" s="530">
        <f>IF(OR($E$116=1,$E$116=2),0,$L$119)</f>
        <v>0</v>
      </c>
      <c r="N177" s="530">
        <f>IF(OR($E$116=1,$E$116=2),0,$L$119)</f>
        <v>0</v>
      </c>
      <c r="O177" s="530">
        <f>IF(OR($E$116=1,$E$116=2),0,$L$119)</f>
        <v>0</v>
      </c>
      <c r="P177" s="530">
        <f>IF(OR($E$116=1,$E$116=2),0,$L$119)</f>
        <v>0</v>
      </c>
      <c r="Q177" s="530">
        <f>IF(OR($E$116=1,$E$116=2),0,$L$119)</f>
        <v>0</v>
      </c>
      <c r="R177" s="525"/>
      <c r="S177" s="530">
        <f>IF(OR($E$116=1,$E$116=2,$E$116=3),0,$R$119)</f>
        <v>0</v>
      </c>
      <c r="T177" s="530">
        <f>IF(OR($E$116=1,$E$116=2,$E$116=3),0,$R$119)</f>
        <v>0</v>
      </c>
      <c r="U177" s="530">
        <f>IF(OR($E$116=1,$E$116=2,$E$116=3),0,$R$119)</f>
        <v>0</v>
      </c>
      <c r="V177" s="530">
        <f>IF(OR($E$116=1,$E$116=2,$E$116=3),0,$R$119)</f>
        <v>0</v>
      </c>
      <c r="W177" s="530">
        <f>IF(OR($E$116=1,$E$116=2,$E$116=3),0,$R$119)</f>
        <v>0</v>
      </c>
      <c r="X177" s="525"/>
      <c r="Y177" s="530">
        <f>IF($E$116=5,$X$119,0)</f>
        <v>0</v>
      </c>
      <c r="Z177" s="530">
        <f>IF($E$116=5,$X$119,0)</f>
        <v>0</v>
      </c>
      <c r="AA177" s="446"/>
      <c r="AB177" s="447"/>
    </row>
    <row r="178" spans="2:28" x14ac:dyDescent="0.2">
      <c r="B178" s="445"/>
      <c r="C178" s="689" t="str">
        <f>$C$20</f>
        <v xml:space="preserve">Option 5: </v>
      </c>
      <c r="D178" s="544" t="str">
        <f>IF($I$8=1,"Call centre response",0)</f>
        <v>Call centre response</v>
      </c>
      <c r="E178" s="529" t="s">
        <v>150</v>
      </c>
      <c r="F178" s="526"/>
      <c r="G178" s="531">
        <f>IF($E$174=1,0,IF(OR($E$174=2,$E$174=3,$E$174=4,$E$174=5),$F$178))</f>
        <v>0</v>
      </c>
      <c r="H178" s="531">
        <f>IF($E$174=1,0,IF(OR($E$174=2,$E$174=3,$E$174=4,$E$174=5),$F$178))</f>
        <v>0</v>
      </c>
      <c r="I178" s="531">
        <f>IF($E$174=1,0,IF(OR($E$174=2,$E$174=3,$E$174=4,$E$174=5),$F$178))</f>
        <v>0</v>
      </c>
      <c r="J178" s="531">
        <f>IF($E$174=1,0,IF(OR($E$174=2,$E$174=3,$E$174=4,$E$174=5),$F$178))</f>
        <v>0</v>
      </c>
      <c r="K178" s="531">
        <f>IF($E$174=1,0,IF(OR($E$174=2,$E$174=3,$E$174=4,$E$174=5),$F$178))</f>
        <v>0</v>
      </c>
      <c r="L178" s="526"/>
      <c r="M178" s="531">
        <f>IF(OR($E$174=1,$E$174=2),0,$L$178)</f>
        <v>0</v>
      </c>
      <c r="N178" s="531">
        <f>IF(OR($E$174=1,$E$174=2),0,$L$178)</f>
        <v>0</v>
      </c>
      <c r="O178" s="531">
        <f>IF(OR($E$174=1,$E$174=2),0,$L$178)</f>
        <v>0</v>
      </c>
      <c r="P178" s="531">
        <f>IF(OR($E$174=1,$E$174=2),0,$L$178)</f>
        <v>0</v>
      </c>
      <c r="Q178" s="531">
        <f>IF(OR($E$174=1,$E$174=2),0,$L$178)</f>
        <v>0</v>
      </c>
      <c r="R178" s="526"/>
      <c r="S178" s="531">
        <f>IF(OR($E$174=1,$E$174=2,$E$174=3),0,$R$178)</f>
        <v>0</v>
      </c>
      <c r="T178" s="531">
        <f>IF(OR($E$174=1,$E$174=2,$E$174=3),0,$R$178)</f>
        <v>0</v>
      </c>
      <c r="U178" s="531">
        <f>IF(OR($E$174=1,$E$174=2,$E$174=3),0,$R$178)</f>
        <v>0</v>
      </c>
      <c r="V178" s="531">
        <f>IF(OR($E$174=1,$E$174=2,$E$174=3),0,$R$178)</f>
        <v>0</v>
      </c>
      <c r="W178" s="531">
        <f>IF(OR($E$174=1,$E$174=2,$E$174=3),0,$R$178)</f>
        <v>0</v>
      </c>
      <c r="X178" s="526"/>
      <c r="Y178" s="531">
        <f>IF($E$174=5,$X$178,0)</f>
        <v>0</v>
      </c>
      <c r="Z178" s="531">
        <f>IF($E$174=5,$X$178,0)</f>
        <v>0</v>
      </c>
      <c r="AA178" s="446"/>
      <c r="AB178" s="447"/>
    </row>
    <row r="179" spans="2:28" x14ac:dyDescent="0.2">
      <c r="B179" s="445"/>
      <c r="C179" s="446"/>
      <c r="D179" s="545"/>
      <c r="E179" s="534"/>
      <c r="F179" s="535"/>
      <c r="G179" s="536"/>
      <c r="H179" s="536"/>
      <c r="I179" s="536"/>
      <c r="J179" s="536"/>
      <c r="K179" s="536"/>
      <c r="L179" s="536"/>
      <c r="M179" s="536"/>
      <c r="N179" s="536"/>
      <c r="O179" s="536"/>
      <c r="P179" s="536"/>
      <c r="Q179" s="536"/>
      <c r="R179" s="536"/>
      <c r="S179" s="536"/>
      <c r="T179" s="536"/>
      <c r="U179" s="536"/>
      <c r="V179" s="536"/>
      <c r="W179" s="536"/>
      <c r="X179" s="536"/>
      <c r="Y179" s="536"/>
      <c r="Z179" s="536"/>
      <c r="AA179" s="446"/>
      <c r="AB179" s="447"/>
    </row>
    <row r="180" spans="2:28" x14ac:dyDescent="0.2">
      <c r="B180" s="445"/>
      <c r="C180" s="446"/>
      <c r="D180" s="542" t="str">
        <f>$D$35</f>
        <v>Network Outage Costs</v>
      </c>
      <c r="E180" s="528"/>
      <c r="F180" s="522">
        <f>G12</f>
        <v>2020</v>
      </c>
      <c r="G180" s="523">
        <f t="shared" ref="G180:Z180" si="35">F180+1</f>
        <v>2021</v>
      </c>
      <c r="H180" s="523">
        <f t="shared" si="35"/>
        <v>2022</v>
      </c>
      <c r="I180" s="523">
        <f t="shared" si="35"/>
        <v>2023</v>
      </c>
      <c r="J180" s="523">
        <f t="shared" si="35"/>
        <v>2024</v>
      </c>
      <c r="K180" s="523">
        <f t="shared" si="35"/>
        <v>2025</v>
      </c>
      <c r="L180" s="523">
        <f t="shared" si="35"/>
        <v>2026</v>
      </c>
      <c r="M180" s="523">
        <f t="shared" si="35"/>
        <v>2027</v>
      </c>
      <c r="N180" s="523">
        <f t="shared" si="35"/>
        <v>2028</v>
      </c>
      <c r="O180" s="523">
        <f t="shared" si="35"/>
        <v>2029</v>
      </c>
      <c r="P180" s="523">
        <f t="shared" si="35"/>
        <v>2030</v>
      </c>
      <c r="Q180" s="523">
        <f t="shared" si="35"/>
        <v>2031</v>
      </c>
      <c r="R180" s="523">
        <f t="shared" si="35"/>
        <v>2032</v>
      </c>
      <c r="S180" s="523">
        <f t="shared" si="35"/>
        <v>2033</v>
      </c>
      <c r="T180" s="523">
        <f t="shared" si="35"/>
        <v>2034</v>
      </c>
      <c r="U180" s="523">
        <f t="shared" si="35"/>
        <v>2035</v>
      </c>
      <c r="V180" s="523">
        <f t="shared" si="35"/>
        <v>2036</v>
      </c>
      <c r="W180" s="523">
        <f t="shared" si="35"/>
        <v>2037</v>
      </c>
      <c r="X180" s="523">
        <f t="shared" si="35"/>
        <v>2038</v>
      </c>
      <c r="Y180" s="523">
        <f t="shared" si="35"/>
        <v>2039</v>
      </c>
      <c r="Z180" s="523">
        <f t="shared" si="35"/>
        <v>2040</v>
      </c>
      <c r="AA180" s="446"/>
      <c r="AB180" s="447"/>
    </row>
    <row r="181" spans="2:28" x14ac:dyDescent="0.2">
      <c r="B181" s="445"/>
      <c r="C181" s="689" t="str">
        <f>$C$20</f>
        <v xml:space="preserve">Option 5: </v>
      </c>
      <c r="D181" s="544" t="str">
        <f>$D$36</f>
        <v>Customer off supply</v>
      </c>
      <c r="E181" s="529" t="s">
        <v>149</v>
      </c>
      <c r="F181" s="524">
        <f>F176</f>
        <v>0</v>
      </c>
      <c r="G181" s="524">
        <f>G176</f>
        <v>0</v>
      </c>
      <c r="H181" s="537"/>
      <c r="I181" s="537"/>
      <c r="J181" s="537"/>
      <c r="K181" s="537"/>
      <c r="L181" s="537"/>
      <c r="M181" s="537"/>
      <c r="N181" s="537"/>
      <c r="O181" s="537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446"/>
      <c r="AB181" s="447"/>
    </row>
    <row r="182" spans="2:28" x14ac:dyDescent="0.2">
      <c r="B182" s="445"/>
      <c r="C182" s="446"/>
      <c r="D182" s="543"/>
      <c r="E182" s="534"/>
      <c r="F182" s="539"/>
      <c r="G182" s="539"/>
      <c r="H182" s="539"/>
      <c r="I182" s="539"/>
      <c r="J182" s="539"/>
      <c r="K182" s="539"/>
      <c r="L182" s="539"/>
      <c r="M182" s="539"/>
      <c r="N182" s="539"/>
      <c r="O182" s="539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446"/>
      <c r="AB182" s="447"/>
    </row>
    <row r="183" spans="2:28" x14ac:dyDescent="0.2">
      <c r="B183" s="445"/>
      <c r="C183" s="446"/>
      <c r="D183" s="542" t="str">
        <f>D184</f>
        <v>Loss of F Factor Benefit</v>
      </c>
      <c r="E183" s="527"/>
      <c r="F183" s="522">
        <f>G12</f>
        <v>2020</v>
      </c>
      <c r="G183" s="523">
        <f t="shared" ref="G183:Z183" si="36">F183+1</f>
        <v>2021</v>
      </c>
      <c r="H183" s="523">
        <f t="shared" si="36"/>
        <v>2022</v>
      </c>
      <c r="I183" s="523">
        <f t="shared" si="36"/>
        <v>2023</v>
      </c>
      <c r="J183" s="523">
        <f t="shared" si="36"/>
        <v>2024</v>
      </c>
      <c r="K183" s="523">
        <f t="shared" si="36"/>
        <v>2025</v>
      </c>
      <c r="L183" s="523">
        <f t="shared" si="36"/>
        <v>2026</v>
      </c>
      <c r="M183" s="523">
        <f t="shared" si="36"/>
        <v>2027</v>
      </c>
      <c r="N183" s="523">
        <f t="shared" si="36"/>
        <v>2028</v>
      </c>
      <c r="O183" s="523">
        <f t="shared" si="36"/>
        <v>2029</v>
      </c>
      <c r="P183" s="523">
        <f t="shared" si="36"/>
        <v>2030</v>
      </c>
      <c r="Q183" s="523">
        <f t="shared" si="36"/>
        <v>2031</v>
      </c>
      <c r="R183" s="523">
        <f t="shared" si="36"/>
        <v>2032</v>
      </c>
      <c r="S183" s="523">
        <f t="shared" si="36"/>
        <v>2033</v>
      </c>
      <c r="T183" s="523">
        <f t="shared" si="36"/>
        <v>2034</v>
      </c>
      <c r="U183" s="523">
        <f t="shared" si="36"/>
        <v>2035</v>
      </c>
      <c r="V183" s="523">
        <f t="shared" si="36"/>
        <v>2036</v>
      </c>
      <c r="W183" s="523">
        <f t="shared" si="36"/>
        <v>2037</v>
      </c>
      <c r="X183" s="523">
        <f t="shared" si="36"/>
        <v>2038</v>
      </c>
      <c r="Y183" s="523">
        <f t="shared" si="36"/>
        <v>2039</v>
      </c>
      <c r="Z183" s="523">
        <f t="shared" si="36"/>
        <v>2040</v>
      </c>
      <c r="AA183" s="446"/>
      <c r="AB183" s="447"/>
    </row>
    <row r="184" spans="2:28" x14ac:dyDescent="0.2">
      <c r="B184" s="445"/>
      <c r="C184" s="689" t="str">
        <f>$C$20</f>
        <v xml:space="preserve">Option 5: </v>
      </c>
      <c r="D184" s="546" t="str">
        <f>$D$39</f>
        <v>Loss of F Factor Benefit</v>
      </c>
      <c r="E184" s="541" t="str">
        <f>$E$39</f>
        <v>(No. of fire start NOT avoided)</v>
      </c>
      <c r="F184" s="540"/>
      <c r="G184" s="540"/>
      <c r="H184" s="540"/>
      <c r="I184" s="540"/>
      <c r="J184" s="540"/>
      <c r="K184" s="540"/>
      <c r="L184" s="540"/>
      <c r="M184" s="540"/>
      <c r="N184" s="540"/>
      <c r="O184" s="540"/>
      <c r="P184" s="540"/>
      <c r="Q184" s="540"/>
      <c r="R184" s="540"/>
      <c r="S184" s="540"/>
      <c r="T184" s="540"/>
      <c r="U184" s="540"/>
      <c r="V184" s="540"/>
      <c r="W184" s="540"/>
      <c r="X184" s="540"/>
      <c r="Y184" s="540"/>
      <c r="Z184" s="540"/>
      <c r="AA184" s="446"/>
      <c r="AB184" s="447"/>
    </row>
    <row r="185" spans="2:28" x14ac:dyDescent="0.2">
      <c r="B185" s="445"/>
      <c r="C185" s="446"/>
      <c r="D185" s="538"/>
      <c r="E185" s="534"/>
      <c r="F185" s="539"/>
      <c r="G185" s="539"/>
      <c r="H185" s="539"/>
      <c r="I185" s="539"/>
      <c r="J185" s="539"/>
      <c r="K185" s="539"/>
      <c r="L185" s="539"/>
      <c r="M185" s="539"/>
      <c r="N185" s="539"/>
      <c r="O185" s="539"/>
      <c r="P185" s="539"/>
      <c r="Q185" s="539"/>
      <c r="R185" s="539"/>
      <c r="S185" s="539"/>
      <c r="T185" s="539"/>
      <c r="U185" s="539"/>
      <c r="V185" s="539"/>
      <c r="W185" s="539"/>
      <c r="X185" s="539"/>
      <c r="Y185" s="539"/>
      <c r="Z185" s="539"/>
      <c r="AA185" s="446"/>
      <c r="AB185" s="447"/>
    </row>
    <row r="186" spans="2:28" x14ac:dyDescent="0.2">
      <c r="B186" s="445"/>
      <c r="C186" s="446"/>
      <c r="D186" s="542" t="s">
        <v>116</v>
      </c>
      <c r="E186" s="527"/>
      <c r="F186" s="522">
        <f>G12</f>
        <v>2020</v>
      </c>
      <c r="G186" s="523">
        <f t="shared" ref="G186:Z186" si="37">F186+1</f>
        <v>2021</v>
      </c>
      <c r="H186" s="523">
        <f t="shared" si="37"/>
        <v>2022</v>
      </c>
      <c r="I186" s="523">
        <f t="shared" si="37"/>
        <v>2023</v>
      </c>
      <c r="J186" s="523">
        <f t="shared" si="37"/>
        <v>2024</v>
      </c>
      <c r="K186" s="523">
        <f t="shared" si="37"/>
        <v>2025</v>
      </c>
      <c r="L186" s="523">
        <f t="shared" si="37"/>
        <v>2026</v>
      </c>
      <c r="M186" s="523">
        <f t="shared" si="37"/>
        <v>2027</v>
      </c>
      <c r="N186" s="523">
        <f t="shared" si="37"/>
        <v>2028</v>
      </c>
      <c r="O186" s="523">
        <f t="shared" si="37"/>
        <v>2029</v>
      </c>
      <c r="P186" s="523">
        <f t="shared" si="37"/>
        <v>2030</v>
      </c>
      <c r="Q186" s="523">
        <f t="shared" si="37"/>
        <v>2031</v>
      </c>
      <c r="R186" s="523">
        <f t="shared" si="37"/>
        <v>2032</v>
      </c>
      <c r="S186" s="523">
        <f t="shared" si="37"/>
        <v>2033</v>
      </c>
      <c r="T186" s="523">
        <f t="shared" si="37"/>
        <v>2034</v>
      </c>
      <c r="U186" s="523">
        <f t="shared" si="37"/>
        <v>2035</v>
      </c>
      <c r="V186" s="523">
        <f t="shared" si="37"/>
        <v>2036</v>
      </c>
      <c r="W186" s="523">
        <f t="shared" si="37"/>
        <v>2037</v>
      </c>
      <c r="X186" s="523">
        <f t="shared" si="37"/>
        <v>2038</v>
      </c>
      <c r="Y186" s="523">
        <f t="shared" si="37"/>
        <v>2039</v>
      </c>
      <c r="Z186" s="523">
        <f t="shared" si="37"/>
        <v>2040</v>
      </c>
      <c r="AA186" s="446"/>
      <c r="AB186" s="447"/>
    </row>
    <row r="187" spans="2:28" x14ac:dyDescent="0.2">
      <c r="B187" s="445"/>
      <c r="C187" s="689" t="str">
        <f t="shared" ref="C187:C196" si="38">$C$20</f>
        <v xml:space="preserve">Option 5: </v>
      </c>
      <c r="D187" s="542" t="str">
        <f>$D$42</f>
        <v>Cost 1</v>
      </c>
      <c r="E187" s="519" t="s">
        <v>104</v>
      </c>
      <c r="F187" s="548"/>
      <c r="G187" s="548"/>
      <c r="H187" s="548"/>
      <c r="I187" s="548"/>
      <c r="J187" s="548"/>
      <c r="K187" s="548"/>
      <c r="L187" s="548"/>
      <c r="M187" s="548"/>
      <c r="N187" s="548"/>
      <c r="O187" s="548"/>
      <c r="P187" s="548"/>
      <c r="Q187" s="548"/>
      <c r="R187" s="548"/>
      <c r="S187" s="548"/>
      <c r="T187" s="548"/>
      <c r="U187" s="548"/>
      <c r="V187" s="548"/>
      <c r="W187" s="548"/>
      <c r="X187" s="548"/>
      <c r="Y187" s="548"/>
      <c r="Z187" s="548"/>
      <c r="AA187" s="446"/>
      <c r="AB187" s="447"/>
    </row>
    <row r="188" spans="2:28" x14ac:dyDescent="0.2">
      <c r="B188" s="445"/>
      <c r="C188" s="689" t="str">
        <f t="shared" si="38"/>
        <v xml:space="preserve">Option 5: </v>
      </c>
      <c r="D188" s="542" t="str">
        <f>$D$43</f>
        <v>Cost 2</v>
      </c>
      <c r="E188" s="519" t="s">
        <v>104</v>
      </c>
      <c r="F188" s="549"/>
      <c r="G188" s="549"/>
      <c r="H188" s="549"/>
      <c r="I188" s="549"/>
      <c r="J188" s="549"/>
      <c r="K188" s="549"/>
      <c r="L188" s="549"/>
      <c r="M188" s="549"/>
      <c r="N188" s="549"/>
      <c r="O188" s="549"/>
      <c r="P188" s="549"/>
      <c r="Q188" s="549"/>
      <c r="R188" s="549"/>
      <c r="S188" s="549"/>
      <c r="T188" s="549"/>
      <c r="U188" s="549"/>
      <c r="V188" s="549"/>
      <c r="W188" s="549"/>
      <c r="X188" s="549"/>
      <c r="Y188" s="549"/>
      <c r="Z188" s="549"/>
      <c r="AA188" s="446"/>
      <c r="AB188" s="447"/>
    </row>
    <row r="189" spans="2:28" x14ac:dyDescent="0.2">
      <c r="B189" s="445"/>
      <c r="C189" s="689" t="str">
        <f t="shared" si="38"/>
        <v xml:space="preserve">Option 5: </v>
      </c>
      <c r="D189" s="542" t="str">
        <f>$D$44</f>
        <v>Cost 3</v>
      </c>
      <c r="E189" s="519" t="s">
        <v>104</v>
      </c>
      <c r="F189" s="550"/>
      <c r="G189" s="550"/>
      <c r="H189" s="550"/>
      <c r="I189" s="550"/>
      <c r="J189" s="550"/>
      <c r="K189" s="550"/>
      <c r="L189" s="550"/>
      <c r="M189" s="550"/>
      <c r="N189" s="550"/>
      <c r="O189" s="550"/>
      <c r="P189" s="550"/>
      <c r="Q189" s="550"/>
      <c r="R189" s="550"/>
      <c r="S189" s="550"/>
      <c r="T189" s="550"/>
      <c r="U189" s="550"/>
      <c r="V189" s="550"/>
      <c r="W189" s="550"/>
      <c r="X189" s="550"/>
      <c r="Y189" s="550"/>
      <c r="Z189" s="550"/>
      <c r="AA189" s="446"/>
      <c r="AB189" s="447"/>
    </row>
    <row r="190" spans="2:28" x14ac:dyDescent="0.2">
      <c r="B190" s="445"/>
      <c r="C190" s="689" t="str">
        <f t="shared" si="38"/>
        <v xml:space="preserve">Option 5: </v>
      </c>
      <c r="D190" s="542" t="str">
        <f>$D$45</f>
        <v>Cost 4</v>
      </c>
      <c r="E190" s="519" t="s">
        <v>104</v>
      </c>
      <c r="F190" s="550"/>
      <c r="G190" s="550"/>
      <c r="H190" s="550"/>
      <c r="I190" s="550"/>
      <c r="J190" s="550"/>
      <c r="K190" s="550"/>
      <c r="L190" s="550"/>
      <c r="M190" s="550"/>
      <c r="N190" s="550"/>
      <c r="O190" s="550"/>
      <c r="P190" s="550"/>
      <c r="Q190" s="550"/>
      <c r="R190" s="550"/>
      <c r="S190" s="550"/>
      <c r="T190" s="550"/>
      <c r="U190" s="550"/>
      <c r="V190" s="550"/>
      <c r="W190" s="550"/>
      <c r="X190" s="550"/>
      <c r="Y190" s="550"/>
      <c r="Z190" s="550"/>
      <c r="AA190" s="446"/>
      <c r="AB190" s="447"/>
    </row>
    <row r="191" spans="2:28" x14ac:dyDescent="0.2">
      <c r="B191" s="445"/>
      <c r="C191" s="689" t="str">
        <f t="shared" si="38"/>
        <v xml:space="preserve">Option 5: </v>
      </c>
      <c r="D191" s="542" t="str">
        <f>$D$46</f>
        <v>Cost 5</v>
      </c>
      <c r="E191" s="519" t="s">
        <v>104</v>
      </c>
      <c r="F191" s="550"/>
      <c r="G191" s="550"/>
      <c r="H191" s="550"/>
      <c r="I191" s="550"/>
      <c r="J191" s="550"/>
      <c r="K191" s="550"/>
      <c r="L191" s="550"/>
      <c r="M191" s="550"/>
      <c r="N191" s="550"/>
      <c r="O191" s="550"/>
      <c r="P191" s="550"/>
      <c r="Q191" s="550"/>
      <c r="R191" s="550"/>
      <c r="S191" s="550"/>
      <c r="T191" s="550"/>
      <c r="U191" s="550"/>
      <c r="V191" s="550"/>
      <c r="W191" s="550"/>
      <c r="X191" s="550"/>
      <c r="Y191" s="550"/>
      <c r="Z191" s="550"/>
      <c r="AA191" s="446"/>
      <c r="AB191" s="447"/>
    </row>
    <row r="192" spans="2:28" x14ac:dyDescent="0.2">
      <c r="B192" s="445"/>
      <c r="C192" s="689" t="str">
        <f t="shared" si="38"/>
        <v xml:space="preserve">Option 5: </v>
      </c>
      <c r="D192" s="542" t="s">
        <v>278</v>
      </c>
      <c r="E192" s="519" t="s">
        <v>104</v>
      </c>
      <c r="F192" s="550"/>
      <c r="G192" s="550"/>
      <c r="H192" s="550"/>
      <c r="I192" s="550"/>
      <c r="J192" s="550"/>
      <c r="K192" s="550"/>
      <c r="L192" s="550"/>
      <c r="M192" s="550"/>
      <c r="N192" s="550"/>
      <c r="O192" s="550"/>
      <c r="P192" s="550"/>
      <c r="Q192" s="550"/>
      <c r="R192" s="550"/>
      <c r="S192" s="550"/>
      <c r="T192" s="550"/>
      <c r="U192" s="550"/>
      <c r="V192" s="550"/>
      <c r="W192" s="550"/>
      <c r="X192" s="550"/>
      <c r="Y192" s="550"/>
      <c r="Z192" s="550"/>
      <c r="AA192" s="446"/>
      <c r="AB192" s="447"/>
    </row>
    <row r="193" spans="2:28" x14ac:dyDescent="0.2">
      <c r="B193" s="445"/>
      <c r="C193" s="689" t="str">
        <f t="shared" si="38"/>
        <v xml:space="preserve">Option 5: </v>
      </c>
      <c r="D193" s="542" t="s">
        <v>279</v>
      </c>
      <c r="E193" s="519" t="s">
        <v>104</v>
      </c>
      <c r="F193" s="550"/>
      <c r="G193" s="550"/>
      <c r="H193" s="550"/>
      <c r="I193" s="550"/>
      <c r="J193" s="550"/>
      <c r="K193" s="550"/>
      <c r="L193" s="550"/>
      <c r="M193" s="550"/>
      <c r="N193" s="550"/>
      <c r="O193" s="550"/>
      <c r="P193" s="550"/>
      <c r="Q193" s="550"/>
      <c r="R193" s="550"/>
      <c r="S193" s="550"/>
      <c r="T193" s="550"/>
      <c r="U193" s="550"/>
      <c r="V193" s="550"/>
      <c r="W193" s="550"/>
      <c r="X193" s="550"/>
      <c r="Y193" s="550"/>
      <c r="Z193" s="550"/>
      <c r="AA193" s="446"/>
      <c r="AB193" s="447"/>
    </row>
    <row r="194" spans="2:28" x14ac:dyDescent="0.2">
      <c r="B194" s="445"/>
      <c r="C194" s="689" t="str">
        <f t="shared" si="38"/>
        <v xml:space="preserve">Option 5: </v>
      </c>
      <c r="D194" s="542" t="s">
        <v>280</v>
      </c>
      <c r="E194" s="519" t="s">
        <v>104</v>
      </c>
      <c r="F194" s="550"/>
      <c r="G194" s="550"/>
      <c r="H194" s="550"/>
      <c r="I194" s="550"/>
      <c r="J194" s="550"/>
      <c r="K194" s="550"/>
      <c r="L194" s="550"/>
      <c r="M194" s="550"/>
      <c r="N194" s="550"/>
      <c r="O194" s="550"/>
      <c r="P194" s="550"/>
      <c r="Q194" s="550"/>
      <c r="R194" s="550"/>
      <c r="S194" s="550"/>
      <c r="T194" s="550"/>
      <c r="U194" s="550"/>
      <c r="V194" s="550"/>
      <c r="W194" s="550"/>
      <c r="X194" s="550"/>
      <c r="Y194" s="550"/>
      <c r="Z194" s="550"/>
      <c r="AA194" s="446"/>
      <c r="AB194" s="447"/>
    </row>
    <row r="195" spans="2:28" x14ac:dyDescent="0.2">
      <c r="B195" s="445"/>
      <c r="C195" s="689" t="str">
        <f t="shared" si="38"/>
        <v xml:space="preserve">Option 5: </v>
      </c>
      <c r="D195" s="542" t="s">
        <v>281</v>
      </c>
      <c r="E195" s="519" t="s">
        <v>104</v>
      </c>
      <c r="F195" s="550"/>
      <c r="G195" s="550"/>
      <c r="H195" s="550"/>
      <c r="I195" s="550"/>
      <c r="J195" s="550"/>
      <c r="K195" s="550"/>
      <c r="L195" s="550"/>
      <c r="M195" s="550"/>
      <c r="N195" s="550"/>
      <c r="O195" s="550"/>
      <c r="P195" s="550"/>
      <c r="Q195" s="550"/>
      <c r="R195" s="550"/>
      <c r="S195" s="550"/>
      <c r="T195" s="550"/>
      <c r="U195" s="550"/>
      <c r="V195" s="550"/>
      <c r="W195" s="550"/>
      <c r="X195" s="550"/>
      <c r="Y195" s="550"/>
      <c r="Z195" s="550"/>
      <c r="AA195" s="446"/>
      <c r="AB195" s="447"/>
    </row>
    <row r="196" spans="2:28" x14ac:dyDescent="0.2">
      <c r="B196" s="445"/>
      <c r="C196" s="689" t="str">
        <f t="shared" si="38"/>
        <v xml:space="preserve">Option 5: </v>
      </c>
      <c r="D196" s="542" t="s">
        <v>282</v>
      </c>
      <c r="E196" s="519" t="s">
        <v>104</v>
      </c>
      <c r="F196" s="550"/>
      <c r="G196" s="550"/>
      <c r="H196" s="550"/>
      <c r="I196" s="550"/>
      <c r="J196" s="550"/>
      <c r="K196" s="550"/>
      <c r="L196" s="550"/>
      <c r="M196" s="550"/>
      <c r="N196" s="550"/>
      <c r="O196" s="550"/>
      <c r="P196" s="550"/>
      <c r="Q196" s="550"/>
      <c r="R196" s="550"/>
      <c r="S196" s="550"/>
      <c r="T196" s="550"/>
      <c r="U196" s="550"/>
      <c r="V196" s="550"/>
      <c r="W196" s="550"/>
      <c r="X196" s="550"/>
      <c r="Y196" s="550"/>
      <c r="Z196" s="550"/>
      <c r="AA196" s="446"/>
      <c r="AB196" s="447"/>
    </row>
    <row r="197" spans="2:28" x14ac:dyDescent="0.2">
      <c r="B197" s="445"/>
      <c r="C197" s="446"/>
      <c r="D197" s="532"/>
      <c r="E197" s="533"/>
      <c r="F197" s="446"/>
      <c r="G197" s="446"/>
      <c r="H197" s="446"/>
      <c r="I197" s="446"/>
      <c r="J197" s="446"/>
      <c r="K197" s="512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/>
      <c r="Z197" s="446"/>
      <c r="AA197" s="446"/>
      <c r="AB197" s="447"/>
    </row>
    <row r="198" spans="2:28" ht="16.5" thickBot="1" x14ac:dyDescent="0.3">
      <c r="B198" s="445"/>
      <c r="C198" s="500" t="str">
        <f>IF(I8=1,"Regulatory Investment Tests - Distribution (RIT-D)","Regulatory Investment Test - NOT APPLICABLE")</f>
        <v>Regulatory Investment Tests - Distribution (RIT-D)</v>
      </c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  <c r="AA198" s="479"/>
      <c r="AB198" s="447"/>
    </row>
    <row r="199" spans="2:28" ht="13.5" thickTop="1" x14ac:dyDescent="0.2">
      <c r="B199" s="445"/>
      <c r="C199" s="446"/>
      <c r="D199" s="487"/>
      <c r="E199" s="51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446"/>
      <c r="Q199" s="446"/>
      <c r="R199" s="446"/>
      <c r="S199" s="446"/>
      <c r="T199" s="446"/>
      <c r="U199" s="446"/>
      <c r="V199" s="446"/>
      <c r="W199" s="446"/>
      <c r="X199" s="446"/>
      <c r="Y199" s="446"/>
      <c r="Z199" s="446"/>
      <c r="AA199" s="446"/>
      <c r="AB199" s="447"/>
    </row>
    <row r="200" spans="2:28" ht="13.5" thickBot="1" x14ac:dyDescent="0.25">
      <c r="B200" s="445"/>
      <c r="C200" s="446"/>
      <c r="D200" s="492" t="s">
        <v>195</v>
      </c>
      <c r="E200" s="516"/>
      <c r="F200" s="446"/>
      <c r="G200" s="446"/>
      <c r="H200" s="446"/>
      <c r="I200" s="446"/>
      <c r="J200" s="446"/>
      <c r="K200" s="446"/>
      <c r="L200" s="446"/>
      <c r="M200" s="446"/>
      <c r="N200" s="446"/>
      <c r="O200" s="446"/>
      <c r="P200" s="446"/>
      <c r="Q200" s="446"/>
      <c r="R200" s="446"/>
      <c r="S200" s="446"/>
      <c r="T200" s="446"/>
      <c r="U200" s="446"/>
      <c r="V200" s="446"/>
      <c r="W200" s="446"/>
      <c r="X200" s="446"/>
      <c r="Y200" s="446"/>
      <c r="Z200" s="446"/>
      <c r="AA200" s="446"/>
      <c r="AB200" s="447"/>
    </row>
    <row r="201" spans="2:28" x14ac:dyDescent="0.2">
      <c r="B201" s="445"/>
      <c r="C201" s="446"/>
      <c r="D201" s="487"/>
      <c r="E201" s="516"/>
      <c r="F201" s="446"/>
      <c r="G201" s="446"/>
      <c r="H201" s="446"/>
      <c r="I201" s="446"/>
      <c r="J201" s="446"/>
      <c r="K201" s="446"/>
      <c r="L201" s="446"/>
      <c r="M201" s="446"/>
      <c r="N201" s="446"/>
      <c r="O201" s="446"/>
      <c r="P201" s="446"/>
      <c r="Q201" s="446"/>
      <c r="R201" s="446"/>
      <c r="S201" s="446"/>
      <c r="T201" s="446"/>
      <c r="U201" s="446"/>
      <c r="V201" s="446"/>
      <c r="W201" s="446"/>
      <c r="X201" s="446"/>
      <c r="Y201" s="446"/>
      <c r="Z201" s="446"/>
      <c r="AA201" s="446"/>
      <c r="AB201" s="447"/>
    </row>
    <row r="202" spans="2:28" ht="13.5" thickBot="1" x14ac:dyDescent="0.25">
      <c r="B202" s="445"/>
      <c r="C202" s="446"/>
      <c r="D202" s="554" t="s">
        <v>196</v>
      </c>
      <c r="E202" s="555"/>
      <c r="F202" s="556">
        <v>2</v>
      </c>
      <c r="G202" s="446"/>
      <c r="H202" s="446"/>
      <c r="I202" s="446"/>
      <c r="J202" s="446"/>
      <c r="K202" s="446"/>
      <c r="L202" s="446"/>
      <c r="M202" s="446"/>
      <c r="N202" s="446"/>
      <c r="O202" s="446"/>
      <c r="P202" s="446"/>
      <c r="Q202" s="446"/>
      <c r="R202" s="446"/>
      <c r="S202" s="446"/>
      <c r="T202" s="446"/>
      <c r="U202" s="446"/>
      <c r="V202" s="446"/>
      <c r="W202" s="446"/>
      <c r="X202" s="446"/>
      <c r="Y202" s="446"/>
      <c r="Z202" s="446"/>
      <c r="AA202" s="446"/>
      <c r="AB202" s="447"/>
    </row>
    <row r="203" spans="2:28" x14ac:dyDescent="0.2">
      <c r="B203" s="445"/>
      <c r="C203" s="446"/>
      <c r="D203" s="516"/>
      <c r="E203" s="51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7"/>
    </row>
    <row r="204" spans="2:28" ht="13.5" thickBot="1" x14ac:dyDescent="0.25">
      <c r="B204" s="445"/>
      <c r="C204" s="446"/>
      <c r="D204" s="554">
        <f>IF(F202=1,"Is the augmentation component over $5m?",0)</f>
        <v>0</v>
      </c>
      <c r="E204" s="555"/>
      <c r="F204" s="556">
        <v>2</v>
      </c>
      <c r="G204" s="446"/>
      <c r="H204" s="446"/>
      <c r="I204" s="446"/>
      <c r="J204" s="446"/>
      <c r="K204" s="446"/>
      <c r="L204" s="446"/>
      <c r="M204" s="446"/>
      <c r="N204" s="446"/>
      <c r="O204" s="446"/>
      <c r="P204" s="446"/>
      <c r="Q204" s="446"/>
      <c r="R204" s="446"/>
      <c r="S204" s="446"/>
      <c r="T204" s="446"/>
      <c r="U204" s="446"/>
      <c r="V204" s="446"/>
      <c r="W204" s="446"/>
      <c r="X204" s="446"/>
      <c r="Y204" s="446"/>
      <c r="Z204" s="446"/>
      <c r="AA204" s="446"/>
      <c r="AB204" s="447"/>
    </row>
    <row r="205" spans="2:28" x14ac:dyDescent="0.2">
      <c r="B205" s="445"/>
      <c r="C205" s="446"/>
      <c r="D205" s="463"/>
      <c r="E205" s="516"/>
      <c r="F205" s="446"/>
      <c r="G205" s="446"/>
      <c r="H205" s="446"/>
      <c r="I205" s="446"/>
      <c r="J205" s="446"/>
      <c r="K205" s="446"/>
      <c r="L205" s="446"/>
      <c r="M205" s="446"/>
      <c r="N205" s="446"/>
      <c r="O205" s="446"/>
      <c r="P205" s="446"/>
      <c r="Q205" s="446"/>
      <c r="R205" s="446"/>
      <c r="S205" s="446"/>
      <c r="T205" s="446"/>
      <c r="U205" s="446"/>
      <c r="V205" s="446"/>
      <c r="W205" s="446"/>
      <c r="X205" s="446"/>
      <c r="Y205" s="446"/>
      <c r="Z205" s="446"/>
      <c r="AA205" s="446"/>
      <c r="AB205" s="447"/>
    </row>
    <row r="206" spans="2:28" ht="13.5" thickBot="1" x14ac:dyDescent="0.25">
      <c r="B206" s="445"/>
      <c r="C206" s="446"/>
      <c r="D206" s="480" t="s">
        <v>238</v>
      </c>
      <c r="E206" s="555"/>
      <c r="F206" s="556">
        <v>2</v>
      </c>
      <c r="G206" s="446"/>
      <c r="H206" s="446"/>
      <c r="I206" s="446"/>
      <c r="J206" s="446"/>
      <c r="K206" s="446"/>
      <c r="L206" s="446"/>
      <c r="M206" s="446"/>
      <c r="N206" s="446"/>
      <c r="O206" s="446"/>
      <c r="P206" s="446"/>
      <c r="Q206" s="446"/>
      <c r="R206" s="446"/>
      <c r="S206" s="446"/>
      <c r="T206" s="446"/>
      <c r="U206" s="446"/>
      <c r="V206" s="446"/>
      <c r="W206" s="446"/>
      <c r="X206" s="446"/>
      <c r="Y206" s="446"/>
      <c r="Z206" s="446"/>
      <c r="AA206" s="446"/>
      <c r="AB206" s="447"/>
    </row>
    <row r="207" spans="2:28" x14ac:dyDescent="0.2">
      <c r="B207" s="445"/>
      <c r="C207" s="446"/>
      <c r="D207" s="463" t="s">
        <v>250</v>
      </c>
      <c r="E207" s="516"/>
      <c r="F207" s="446"/>
      <c r="G207" s="553"/>
      <c r="H207" s="446"/>
      <c r="I207" s="446"/>
      <c r="J207" s="446"/>
      <c r="K207" s="446"/>
      <c r="L207" s="446"/>
      <c r="M207" s="446"/>
      <c r="N207" s="446"/>
      <c r="O207" s="446"/>
      <c r="P207" s="446"/>
      <c r="Q207" s="446"/>
      <c r="R207" s="446"/>
      <c r="S207" s="446"/>
      <c r="T207" s="446"/>
      <c r="U207" s="446"/>
      <c r="V207" s="446"/>
      <c r="W207" s="446"/>
      <c r="X207" s="446"/>
      <c r="Y207" s="446"/>
      <c r="Z207" s="446"/>
      <c r="AA207" s="446"/>
      <c r="AB207" s="447"/>
    </row>
    <row r="208" spans="2:28" x14ac:dyDescent="0.2">
      <c r="B208" s="445"/>
      <c r="C208" s="446"/>
      <c r="D208" s="557">
        <f>IF(AND(F202=1,F204=1),"Regulatory Investment Test is required!!!",0)</f>
        <v>0</v>
      </c>
      <c r="E208" s="516"/>
      <c r="F208" s="446"/>
      <c r="G208" s="446"/>
      <c r="H208" s="446"/>
      <c r="I208" s="446"/>
      <c r="J208" s="446"/>
      <c r="K208" s="446"/>
      <c r="L208" s="446"/>
      <c r="M208" s="446"/>
      <c r="N208" s="446"/>
      <c r="O208" s="446"/>
      <c r="P208" s="446"/>
      <c r="Q208" s="446"/>
      <c r="R208" s="446"/>
      <c r="S208" s="446"/>
      <c r="T208" s="446"/>
      <c r="U208" s="446"/>
      <c r="V208" s="446"/>
      <c r="W208" s="446"/>
      <c r="X208" s="446"/>
      <c r="Y208" s="446"/>
      <c r="Z208" s="446"/>
      <c r="AA208" s="446"/>
      <c r="AB208" s="447"/>
    </row>
    <row r="209" spans="1:127" ht="13.5" thickBot="1" x14ac:dyDescent="0.25">
      <c r="B209" s="445"/>
      <c r="C209" s="446"/>
      <c r="D209" s="558" t="str">
        <f>IF(OR(F202=2,F204=2),"Regulatory Investment Test is not compulsory for this business case, but recommended.",0)</f>
        <v>Regulatory Investment Test is not compulsory for this business case, but recommended.</v>
      </c>
      <c r="E209" s="555"/>
      <c r="F209" s="494"/>
      <c r="G209" s="446"/>
      <c r="H209" s="446"/>
      <c r="I209" s="446"/>
      <c r="J209" s="446"/>
      <c r="K209" s="446"/>
      <c r="L209" s="446"/>
      <c r="M209" s="446"/>
      <c r="N209" s="446"/>
      <c r="O209" s="446"/>
      <c r="P209" s="446"/>
      <c r="Q209" s="446"/>
      <c r="R209" s="446"/>
      <c r="S209" s="446"/>
      <c r="T209" s="446"/>
      <c r="U209" s="446"/>
      <c r="V209" s="446"/>
      <c r="W209" s="446"/>
      <c r="X209" s="446"/>
      <c r="Y209" s="446"/>
      <c r="Z209" s="446"/>
      <c r="AA209" s="446"/>
      <c r="AB209" s="447"/>
    </row>
    <row r="210" spans="1:127" x14ac:dyDescent="0.2">
      <c r="B210" s="445"/>
      <c r="C210" s="446"/>
      <c r="D210" s="487"/>
      <c r="E210" s="516"/>
      <c r="F210" s="446"/>
      <c r="G210" s="446"/>
      <c r="H210" s="446"/>
      <c r="I210" s="446"/>
      <c r="J210" s="446"/>
      <c r="K210" s="446"/>
      <c r="L210" s="446"/>
      <c r="M210" s="446"/>
      <c r="N210" s="446"/>
      <c r="O210" s="446"/>
      <c r="P210" s="446"/>
      <c r="Q210" s="446"/>
      <c r="R210" s="446"/>
      <c r="S210" s="446"/>
      <c r="T210" s="446"/>
      <c r="U210" s="446"/>
      <c r="V210" s="446"/>
      <c r="W210" s="446"/>
      <c r="X210" s="446"/>
      <c r="Y210" s="446"/>
      <c r="Z210" s="446"/>
      <c r="AA210" s="446"/>
      <c r="AB210" s="447"/>
    </row>
    <row r="211" spans="1:127" x14ac:dyDescent="0.2">
      <c r="B211" s="445"/>
      <c r="C211" s="446"/>
      <c r="D211" s="487"/>
      <c r="E211" s="51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7"/>
    </row>
    <row r="212" spans="1:127" ht="13.5" thickBot="1" x14ac:dyDescent="0.25">
      <c r="B212" s="445"/>
      <c r="C212" s="446"/>
      <c r="D212" s="492" t="s">
        <v>118</v>
      </c>
      <c r="E212" s="516"/>
      <c r="F212" s="446"/>
      <c r="G212" s="446"/>
      <c r="H212" s="446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7"/>
    </row>
    <row r="213" spans="1:127" x14ac:dyDescent="0.2">
      <c r="B213" s="445"/>
      <c r="C213" s="446"/>
      <c r="D213" s="487"/>
      <c r="E213" s="516"/>
      <c r="F213" s="446"/>
      <c r="G213" s="446"/>
      <c r="H213" s="446"/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7"/>
    </row>
    <row r="214" spans="1:127" x14ac:dyDescent="0.2">
      <c r="B214" s="445"/>
      <c r="C214" s="534">
        <v>1</v>
      </c>
      <c r="D214" s="559" t="str">
        <f>IF($F$206=1,"VCR - NOT APPLICABLE","Value of Electricity to Customers (VCR)")</f>
        <v>Value of Electricity to Customers (VCR)</v>
      </c>
      <c r="E214" s="562" t="s">
        <v>217</v>
      </c>
      <c r="F214" s="563" t="s">
        <v>251</v>
      </c>
      <c r="G214" s="563">
        <f t="shared" ref="G214:Z214" si="39">G$186</f>
        <v>2021</v>
      </c>
      <c r="H214" s="563">
        <f t="shared" si="39"/>
        <v>2022</v>
      </c>
      <c r="I214" s="563">
        <f t="shared" si="39"/>
        <v>2023</v>
      </c>
      <c r="J214" s="563">
        <f t="shared" si="39"/>
        <v>2024</v>
      </c>
      <c r="K214" s="563">
        <f t="shared" si="39"/>
        <v>2025</v>
      </c>
      <c r="L214" s="563">
        <f t="shared" si="39"/>
        <v>2026</v>
      </c>
      <c r="M214" s="563">
        <f t="shared" si="39"/>
        <v>2027</v>
      </c>
      <c r="N214" s="563">
        <f t="shared" si="39"/>
        <v>2028</v>
      </c>
      <c r="O214" s="563">
        <f t="shared" si="39"/>
        <v>2029</v>
      </c>
      <c r="P214" s="563">
        <f t="shared" si="39"/>
        <v>2030</v>
      </c>
      <c r="Q214" s="563">
        <f t="shared" si="39"/>
        <v>2031</v>
      </c>
      <c r="R214" s="563">
        <f t="shared" si="39"/>
        <v>2032</v>
      </c>
      <c r="S214" s="563">
        <f t="shared" si="39"/>
        <v>2033</v>
      </c>
      <c r="T214" s="563">
        <f t="shared" si="39"/>
        <v>2034</v>
      </c>
      <c r="U214" s="563">
        <f t="shared" si="39"/>
        <v>2035</v>
      </c>
      <c r="V214" s="563">
        <f t="shared" si="39"/>
        <v>2036</v>
      </c>
      <c r="W214" s="563">
        <f t="shared" si="39"/>
        <v>2037</v>
      </c>
      <c r="X214" s="563">
        <f t="shared" si="39"/>
        <v>2038</v>
      </c>
      <c r="Y214" s="563">
        <f t="shared" si="39"/>
        <v>2039</v>
      </c>
      <c r="Z214" s="563">
        <f t="shared" si="39"/>
        <v>2040</v>
      </c>
      <c r="AA214" s="446"/>
      <c r="AB214" s="447"/>
    </row>
    <row r="215" spans="1:127" x14ac:dyDescent="0.2">
      <c r="B215" s="445"/>
      <c r="C215" s="534"/>
      <c r="D215" s="544" t="str">
        <f>IF($F$206=1,"VCR - N/A",$D$24)</f>
        <v>"Status Quo" Reference Case</v>
      </c>
      <c r="E215" s="560" t="str">
        <f t="shared" ref="E215:E220" si="40">IF($F$206=1," ","(MWh)")</f>
        <v>(MWh)</v>
      </c>
      <c r="F215" s="281"/>
      <c r="G215" s="549">
        <v>1000</v>
      </c>
      <c r="H215" s="549">
        <v>1000</v>
      </c>
      <c r="I215" s="549">
        <v>1000</v>
      </c>
      <c r="J215" s="549">
        <v>1000</v>
      </c>
      <c r="K215" s="549">
        <v>1000</v>
      </c>
      <c r="L215" s="549">
        <v>1000</v>
      </c>
      <c r="M215" s="549">
        <v>1000</v>
      </c>
      <c r="N215" s="549">
        <v>1000</v>
      </c>
      <c r="O215" s="549">
        <v>1000</v>
      </c>
      <c r="P215" s="549">
        <v>1000</v>
      </c>
      <c r="Q215" s="549">
        <v>1000</v>
      </c>
      <c r="R215" s="549">
        <v>1000</v>
      </c>
      <c r="S215" s="549">
        <v>1000</v>
      </c>
      <c r="T215" s="549">
        <v>1000</v>
      </c>
      <c r="U215" s="549">
        <v>1000</v>
      </c>
      <c r="V215" s="549">
        <v>1000</v>
      </c>
      <c r="W215" s="549">
        <v>1000</v>
      </c>
      <c r="X215" s="549">
        <v>1000</v>
      </c>
      <c r="Y215" s="549">
        <v>1000</v>
      </c>
      <c r="Z215" s="549">
        <v>1000</v>
      </c>
      <c r="AA215" s="446"/>
      <c r="AB215" s="447"/>
    </row>
    <row r="216" spans="1:127" x14ac:dyDescent="0.2">
      <c r="B216" s="445"/>
      <c r="C216" s="534"/>
      <c r="D216" s="544" t="str">
        <f>IF($F$206=1,"VCR - N/A",$D$53)</f>
        <v>Option 1: Provide In Meter Capabilities</v>
      </c>
      <c r="E216" s="560" t="str">
        <f t="shared" si="40"/>
        <v>(MWh)</v>
      </c>
      <c r="F216" s="281"/>
      <c r="G216" s="549">
        <v>1000</v>
      </c>
      <c r="H216" s="549">
        <v>1000</v>
      </c>
      <c r="I216" s="549">
        <v>1000</v>
      </c>
      <c r="J216" s="549">
        <v>1000</v>
      </c>
      <c r="K216" s="549">
        <v>1000</v>
      </c>
      <c r="L216" s="549">
        <v>1000</v>
      </c>
      <c r="M216" s="549">
        <v>1000</v>
      </c>
      <c r="N216" s="549">
        <v>1000</v>
      </c>
      <c r="O216" s="549">
        <v>1000</v>
      </c>
      <c r="P216" s="549">
        <v>1000</v>
      </c>
      <c r="Q216" s="549">
        <v>1000</v>
      </c>
      <c r="R216" s="549">
        <v>1000</v>
      </c>
      <c r="S216" s="549">
        <v>1000</v>
      </c>
      <c r="T216" s="549">
        <v>1000</v>
      </c>
      <c r="U216" s="549">
        <v>1000</v>
      </c>
      <c r="V216" s="549">
        <v>1000</v>
      </c>
      <c r="W216" s="549">
        <v>1000</v>
      </c>
      <c r="X216" s="549">
        <v>1000</v>
      </c>
      <c r="Y216" s="549">
        <v>1000</v>
      </c>
      <c r="Z216" s="549">
        <v>1000</v>
      </c>
      <c r="AA216" s="446"/>
      <c r="AB216" s="447"/>
    </row>
    <row r="217" spans="1:127" x14ac:dyDescent="0.2">
      <c r="B217" s="445"/>
      <c r="C217" s="534"/>
      <c r="D217" s="544" t="str">
        <f>IF($F$206=1,"VCR - N/A",$D$82)</f>
        <v>Option 2: Provide In Meter Capabilities with Near Real-time Centralised Analytics</v>
      </c>
      <c r="E217" s="560" t="str">
        <f t="shared" si="40"/>
        <v>(MWh)</v>
      </c>
      <c r="F217" s="281"/>
      <c r="G217" s="549">
        <v>1000</v>
      </c>
      <c r="H217" s="549">
        <v>1000</v>
      </c>
      <c r="I217" s="549">
        <v>1000</v>
      </c>
      <c r="J217" s="549">
        <v>1000</v>
      </c>
      <c r="K217" s="549">
        <v>1000</v>
      </c>
      <c r="L217" s="549">
        <v>1000</v>
      </c>
      <c r="M217" s="549">
        <v>1000</v>
      </c>
      <c r="N217" s="549">
        <v>1000</v>
      </c>
      <c r="O217" s="549">
        <v>1000</v>
      </c>
      <c r="P217" s="549">
        <v>1000</v>
      </c>
      <c r="Q217" s="549">
        <v>1000</v>
      </c>
      <c r="R217" s="549">
        <v>1000</v>
      </c>
      <c r="S217" s="549">
        <v>1000</v>
      </c>
      <c r="T217" s="549">
        <v>1000</v>
      </c>
      <c r="U217" s="549">
        <v>1000</v>
      </c>
      <c r="V217" s="549">
        <v>1000</v>
      </c>
      <c r="W217" s="549">
        <v>1000</v>
      </c>
      <c r="X217" s="549">
        <v>1000</v>
      </c>
      <c r="Y217" s="549">
        <v>1000</v>
      </c>
      <c r="Z217" s="549">
        <v>1000</v>
      </c>
      <c r="AA217" s="446"/>
      <c r="AB217" s="447"/>
    </row>
    <row r="218" spans="1:127" x14ac:dyDescent="0.2">
      <c r="B218" s="445"/>
      <c r="C218" s="534"/>
      <c r="D218" s="544" t="str">
        <f>IF($F$206=1,"VCR - N/A",$D$111)</f>
        <v xml:space="preserve">Option 3: </v>
      </c>
      <c r="E218" s="560" t="str">
        <f t="shared" si="40"/>
        <v>(MWh)</v>
      </c>
      <c r="F218" s="281"/>
      <c r="G218" s="549">
        <v>1000</v>
      </c>
      <c r="H218" s="549">
        <v>1000</v>
      </c>
      <c r="I218" s="549">
        <v>1000</v>
      </c>
      <c r="J218" s="549">
        <v>1000</v>
      </c>
      <c r="K218" s="549">
        <v>1000</v>
      </c>
      <c r="L218" s="549">
        <v>1000</v>
      </c>
      <c r="M218" s="549">
        <v>1000</v>
      </c>
      <c r="N218" s="549">
        <v>1000</v>
      </c>
      <c r="O218" s="549">
        <v>1000</v>
      </c>
      <c r="P218" s="549">
        <v>1000</v>
      </c>
      <c r="Q218" s="549">
        <v>1000</v>
      </c>
      <c r="R218" s="549">
        <v>1000</v>
      </c>
      <c r="S218" s="549">
        <v>1000</v>
      </c>
      <c r="T218" s="549">
        <v>1000</v>
      </c>
      <c r="U218" s="549">
        <v>1000</v>
      </c>
      <c r="V218" s="549">
        <v>1000</v>
      </c>
      <c r="W218" s="549">
        <v>1000</v>
      </c>
      <c r="X218" s="549">
        <v>1000</v>
      </c>
      <c r="Y218" s="549">
        <v>1000</v>
      </c>
      <c r="Z218" s="549">
        <v>1000</v>
      </c>
      <c r="AA218" s="446"/>
      <c r="AB218" s="447"/>
    </row>
    <row r="219" spans="1:127" x14ac:dyDescent="0.2">
      <c r="B219" s="445"/>
      <c r="C219" s="534"/>
      <c r="D219" s="544" t="str">
        <f>IF($F$206=1,"VCR - N/A",$D$140)</f>
        <v xml:space="preserve">Option 4: </v>
      </c>
      <c r="E219" s="560" t="str">
        <f t="shared" si="40"/>
        <v>(MWh)</v>
      </c>
      <c r="F219" s="281"/>
      <c r="G219" s="549">
        <v>1000</v>
      </c>
      <c r="H219" s="549">
        <v>1000</v>
      </c>
      <c r="I219" s="549">
        <v>1000</v>
      </c>
      <c r="J219" s="549">
        <v>1000</v>
      </c>
      <c r="K219" s="549">
        <v>1000</v>
      </c>
      <c r="L219" s="549">
        <v>1000</v>
      </c>
      <c r="M219" s="549">
        <v>1000</v>
      </c>
      <c r="N219" s="549">
        <v>1000</v>
      </c>
      <c r="O219" s="549">
        <v>1000</v>
      </c>
      <c r="P219" s="549">
        <v>1000</v>
      </c>
      <c r="Q219" s="549">
        <v>1000</v>
      </c>
      <c r="R219" s="549">
        <v>1000</v>
      </c>
      <c r="S219" s="549">
        <v>1000</v>
      </c>
      <c r="T219" s="549">
        <v>1000</v>
      </c>
      <c r="U219" s="549">
        <v>1000</v>
      </c>
      <c r="V219" s="549">
        <v>1000</v>
      </c>
      <c r="W219" s="549">
        <v>1000</v>
      </c>
      <c r="X219" s="549">
        <v>1000</v>
      </c>
      <c r="Y219" s="549">
        <v>1000</v>
      </c>
      <c r="Z219" s="549">
        <v>1000</v>
      </c>
      <c r="AA219" s="446"/>
      <c r="AB219" s="447"/>
    </row>
    <row r="220" spans="1:127" x14ac:dyDescent="0.2">
      <c r="B220" s="445"/>
      <c r="C220" s="534"/>
      <c r="D220" s="544" t="str">
        <f>IF($F$206=1,"VCR - N/A",$D$169)</f>
        <v xml:space="preserve">Option 5: </v>
      </c>
      <c r="E220" s="560" t="str">
        <f t="shared" si="40"/>
        <v>(MWh)</v>
      </c>
      <c r="F220" s="281"/>
      <c r="G220" s="549">
        <v>1000</v>
      </c>
      <c r="H220" s="549">
        <v>1000</v>
      </c>
      <c r="I220" s="549">
        <v>1000</v>
      </c>
      <c r="J220" s="549">
        <v>1000</v>
      </c>
      <c r="K220" s="549">
        <v>1000</v>
      </c>
      <c r="L220" s="549">
        <v>1000</v>
      </c>
      <c r="M220" s="549">
        <v>1000</v>
      </c>
      <c r="N220" s="549">
        <v>1000</v>
      </c>
      <c r="O220" s="549">
        <v>1000</v>
      </c>
      <c r="P220" s="549">
        <v>1000</v>
      </c>
      <c r="Q220" s="549">
        <v>1000</v>
      </c>
      <c r="R220" s="549">
        <v>1000</v>
      </c>
      <c r="S220" s="549">
        <v>1000</v>
      </c>
      <c r="T220" s="549">
        <v>1000</v>
      </c>
      <c r="U220" s="549">
        <v>1000</v>
      </c>
      <c r="V220" s="549">
        <v>1000</v>
      </c>
      <c r="W220" s="549">
        <v>1000</v>
      </c>
      <c r="X220" s="549">
        <v>1000</v>
      </c>
      <c r="Y220" s="549">
        <v>1000</v>
      </c>
      <c r="Z220" s="549">
        <v>1000</v>
      </c>
      <c r="AA220" s="446"/>
      <c r="AB220" s="447"/>
    </row>
    <row r="221" spans="1:127" x14ac:dyDescent="0.2">
      <c r="B221" s="445"/>
      <c r="C221" s="534"/>
      <c r="D221" s="567">
        <f>IF(F206=1,"Reliability corrective actions are not capacity requirements therefore there is zero VCR benefit.",0)</f>
        <v>0</v>
      </c>
      <c r="E221" s="516"/>
      <c r="F221" s="446"/>
      <c r="G221" s="446"/>
      <c r="H221" s="446"/>
      <c r="I221" s="446"/>
      <c r="J221" s="446"/>
      <c r="K221" s="446"/>
      <c r="L221" s="446"/>
      <c r="M221" s="446"/>
      <c r="N221" s="446"/>
      <c r="O221" s="446"/>
      <c r="P221" s="446"/>
      <c r="Q221" s="446"/>
      <c r="R221" s="446"/>
      <c r="S221" s="446"/>
      <c r="T221" s="446"/>
      <c r="U221" s="446"/>
      <c r="V221" s="446"/>
      <c r="W221" s="446"/>
      <c r="X221" s="446"/>
      <c r="Y221" s="446"/>
      <c r="Z221" s="446"/>
      <c r="AA221" s="446"/>
      <c r="AB221" s="447"/>
    </row>
    <row r="222" spans="1:127" s="343" customFormat="1" x14ac:dyDescent="0.2">
      <c r="A222" s="515"/>
      <c r="B222" s="445"/>
      <c r="C222" s="534">
        <v>2</v>
      </c>
      <c r="D222" s="559" t="s">
        <v>211</v>
      </c>
      <c r="E222" s="562" t="s">
        <v>214</v>
      </c>
      <c r="F222" s="563"/>
      <c r="G222" s="563">
        <f t="shared" ref="G222:Z222" si="41">G$186</f>
        <v>2021</v>
      </c>
      <c r="H222" s="563">
        <f t="shared" si="41"/>
        <v>2022</v>
      </c>
      <c r="I222" s="563">
        <f t="shared" si="41"/>
        <v>2023</v>
      </c>
      <c r="J222" s="563">
        <f t="shared" si="41"/>
        <v>2024</v>
      </c>
      <c r="K222" s="563">
        <f t="shared" si="41"/>
        <v>2025</v>
      </c>
      <c r="L222" s="563">
        <f t="shared" si="41"/>
        <v>2026</v>
      </c>
      <c r="M222" s="563">
        <f t="shared" si="41"/>
        <v>2027</v>
      </c>
      <c r="N222" s="563">
        <f t="shared" si="41"/>
        <v>2028</v>
      </c>
      <c r="O222" s="563">
        <f t="shared" si="41"/>
        <v>2029</v>
      </c>
      <c r="P222" s="563">
        <f t="shared" si="41"/>
        <v>2030</v>
      </c>
      <c r="Q222" s="563">
        <f t="shared" si="41"/>
        <v>2031</v>
      </c>
      <c r="R222" s="563">
        <f t="shared" si="41"/>
        <v>2032</v>
      </c>
      <c r="S222" s="563">
        <f t="shared" si="41"/>
        <v>2033</v>
      </c>
      <c r="T222" s="563">
        <f t="shared" si="41"/>
        <v>2034</v>
      </c>
      <c r="U222" s="563">
        <f t="shared" si="41"/>
        <v>2035</v>
      </c>
      <c r="V222" s="563">
        <f t="shared" si="41"/>
        <v>2036</v>
      </c>
      <c r="W222" s="563">
        <f t="shared" si="41"/>
        <v>2037</v>
      </c>
      <c r="X222" s="563">
        <f t="shared" si="41"/>
        <v>2038</v>
      </c>
      <c r="Y222" s="563">
        <f t="shared" si="41"/>
        <v>2039</v>
      </c>
      <c r="Z222" s="563">
        <f t="shared" si="41"/>
        <v>2040</v>
      </c>
      <c r="AA222" s="446"/>
      <c r="AB222" s="447"/>
      <c r="AC222" s="515"/>
      <c r="AD222" s="515"/>
      <c r="AE222" s="515"/>
      <c r="AF222" s="515"/>
      <c r="AG222" s="515"/>
      <c r="AH222" s="515"/>
      <c r="AI222" s="515"/>
      <c r="AJ222" s="515"/>
      <c r="AK222" s="515"/>
      <c r="AL222" s="515"/>
      <c r="AM222" s="515"/>
      <c r="AN222" s="515"/>
      <c r="AO222" s="515"/>
      <c r="AP222" s="515"/>
      <c r="AQ222" s="515"/>
      <c r="AR222" s="515"/>
      <c r="AS222" s="515"/>
      <c r="AT222" s="515"/>
      <c r="AU222" s="515"/>
      <c r="AV222" s="515"/>
      <c r="AW222" s="515"/>
      <c r="AX222" s="515"/>
      <c r="AY222" s="515"/>
      <c r="AZ222" s="515"/>
      <c r="BA222" s="515"/>
      <c r="BB222" s="515"/>
      <c r="BC222" s="515"/>
      <c r="BD222" s="515"/>
      <c r="BE222" s="515"/>
      <c r="BF222" s="515"/>
      <c r="BG222" s="515"/>
      <c r="BH222" s="515"/>
      <c r="BI222" s="515"/>
      <c r="BJ222" s="515"/>
      <c r="BK222" s="515"/>
      <c r="BL222" s="515"/>
      <c r="BM222" s="515"/>
      <c r="BN222" s="515"/>
      <c r="BO222" s="515"/>
      <c r="BP222" s="515"/>
      <c r="BQ222" s="515"/>
      <c r="BR222" s="515"/>
      <c r="BS222" s="515"/>
      <c r="BT222" s="515"/>
      <c r="BU222" s="515"/>
      <c r="BV222" s="515"/>
      <c r="BW222" s="515"/>
      <c r="BX222" s="515"/>
      <c r="BY222" s="515"/>
      <c r="BZ222" s="515"/>
      <c r="CA222" s="515"/>
      <c r="CB222" s="515"/>
      <c r="CC222" s="515"/>
      <c r="CD222" s="515"/>
      <c r="CE222" s="515"/>
      <c r="CF222" s="515"/>
      <c r="CG222" s="515"/>
      <c r="CH222" s="515"/>
      <c r="CI222" s="515"/>
      <c r="CJ222" s="515"/>
      <c r="CK222" s="515"/>
      <c r="CL222" s="515"/>
      <c r="CM222" s="515"/>
      <c r="CN222" s="515"/>
      <c r="CO222" s="515"/>
      <c r="CP222" s="515"/>
      <c r="CQ222" s="515"/>
      <c r="CR222" s="515"/>
      <c r="CS222" s="515"/>
      <c r="CT222" s="515"/>
      <c r="CU222" s="515"/>
      <c r="CV222" s="515"/>
      <c r="CW222" s="515"/>
      <c r="CX222" s="515"/>
      <c r="CY222" s="515"/>
      <c r="CZ222" s="515"/>
      <c r="DA222" s="515"/>
      <c r="DB222" s="515"/>
      <c r="DC222" s="515"/>
      <c r="DD222" s="515"/>
      <c r="DE222" s="515"/>
      <c r="DF222" s="515"/>
      <c r="DG222" s="515"/>
      <c r="DH222" s="515"/>
      <c r="DI222" s="515"/>
      <c r="DJ222" s="515"/>
      <c r="DK222" s="515"/>
      <c r="DL222" s="515"/>
      <c r="DM222" s="515"/>
      <c r="DN222" s="515"/>
      <c r="DO222" s="515"/>
      <c r="DP222" s="515"/>
      <c r="DQ222" s="515"/>
      <c r="DR222" s="515"/>
      <c r="DS222" s="515"/>
      <c r="DT222" s="515"/>
      <c r="DU222" s="515"/>
      <c r="DV222" s="515"/>
      <c r="DW222" s="515"/>
    </row>
    <row r="223" spans="1:127" x14ac:dyDescent="0.2">
      <c r="B223" s="445"/>
      <c r="C223" s="534"/>
      <c r="D223" s="544" t="str">
        <f>$D$24</f>
        <v>"Status Quo" Reference Case</v>
      </c>
      <c r="E223" s="560" t="s">
        <v>174</v>
      </c>
      <c r="F223" s="281"/>
      <c r="G223" s="549"/>
      <c r="H223" s="549"/>
      <c r="I223" s="549"/>
      <c r="J223" s="549"/>
      <c r="K223" s="549"/>
      <c r="L223" s="549"/>
      <c r="M223" s="549"/>
      <c r="N223" s="549"/>
      <c r="O223" s="549"/>
      <c r="P223" s="549"/>
      <c r="Q223" s="549"/>
      <c r="R223" s="549"/>
      <c r="S223" s="549"/>
      <c r="T223" s="549"/>
      <c r="U223" s="549"/>
      <c r="V223" s="549"/>
      <c r="W223" s="549"/>
      <c r="X223" s="549"/>
      <c r="Y223" s="549"/>
      <c r="Z223" s="549"/>
      <c r="AA223" s="446"/>
      <c r="AB223" s="447"/>
    </row>
    <row r="224" spans="1:127" x14ac:dyDescent="0.2">
      <c r="B224" s="445"/>
      <c r="C224" s="534"/>
      <c r="D224" s="544" t="str">
        <f>$D$53</f>
        <v>Option 1: Provide In Meter Capabilities</v>
      </c>
      <c r="E224" s="560" t="s">
        <v>174</v>
      </c>
      <c r="F224" s="281"/>
      <c r="G224" s="549"/>
      <c r="H224" s="549"/>
      <c r="I224" s="549"/>
      <c r="J224" s="549"/>
      <c r="K224" s="549"/>
      <c r="L224" s="549"/>
      <c r="M224" s="549"/>
      <c r="N224" s="549"/>
      <c r="O224" s="549"/>
      <c r="P224" s="549"/>
      <c r="Q224" s="549"/>
      <c r="R224" s="549"/>
      <c r="S224" s="549"/>
      <c r="T224" s="549"/>
      <c r="U224" s="549"/>
      <c r="V224" s="549"/>
      <c r="W224" s="549"/>
      <c r="X224" s="549"/>
      <c r="Y224" s="549"/>
      <c r="Z224" s="549"/>
      <c r="AA224" s="446"/>
      <c r="AB224" s="447"/>
    </row>
    <row r="225" spans="1:127" x14ac:dyDescent="0.2">
      <c r="B225" s="445"/>
      <c r="C225" s="534"/>
      <c r="D225" s="544" t="str">
        <f>$D$82</f>
        <v>Option 2: Provide In Meter Capabilities with Near Real-time Centralised Analytics</v>
      </c>
      <c r="E225" s="560" t="s">
        <v>174</v>
      </c>
      <c r="F225" s="281"/>
      <c r="G225" s="550"/>
      <c r="H225" s="550"/>
      <c r="I225" s="550"/>
      <c r="J225" s="550"/>
      <c r="K225" s="550"/>
      <c r="L225" s="550"/>
      <c r="M225" s="550"/>
      <c r="N225" s="550"/>
      <c r="O225" s="550"/>
      <c r="P225" s="550"/>
      <c r="Q225" s="550"/>
      <c r="R225" s="550"/>
      <c r="S225" s="550"/>
      <c r="T225" s="550"/>
      <c r="U225" s="550"/>
      <c r="V225" s="550"/>
      <c r="W225" s="550"/>
      <c r="X225" s="550"/>
      <c r="Y225" s="550"/>
      <c r="Z225" s="550"/>
      <c r="AA225" s="446"/>
      <c r="AB225" s="447"/>
    </row>
    <row r="226" spans="1:127" x14ac:dyDescent="0.2">
      <c r="B226" s="445"/>
      <c r="C226" s="534"/>
      <c r="D226" s="544" t="str">
        <f>$D$111</f>
        <v xml:space="preserve">Option 3: </v>
      </c>
      <c r="E226" s="560" t="s">
        <v>174</v>
      </c>
      <c r="F226" s="281"/>
      <c r="G226" s="550"/>
      <c r="H226" s="550"/>
      <c r="I226" s="550"/>
      <c r="J226" s="550"/>
      <c r="K226" s="550"/>
      <c r="L226" s="550"/>
      <c r="M226" s="550"/>
      <c r="N226" s="550"/>
      <c r="O226" s="550"/>
      <c r="P226" s="550"/>
      <c r="Q226" s="550"/>
      <c r="R226" s="550"/>
      <c r="S226" s="550"/>
      <c r="T226" s="550"/>
      <c r="U226" s="550"/>
      <c r="V226" s="550"/>
      <c r="W226" s="550"/>
      <c r="X226" s="550"/>
      <c r="Y226" s="550"/>
      <c r="Z226" s="550"/>
      <c r="AA226" s="446"/>
      <c r="AB226" s="447"/>
    </row>
    <row r="227" spans="1:127" x14ac:dyDescent="0.2">
      <c r="B227" s="445"/>
      <c r="C227" s="534"/>
      <c r="D227" s="544" t="str">
        <f>$D$140</f>
        <v xml:space="preserve">Option 4: </v>
      </c>
      <c r="E227" s="560" t="s">
        <v>174</v>
      </c>
      <c r="F227" s="281"/>
      <c r="G227" s="550"/>
      <c r="H227" s="550"/>
      <c r="I227" s="550"/>
      <c r="J227" s="550"/>
      <c r="K227" s="550"/>
      <c r="L227" s="550"/>
      <c r="M227" s="550"/>
      <c r="N227" s="550"/>
      <c r="O227" s="550"/>
      <c r="P227" s="550"/>
      <c r="Q227" s="550"/>
      <c r="R227" s="550"/>
      <c r="S227" s="550"/>
      <c r="T227" s="550"/>
      <c r="U227" s="550"/>
      <c r="V227" s="550"/>
      <c r="W227" s="550"/>
      <c r="X227" s="550"/>
      <c r="Y227" s="550"/>
      <c r="Z227" s="550"/>
      <c r="AA227" s="446"/>
      <c r="AB227" s="447"/>
    </row>
    <row r="228" spans="1:127" x14ac:dyDescent="0.2">
      <c r="B228" s="445"/>
      <c r="C228" s="534"/>
      <c r="D228" s="544" t="str">
        <f>$D$169</f>
        <v xml:space="preserve">Option 5: </v>
      </c>
      <c r="E228" s="560" t="s">
        <v>174</v>
      </c>
      <c r="F228" s="281"/>
      <c r="G228" s="549"/>
      <c r="H228" s="549"/>
      <c r="I228" s="549"/>
      <c r="J228" s="549"/>
      <c r="K228" s="549"/>
      <c r="L228" s="549"/>
      <c r="M228" s="549"/>
      <c r="N228" s="549"/>
      <c r="O228" s="549"/>
      <c r="P228" s="549"/>
      <c r="Q228" s="549"/>
      <c r="R228" s="549"/>
      <c r="S228" s="549"/>
      <c r="T228" s="549"/>
      <c r="U228" s="549"/>
      <c r="V228" s="549"/>
      <c r="W228" s="549"/>
      <c r="X228" s="549"/>
      <c r="Y228" s="549"/>
      <c r="Z228" s="549"/>
      <c r="AA228" s="446"/>
      <c r="AB228" s="447"/>
    </row>
    <row r="229" spans="1:127" x14ac:dyDescent="0.2">
      <c r="B229" s="445"/>
      <c r="C229" s="534"/>
      <c r="D229" s="568"/>
      <c r="E229" s="516"/>
      <c r="F229" s="516"/>
      <c r="G229" s="516"/>
      <c r="H229" s="516"/>
      <c r="I229" s="516"/>
      <c r="J229" s="516"/>
      <c r="K229" s="516"/>
      <c r="L229" s="516"/>
      <c r="M229" s="516"/>
      <c r="N229" s="516"/>
      <c r="O229" s="516"/>
      <c r="P229" s="516"/>
      <c r="Q229" s="516"/>
      <c r="R229" s="516"/>
      <c r="S229" s="516"/>
      <c r="T229" s="516"/>
      <c r="U229" s="516"/>
      <c r="V229" s="516"/>
      <c r="W229" s="516"/>
      <c r="X229" s="516"/>
      <c r="Y229" s="516"/>
      <c r="Z229" s="516"/>
      <c r="AA229" s="446"/>
      <c r="AB229" s="447"/>
    </row>
    <row r="230" spans="1:127" x14ac:dyDescent="0.2">
      <c r="B230" s="445"/>
      <c r="C230" s="534">
        <v>3</v>
      </c>
      <c r="D230" s="559" t="s">
        <v>212</v>
      </c>
      <c r="E230" s="562" t="s">
        <v>215</v>
      </c>
      <c r="F230" s="563"/>
      <c r="G230" s="563">
        <f t="shared" ref="G230:Z230" si="42">G$186</f>
        <v>2021</v>
      </c>
      <c r="H230" s="563">
        <f t="shared" si="42"/>
        <v>2022</v>
      </c>
      <c r="I230" s="563">
        <f t="shared" si="42"/>
        <v>2023</v>
      </c>
      <c r="J230" s="563">
        <f t="shared" si="42"/>
        <v>2024</v>
      </c>
      <c r="K230" s="563">
        <f t="shared" si="42"/>
        <v>2025</v>
      </c>
      <c r="L230" s="563">
        <f t="shared" si="42"/>
        <v>2026</v>
      </c>
      <c r="M230" s="563">
        <f t="shared" si="42"/>
        <v>2027</v>
      </c>
      <c r="N230" s="563">
        <f t="shared" si="42"/>
        <v>2028</v>
      </c>
      <c r="O230" s="563">
        <f t="shared" si="42"/>
        <v>2029</v>
      </c>
      <c r="P230" s="563">
        <f t="shared" si="42"/>
        <v>2030</v>
      </c>
      <c r="Q230" s="563">
        <f t="shared" si="42"/>
        <v>2031</v>
      </c>
      <c r="R230" s="563">
        <f t="shared" si="42"/>
        <v>2032</v>
      </c>
      <c r="S230" s="563">
        <f t="shared" si="42"/>
        <v>2033</v>
      </c>
      <c r="T230" s="563">
        <f t="shared" si="42"/>
        <v>2034</v>
      </c>
      <c r="U230" s="563">
        <f t="shared" si="42"/>
        <v>2035</v>
      </c>
      <c r="V230" s="563">
        <f t="shared" si="42"/>
        <v>2036</v>
      </c>
      <c r="W230" s="563">
        <f t="shared" si="42"/>
        <v>2037</v>
      </c>
      <c r="X230" s="563">
        <f t="shared" si="42"/>
        <v>2038</v>
      </c>
      <c r="Y230" s="563">
        <f t="shared" si="42"/>
        <v>2039</v>
      </c>
      <c r="Z230" s="563">
        <f t="shared" si="42"/>
        <v>2040</v>
      </c>
      <c r="AA230" s="446"/>
      <c r="AB230" s="447"/>
    </row>
    <row r="231" spans="1:127" x14ac:dyDescent="0.2">
      <c r="B231" s="445"/>
      <c r="C231" s="534"/>
      <c r="D231" s="544" t="str">
        <f>$D$24</f>
        <v>"Status Quo" Reference Case</v>
      </c>
      <c r="E231" s="560" t="s">
        <v>104</v>
      </c>
      <c r="F231" s="281"/>
      <c r="G231" s="549"/>
      <c r="H231" s="549"/>
      <c r="I231" s="549"/>
      <c r="J231" s="549"/>
      <c r="K231" s="549"/>
      <c r="L231" s="549"/>
      <c r="M231" s="549"/>
      <c r="N231" s="549"/>
      <c r="O231" s="549"/>
      <c r="P231" s="549"/>
      <c r="Q231" s="549"/>
      <c r="R231" s="549"/>
      <c r="S231" s="549"/>
      <c r="T231" s="549"/>
      <c r="U231" s="549"/>
      <c r="V231" s="549"/>
      <c r="W231" s="549"/>
      <c r="X231" s="549"/>
      <c r="Y231" s="549"/>
      <c r="Z231" s="549"/>
      <c r="AA231" s="446"/>
      <c r="AB231" s="447"/>
    </row>
    <row r="232" spans="1:127" x14ac:dyDescent="0.2">
      <c r="B232" s="445"/>
      <c r="C232" s="534"/>
      <c r="D232" s="544" t="str">
        <f>$D$53</f>
        <v>Option 1: Provide In Meter Capabilities</v>
      </c>
      <c r="E232" s="560" t="s">
        <v>104</v>
      </c>
      <c r="F232" s="281"/>
      <c r="G232" s="549"/>
      <c r="H232" s="549"/>
      <c r="I232" s="549"/>
      <c r="J232" s="549"/>
      <c r="K232" s="549"/>
      <c r="L232" s="549"/>
      <c r="M232" s="549"/>
      <c r="N232" s="549"/>
      <c r="O232" s="549"/>
      <c r="P232" s="549"/>
      <c r="Q232" s="549"/>
      <c r="R232" s="549"/>
      <c r="S232" s="549"/>
      <c r="T232" s="549"/>
      <c r="U232" s="549"/>
      <c r="V232" s="549"/>
      <c r="W232" s="549"/>
      <c r="X232" s="549"/>
      <c r="Y232" s="549"/>
      <c r="Z232" s="549"/>
      <c r="AA232" s="446"/>
      <c r="AB232" s="447"/>
    </row>
    <row r="233" spans="1:127" x14ac:dyDescent="0.2">
      <c r="B233" s="445"/>
      <c r="C233" s="534"/>
      <c r="D233" s="544" t="str">
        <f>$D$82</f>
        <v>Option 2: Provide In Meter Capabilities with Near Real-time Centralised Analytics</v>
      </c>
      <c r="E233" s="560" t="s">
        <v>104</v>
      </c>
      <c r="F233" s="281"/>
      <c r="G233" s="550"/>
      <c r="H233" s="550"/>
      <c r="I233" s="550"/>
      <c r="J233" s="550"/>
      <c r="K233" s="550"/>
      <c r="L233" s="550"/>
      <c r="M233" s="550"/>
      <c r="N233" s="550"/>
      <c r="O233" s="550"/>
      <c r="P233" s="550"/>
      <c r="Q233" s="550"/>
      <c r="R233" s="550"/>
      <c r="S233" s="550"/>
      <c r="T233" s="550"/>
      <c r="U233" s="550"/>
      <c r="V233" s="550"/>
      <c r="W233" s="550"/>
      <c r="X233" s="550"/>
      <c r="Y233" s="550"/>
      <c r="Z233" s="550"/>
      <c r="AA233" s="446"/>
      <c r="AB233" s="447"/>
    </row>
    <row r="234" spans="1:127" x14ac:dyDescent="0.2">
      <c r="B234" s="445"/>
      <c r="C234" s="534"/>
      <c r="D234" s="544" t="str">
        <f>$D$111</f>
        <v xml:space="preserve">Option 3: </v>
      </c>
      <c r="E234" s="560" t="s">
        <v>104</v>
      </c>
      <c r="F234" s="281"/>
      <c r="G234" s="550"/>
      <c r="H234" s="550"/>
      <c r="I234" s="550"/>
      <c r="J234" s="550"/>
      <c r="K234" s="550"/>
      <c r="L234" s="550"/>
      <c r="M234" s="550"/>
      <c r="N234" s="550"/>
      <c r="O234" s="550"/>
      <c r="P234" s="550"/>
      <c r="Q234" s="550"/>
      <c r="R234" s="550"/>
      <c r="S234" s="550"/>
      <c r="T234" s="550"/>
      <c r="U234" s="550"/>
      <c r="V234" s="550"/>
      <c r="W234" s="550"/>
      <c r="X234" s="550"/>
      <c r="Y234" s="550"/>
      <c r="Z234" s="550"/>
      <c r="AA234" s="446"/>
      <c r="AB234" s="447"/>
    </row>
    <row r="235" spans="1:127" x14ac:dyDescent="0.2">
      <c r="B235" s="445"/>
      <c r="C235" s="534"/>
      <c r="D235" s="544" t="str">
        <f>$D$140</f>
        <v xml:space="preserve">Option 4: </v>
      </c>
      <c r="E235" s="560" t="s">
        <v>104</v>
      </c>
      <c r="F235" s="281"/>
      <c r="G235" s="550"/>
      <c r="H235" s="550"/>
      <c r="I235" s="550"/>
      <c r="J235" s="550"/>
      <c r="K235" s="550"/>
      <c r="L235" s="550"/>
      <c r="M235" s="550"/>
      <c r="N235" s="550"/>
      <c r="O235" s="550"/>
      <c r="P235" s="550"/>
      <c r="Q235" s="550"/>
      <c r="R235" s="550"/>
      <c r="S235" s="550"/>
      <c r="T235" s="550"/>
      <c r="U235" s="550"/>
      <c r="V235" s="550"/>
      <c r="W235" s="550"/>
      <c r="X235" s="550"/>
      <c r="Y235" s="550"/>
      <c r="Z235" s="550"/>
      <c r="AA235" s="446"/>
      <c r="AB235" s="447"/>
    </row>
    <row r="236" spans="1:127" x14ac:dyDescent="0.2">
      <c r="B236" s="445"/>
      <c r="C236" s="534"/>
      <c r="D236" s="544" t="str">
        <f>$D$169</f>
        <v xml:space="preserve">Option 5: </v>
      </c>
      <c r="E236" s="560" t="s">
        <v>104</v>
      </c>
      <c r="F236" s="281"/>
      <c r="G236" s="549"/>
      <c r="H236" s="549"/>
      <c r="I236" s="549"/>
      <c r="J236" s="549"/>
      <c r="K236" s="549"/>
      <c r="L236" s="549"/>
      <c r="M236" s="549"/>
      <c r="N236" s="549"/>
      <c r="O236" s="549"/>
      <c r="P236" s="549"/>
      <c r="Q236" s="549"/>
      <c r="R236" s="549"/>
      <c r="S236" s="549"/>
      <c r="T236" s="549"/>
      <c r="U236" s="549"/>
      <c r="V236" s="549"/>
      <c r="W236" s="549"/>
      <c r="X236" s="549"/>
      <c r="Y236" s="549"/>
      <c r="Z236" s="549"/>
      <c r="AA236" s="446"/>
      <c r="AB236" s="447"/>
    </row>
    <row r="237" spans="1:127" x14ac:dyDescent="0.2">
      <c r="B237" s="445"/>
      <c r="C237" s="534"/>
      <c r="D237" s="568"/>
      <c r="E237" s="516"/>
      <c r="F237" s="516"/>
      <c r="G237" s="516"/>
      <c r="H237" s="516"/>
      <c r="I237" s="516"/>
      <c r="J237" s="516"/>
      <c r="K237" s="516"/>
      <c r="L237" s="516"/>
      <c r="M237" s="516"/>
      <c r="N237" s="516"/>
      <c r="O237" s="516"/>
      <c r="P237" s="516"/>
      <c r="Q237" s="516"/>
      <c r="R237" s="516"/>
      <c r="S237" s="516"/>
      <c r="T237" s="516"/>
      <c r="U237" s="516"/>
      <c r="V237" s="516"/>
      <c r="W237" s="516"/>
      <c r="X237" s="516"/>
      <c r="Y237" s="516"/>
      <c r="Z237" s="516"/>
      <c r="AA237" s="446"/>
      <c r="AB237" s="447"/>
    </row>
    <row r="238" spans="1:127" x14ac:dyDescent="0.2">
      <c r="B238" s="445"/>
      <c r="C238" s="534">
        <v>4</v>
      </c>
      <c r="D238" s="559" t="s">
        <v>213</v>
      </c>
      <c r="E238" s="562" t="s">
        <v>216</v>
      </c>
      <c r="F238" s="563"/>
      <c r="G238" s="563">
        <f t="shared" ref="G238:Z238" si="43">G$186</f>
        <v>2021</v>
      </c>
      <c r="H238" s="563">
        <f t="shared" si="43"/>
        <v>2022</v>
      </c>
      <c r="I238" s="563">
        <f t="shared" si="43"/>
        <v>2023</v>
      </c>
      <c r="J238" s="563">
        <f t="shared" si="43"/>
        <v>2024</v>
      </c>
      <c r="K238" s="563">
        <f t="shared" si="43"/>
        <v>2025</v>
      </c>
      <c r="L238" s="563">
        <f t="shared" si="43"/>
        <v>2026</v>
      </c>
      <c r="M238" s="563">
        <f t="shared" si="43"/>
        <v>2027</v>
      </c>
      <c r="N238" s="563">
        <f t="shared" si="43"/>
        <v>2028</v>
      </c>
      <c r="O238" s="563">
        <f t="shared" si="43"/>
        <v>2029</v>
      </c>
      <c r="P238" s="563">
        <f t="shared" si="43"/>
        <v>2030</v>
      </c>
      <c r="Q238" s="563">
        <f t="shared" si="43"/>
        <v>2031</v>
      </c>
      <c r="R238" s="563">
        <f t="shared" si="43"/>
        <v>2032</v>
      </c>
      <c r="S238" s="563">
        <f t="shared" si="43"/>
        <v>2033</v>
      </c>
      <c r="T238" s="563">
        <f t="shared" si="43"/>
        <v>2034</v>
      </c>
      <c r="U238" s="563">
        <f t="shared" si="43"/>
        <v>2035</v>
      </c>
      <c r="V238" s="563">
        <f t="shared" si="43"/>
        <v>2036</v>
      </c>
      <c r="W238" s="563">
        <f t="shared" si="43"/>
        <v>2037</v>
      </c>
      <c r="X238" s="563">
        <f t="shared" si="43"/>
        <v>2038</v>
      </c>
      <c r="Y238" s="563">
        <f t="shared" si="43"/>
        <v>2039</v>
      </c>
      <c r="Z238" s="563">
        <f t="shared" si="43"/>
        <v>2040</v>
      </c>
      <c r="AA238" s="446"/>
      <c r="AB238" s="447"/>
    </row>
    <row r="239" spans="1:127" s="343" customFormat="1" x14ac:dyDescent="0.2">
      <c r="A239" s="515"/>
      <c r="B239" s="445"/>
      <c r="C239" s="534"/>
      <c r="D239" s="544" t="str">
        <f>$D$24</f>
        <v>"Status Quo" Reference Case</v>
      </c>
      <c r="E239" s="560" t="s">
        <v>223</v>
      </c>
      <c r="F239" s="580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446"/>
      <c r="AB239" s="447"/>
      <c r="AC239" s="515"/>
      <c r="AD239" s="515"/>
      <c r="AE239" s="515"/>
      <c r="AF239" s="515"/>
      <c r="AG239" s="515"/>
      <c r="AH239" s="515"/>
      <c r="AI239" s="515"/>
      <c r="AJ239" s="515"/>
      <c r="AK239" s="515"/>
      <c r="AL239" s="515"/>
      <c r="AM239" s="515"/>
      <c r="AN239" s="515"/>
      <c r="AO239" s="515"/>
      <c r="AP239" s="515"/>
      <c r="AQ239" s="515"/>
      <c r="AR239" s="515"/>
      <c r="AS239" s="515"/>
      <c r="AT239" s="515"/>
      <c r="AU239" s="515"/>
      <c r="AV239" s="515"/>
      <c r="AW239" s="515"/>
      <c r="AX239" s="515"/>
      <c r="AY239" s="515"/>
      <c r="AZ239" s="515"/>
      <c r="BA239" s="515"/>
      <c r="BB239" s="515"/>
      <c r="BC239" s="515"/>
      <c r="BD239" s="515"/>
      <c r="BE239" s="515"/>
      <c r="BF239" s="515"/>
      <c r="BG239" s="515"/>
      <c r="BH239" s="515"/>
      <c r="BI239" s="515"/>
      <c r="BJ239" s="515"/>
      <c r="BK239" s="515"/>
      <c r="BL239" s="515"/>
      <c r="BM239" s="515"/>
      <c r="BN239" s="515"/>
      <c r="BO239" s="515"/>
      <c r="BP239" s="515"/>
      <c r="BQ239" s="515"/>
      <c r="BR239" s="515"/>
      <c r="BS239" s="515"/>
      <c r="BT239" s="515"/>
      <c r="BU239" s="515"/>
      <c r="BV239" s="515"/>
      <c r="BW239" s="515"/>
      <c r="BX239" s="515"/>
      <c r="BY239" s="515"/>
      <c r="BZ239" s="515"/>
      <c r="CA239" s="515"/>
      <c r="CB239" s="515"/>
      <c r="CC239" s="515"/>
      <c r="CD239" s="515"/>
      <c r="CE239" s="515"/>
      <c r="CF239" s="515"/>
      <c r="CG239" s="515"/>
      <c r="CH239" s="515"/>
      <c r="CI239" s="515"/>
      <c r="CJ239" s="515"/>
      <c r="CK239" s="515"/>
      <c r="CL239" s="515"/>
      <c r="CM239" s="515"/>
      <c r="CN239" s="515"/>
      <c r="CO239" s="515"/>
      <c r="CP239" s="515"/>
      <c r="CQ239" s="515"/>
      <c r="CR239" s="515"/>
      <c r="CS239" s="515"/>
      <c r="CT239" s="515"/>
      <c r="CU239" s="515"/>
      <c r="CV239" s="515"/>
      <c r="CW239" s="515"/>
      <c r="CX239" s="515"/>
      <c r="CY239" s="515"/>
      <c r="CZ239" s="515"/>
      <c r="DA239" s="515"/>
      <c r="DB239" s="515"/>
      <c r="DC239" s="515"/>
      <c r="DD239" s="515"/>
      <c r="DE239" s="515"/>
      <c r="DF239" s="515"/>
      <c r="DG239" s="515"/>
      <c r="DH239" s="515"/>
      <c r="DI239" s="515"/>
      <c r="DJ239" s="515"/>
      <c r="DK239" s="515"/>
      <c r="DL239" s="515"/>
      <c r="DM239" s="515"/>
      <c r="DN239" s="515"/>
      <c r="DO239" s="515"/>
      <c r="DP239" s="515"/>
      <c r="DQ239" s="515"/>
      <c r="DR239" s="515"/>
      <c r="DS239" s="515"/>
      <c r="DT239" s="515"/>
      <c r="DU239" s="515"/>
      <c r="DV239" s="515"/>
      <c r="DW239" s="515"/>
    </row>
    <row r="240" spans="1:127" s="343" customFormat="1" x14ac:dyDescent="0.2">
      <c r="A240" s="515"/>
      <c r="B240" s="445"/>
      <c r="C240" s="534"/>
      <c r="D240" s="544" t="str">
        <f>$D$53</f>
        <v>Option 1: Provide In Meter Capabilities</v>
      </c>
      <c r="E240" s="560" t="str">
        <f>E239</f>
        <v>Pending AER guideline</v>
      </c>
      <c r="F240" s="580"/>
      <c r="G240" s="581"/>
      <c r="H240" s="581"/>
      <c r="I240" s="581"/>
      <c r="J240" s="581"/>
      <c r="K240" s="581"/>
      <c r="L240" s="581"/>
      <c r="M240" s="581"/>
      <c r="N240" s="581"/>
      <c r="O240" s="581"/>
      <c r="P240" s="581"/>
      <c r="Q240" s="581"/>
      <c r="R240" s="581"/>
      <c r="S240" s="581"/>
      <c r="T240" s="581"/>
      <c r="U240" s="581"/>
      <c r="V240" s="581"/>
      <c r="W240" s="581"/>
      <c r="X240" s="581"/>
      <c r="Y240" s="581"/>
      <c r="Z240" s="581"/>
      <c r="AA240" s="446"/>
      <c r="AB240" s="447"/>
      <c r="AC240" s="515"/>
      <c r="AD240" s="515"/>
      <c r="AE240" s="515"/>
      <c r="AF240" s="515"/>
      <c r="AG240" s="515"/>
      <c r="AH240" s="515"/>
      <c r="AI240" s="515"/>
      <c r="AJ240" s="515"/>
      <c r="AK240" s="515"/>
      <c r="AL240" s="515"/>
      <c r="AM240" s="515"/>
      <c r="AN240" s="515"/>
      <c r="AO240" s="515"/>
      <c r="AP240" s="515"/>
      <c r="AQ240" s="515"/>
      <c r="AR240" s="515"/>
      <c r="AS240" s="515"/>
      <c r="AT240" s="515"/>
      <c r="AU240" s="515"/>
      <c r="AV240" s="515"/>
      <c r="AW240" s="515"/>
      <c r="AX240" s="515"/>
      <c r="AY240" s="515"/>
      <c r="AZ240" s="515"/>
      <c r="BA240" s="515"/>
      <c r="BB240" s="515"/>
      <c r="BC240" s="515"/>
      <c r="BD240" s="515"/>
      <c r="BE240" s="515"/>
      <c r="BF240" s="515"/>
      <c r="BG240" s="515"/>
      <c r="BH240" s="515"/>
      <c r="BI240" s="515"/>
      <c r="BJ240" s="515"/>
      <c r="BK240" s="515"/>
      <c r="BL240" s="515"/>
      <c r="BM240" s="515"/>
      <c r="BN240" s="515"/>
      <c r="BO240" s="515"/>
      <c r="BP240" s="515"/>
      <c r="BQ240" s="515"/>
      <c r="BR240" s="515"/>
      <c r="BS240" s="515"/>
      <c r="BT240" s="515"/>
      <c r="BU240" s="515"/>
      <c r="BV240" s="515"/>
      <c r="BW240" s="515"/>
      <c r="BX240" s="515"/>
      <c r="BY240" s="515"/>
      <c r="BZ240" s="515"/>
      <c r="CA240" s="515"/>
      <c r="CB240" s="515"/>
      <c r="CC240" s="515"/>
      <c r="CD240" s="515"/>
      <c r="CE240" s="515"/>
      <c r="CF240" s="515"/>
      <c r="CG240" s="515"/>
      <c r="CH240" s="515"/>
      <c r="CI240" s="515"/>
      <c r="CJ240" s="515"/>
      <c r="CK240" s="515"/>
      <c r="CL240" s="515"/>
      <c r="CM240" s="515"/>
      <c r="CN240" s="515"/>
      <c r="CO240" s="515"/>
      <c r="CP240" s="515"/>
      <c r="CQ240" s="515"/>
      <c r="CR240" s="515"/>
      <c r="CS240" s="515"/>
      <c r="CT240" s="515"/>
      <c r="CU240" s="515"/>
      <c r="CV240" s="515"/>
      <c r="CW240" s="515"/>
      <c r="CX240" s="515"/>
      <c r="CY240" s="515"/>
      <c r="CZ240" s="515"/>
      <c r="DA240" s="515"/>
      <c r="DB240" s="515"/>
      <c r="DC240" s="515"/>
      <c r="DD240" s="515"/>
      <c r="DE240" s="515"/>
      <c r="DF240" s="515"/>
      <c r="DG240" s="515"/>
      <c r="DH240" s="515"/>
      <c r="DI240" s="515"/>
      <c r="DJ240" s="515"/>
      <c r="DK240" s="515"/>
      <c r="DL240" s="515"/>
      <c r="DM240" s="515"/>
      <c r="DN240" s="515"/>
      <c r="DO240" s="515"/>
      <c r="DP240" s="515"/>
      <c r="DQ240" s="515"/>
      <c r="DR240" s="515"/>
      <c r="DS240" s="515"/>
      <c r="DT240" s="515"/>
      <c r="DU240" s="515"/>
      <c r="DV240" s="515"/>
      <c r="DW240" s="515"/>
    </row>
    <row r="241" spans="1:127" s="343" customFormat="1" x14ac:dyDescent="0.2">
      <c r="A241" s="515"/>
      <c r="B241" s="445"/>
      <c r="C241" s="534"/>
      <c r="D241" s="544" t="str">
        <f>$D$82</f>
        <v>Option 2: Provide In Meter Capabilities with Near Real-time Centralised Analytics</v>
      </c>
      <c r="E241" s="560" t="str">
        <f>E240</f>
        <v>Pending AER guideline</v>
      </c>
      <c r="F241" s="580"/>
      <c r="G241" s="582"/>
      <c r="H241" s="582"/>
      <c r="I241" s="582"/>
      <c r="J241" s="582"/>
      <c r="K241" s="582"/>
      <c r="L241" s="582"/>
      <c r="M241" s="582"/>
      <c r="N241" s="582"/>
      <c r="O241" s="582"/>
      <c r="P241" s="582"/>
      <c r="Q241" s="582"/>
      <c r="R241" s="582"/>
      <c r="S241" s="582"/>
      <c r="T241" s="582"/>
      <c r="U241" s="582"/>
      <c r="V241" s="582"/>
      <c r="W241" s="582"/>
      <c r="X241" s="582"/>
      <c r="Y241" s="582"/>
      <c r="Z241" s="582"/>
      <c r="AA241" s="446"/>
      <c r="AB241" s="447"/>
      <c r="AC241" s="515"/>
      <c r="AD241" s="515"/>
      <c r="AE241" s="515"/>
      <c r="AF241" s="515"/>
      <c r="AG241" s="515"/>
      <c r="AH241" s="515"/>
      <c r="AI241" s="515"/>
      <c r="AJ241" s="515"/>
      <c r="AK241" s="515"/>
      <c r="AL241" s="515"/>
      <c r="AM241" s="515"/>
      <c r="AN241" s="515"/>
      <c r="AO241" s="515"/>
      <c r="AP241" s="515"/>
      <c r="AQ241" s="515"/>
      <c r="AR241" s="515"/>
      <c r="AS241" s="515"/>
      <c r="AT241" s="515"/>
      <c r="AU241" s="515"/>
      <c r="AV241" s="515"/>
      <c r="AW241" s="515"/>
      <c r="AX241" s="515"/>
      <c r="AY241" s="515"/>
      <c r="AZ241" s="515"/>
      <c r="BA241" s="515"/>
      <c r="BB241" s="515"/>
      <c r="BC241" s="515"/>
      <c r="BD241" s="515"/>
      <c r="BE241" s="515"/>
      <c r="BF241" s="515"/>
      <c r="BG241" s="515"/>
      <c r="BH241" s="515"/>
      <c r="BI241" s="515"/>
      <c r="BJ241" s="515"/>
      <c r="BK241" s="515"/>
      <c r="BL241" s="515"/>
      <c r="BM241" s="515"/>
      <c r="BN241" s="515"/>
      <c r="BO241" s="515"/>
      <c r="BP241" s="515"/>
      <c r="BQ241" s="515"/>
      <c r="BR241" s="515"/>
      <c r="BS241" s="515"/>
      <c r="BT241" s="515"/>
      <c r="BU241" s="515"/>
      <c r="BV241" s="515"/>
      <c r="BW241" s="515"/>
      <c r="BX241" s="515"/>
      <c r="BY241" s="515"/>
      <c r="BZ241" s="515"/>
      <c r="CA241" s="515"/>
      <c r="CB241" s="515"/>
      <c r="CC241" s="515"/>
      <c r="CD241" s="515"/>
      <c r="CE241" s="515"/>
      <c r="CF241" s="515"/>
      <c r="CG241" s="515"/>
      <c r="CH241" s="515"/>
      <c r="CI241" s="515"/>
      <c r="CJ241" s="515"/>
      <c r="CK241" s="515"/>
      <c r="CL241" s="515"/>
      <c r="CM241" s="515"/>
      <c r="CN241" s="515"/>
      <c r="CO241" s="515"/>
      <c r="CP241" s="515"/>
      <c r="CQ241" s="515"/>
      <c r="CR241" s="515"/>
      <c r="CS241" s="515"/>
      <c r="CT241" s="515"/>
      <c r="CU241" s="515"/>
      <c r="CV241" s="515"/>
      <c r="CW241" s="515"/>
      <c r="CX241" s="515"/>
      <c r="CY241" s="515"/>
      <c r="CZ241" s="515"/>
      <c r="DA241" s="515"/>
      <c r="DB241" s="515"/>
      <c r="DC241" s="515"/>
      <c r="DD241" s="515"/>
      <c r="DE241" s="515"/>
      <c r="DF241" s="515"/>
      <c r="DG241" s="515"/>
      <c r="DH241" s="515"/>
      <c r="DI241" s="515"/>
      <c r="DJ241" s="515"/>
      <c r="DK241" s="515"/>
      <c r="DL241" s="515"/>
      <c r="DM241" s="515"/>
      <c r="DN241" s="515"/>
      <c r="DO241" s="515"/>
      <c r="DP241" s="515"/>
      <c r="DQ241" s="515"/>
      <c r="DR241" s="515"/>
      <c r="DS241" s="515"/>
      <c r="DT241" s="515"/>
      <c r="DU241" s="515"/>
      <c r="DV241" s="515"/>
      <c r="DW241" s="515"/>
    </row>
    <row r="242" spans="1:127" s="343" customFormat="1" x14ac:dyDescent="0.2">
      <c r="A242" s="515"/>
      <c r="B242" s="445"/>
      <c r="C242" s="534"/>
      <c r="D242" s="544" t="str">
        <f>$D$111</f>
        <v xml:space="preserve">Option 3: </v>
      </c>
      <c r="E242" s="560" t="str">
        <f>E241</f>
        <v>Pending AER guideline</v>
      </c>
      <c r="F242" s="580"/>
      <c r="G242" s="582"/>
      <c r="H242" s="582"/>
      <c r="I242" s="582"/>
      <c r="J242" s="582"/>
      <c r="K242" s="582"/>
      <c r="L242" s="582"/>
      <c r="M242" s="582"/>
      <c r="N242" s="582"/>
      <c r="O242" s="582"/>
      <c r="P242" s="582"/>
      <c r="Q242" s="582"/>
      <c r="R242" s="582"/>
      <c r="S242" s="582"/>
      <c r="T242" s="582"/>
      <c r="U242" s="582"/>
      <c r="V242" s="582"/>
      <c r="W242" s="582"/>
      <c r="X242" s="582"/>
      <c r="Y242" s="582"/>
      <c r="Z242" s="582"/>
      <c r="AA242" s="446"/>
      <c r="AB242" s="447"/>
      <c r="AC242" s="515"/>
      <c r="AD242" s="515"/>
      <c r="AE242" s="515"/>
      <c r="AF242" s="515"/>
      <c r="AG242" s="515"/>
      <c r="AH242" s="515"/>
      <c r="AI242" s="515"/>
      <c r="AJ242" s="515"/>
      <c r="AK242" s="515"/>
      <c r="AL242" s="515"/>
      <c r="AM242" s="515"/>
      <c r="AN242" s="515"/>
      <c r="AO242" s="515"/>
      <c r="AP242" s="515"/>
      <c r="AQ242" s="515"/>
      <c r="AR242" s="515"/>
      <c r="AS242" s="515"/>
      <c r="AT242" s="515"/>
      <c r="AU242" s="515"/>
      <c r="AV242" s="515"/>
      <c r="AW242" s="515"/>
      <c r="AX242" s="515"/>
      <c r="AY242" s="515"/>
      <c r="AZ242" s="515"/>
      <c r="BA242" s="515"/>
      <c r="BB242" s="515"/>
      <c r="BC242" s="515"/>
      <c r="BD242" s="515"/>
      <c r="BE242" s="515"/>
      <c r="BF242" s="515"/>
      <c r="BG242" s="515"/>
      <c r="BH242" s="515"/>
      <c r="BI242" s="515"/>
      <c r="BJ242" s="515"/>
      <c r="BK242" s="515"/>
      <c r="BL242" s="515"/>
      <c r="BM242" s="515"/>
      <c r="BN242" s="515"/>
      <c r="BO242" s="515"/>
      <c r="BP242" s="515"/>
      <c r="BQ242" s="515"/>
      <c r="BR242" s="515"/>
      <c r="BS242" s="515"/>
      <c r="BT242" s="515"/>
      <c r="BU242" s="515"/>
      <c r="BV242" s="515"/>
      <c r="BW242" s="515"/>
      <c r="BX242" s="515"/>
      <c r="BY242" s="515"/>
      <c r="BZ242" s="515"/>
      <c r="CA242" s="515"/>
      <c r="CB242" s="515"/>
      <c r="CC242" s="515"/>
      <c r="CD242" s="515"/>
      <c r="CE242" s="515"/>
      <c r="CF242" s="515"/>
      <c r="CG242" s="515"/>
      <c r="CH242" s="515"/>
      <c r="CI242" s="515"/>
      <c r="CJ242" s="515"/>
      <c r="CK242" s="515"/>
      <c r="CL242" s="515"/>
      <c r="CM242" s="515"/>
      <c r="CN242" s="515"/>
      <c r="CO242" s="515"/>
      <c r="CP242" s="515"/>
      <c r="CQ242" s="515"/>
      <c r="CR242" s="515"/>
      <c r="CS242" s="515"/>
      <c r="CT242" s="515"/>
      <c r="CU242" s="515"/>
      <c r="CV242" s="515"/>
      <c r="CW242" s="515"/>
      <c r="CX242" s="515"/>
      <c r="CY242" s="515"/>
      <c r="CZ242" s="515"/>
      <c r="DA242" s="515"/>
      <c r="DB242" s="515"/>
      <c r="DC242" s="515"/>
      <c r="DD242" s="515"/>
      <c r="DE242" s="515"/>
      <c r="DF242" s="515"/>
      <c r="DG242" s="515"/>
      <c r="DH242" s="515"/>
      <c r="DI242" s="515"/>
      <c r="DJ242" s="515"/>
      <c r="DK242" s="515"/>
      <c r="DL242" s="515"/>
      <c r="DM242" s="515"/>
      <c r="DN242" s="515"/>
      <c r="DO242" s="515"/>
      <c r="DP242" s="515"/>
      <c r="DQ242" s="515"/>
      <c r="DR242" s="515"/>
      <c r="DS242" s="515"/>
      <c r="DT242" s="515"/>
      <c r="DU242" s="515"/>
      <c r="DV242" s="515"/>
      <c r="DW242" s="515"/>
    </row>
    <row r="243" spans="1:127" s="343" customFormat="1" x14ac:dyDescent="0.2">
      <c r="A243" s="515"/>
      <c r="B243" s="445"/>
      <c r="C243" s="534"/>
      <c r="D243" s="544" t="str">
        <f>$D$140</f>
        <v xml:space="preserve">Option 4: </v>
      </c>
      <c r="E243" s="560" t="str">
        <f>E242</f>
        <v>Pending AER guideline</v>
      </c>
      <c r="F243" s="580"/>
      <c r="G243" s="582"/>
      <c r="H243" s="582"/>
      <c r="I243" s="582"/>
      <c r="J243" s="582"/>
      <c r="K243" s="582"/>
      <c r="L243" s="582"/>
      <c r="M243" s="582"/>
      <c r="N243" s="582"/>
      <c r="O243" s="582"/>
      <c r="P243" s="582"/>
      <c r="Q243" s="582"/>
      <c r="R243" s="582"/>
      <c r="S243" s="582"/>
      <c r="T243" s="582"/>
      <c r="U243" s="582"/>
      <c r="V243" s="582"/>
      <c r="W243" s="582"/>
      <c r="X243" s="582"/>
      <c r="Y243" s="582"/>
      <c r="Z243" s="582"/>
      <c r="AA243" s="446"/>
      <c r="AB243" s="447"/>
      <c r="AC243" s="515"/>
      <c r="AD243" s="515"/>
      <c r="AE243" s="515"/>
      <c r="AF243" s="515"/>
      <c r="AG243" s="515"/>
      <c r="AH243" s="515"/>
      <c r="AI243" s="515"/>
      <c r="AJ243" s="515"/>
      <c r="AK243" s="515"/>
      <c r="AL243" s="515"/>
      <c r="AM243" s="515"/>
      <c r="AN243" s="515"/>
      <c r="AO243" s="515"/>
      <c r="AP243" s="515"/>
      <c r="AQ243" s="515"/>
      <c r="AR243" s="515"/>
      <c r="AS243" s="515"/>
      <c r="AT243" s="515"/>
      <c r="AU243" s="515"/>
      <c r="AV243" s="515"/>
      <c r="AW243" s="515"/>
      <c r="AX243" s="515"/>
      <c r="AY243" s="515"/>
      <c r="AZ243" s="515"/>
      <c r="BA243" s="515"/>
      <c r="BB243" s="515"/>
      <c r="BC243" s="515"/>
      <c r="BD243" s="515"/>
      <c r="BE243" s="515"/>
      <c r="BF243" s="515"/>
      <c r="BG243" s="515"/>
      <c r="BH243" s="515"/>
      <c r="BI243" s="515"/>
      <c r="BJ243" s="515"/>
      <c r="BK243" s="515"/>
      <c r="BL243" s="515"/>
      <c r="BM243" s="515"/>
      <c r="BN243" s="515"/>
      <c r="BO243" s="515"/>
      <c r="BP243" s="515"/>
      <c r="BQ243" s="515"/>
      <c r="BR243" s="515"/>
      <c r="BS243" s="515"/>
      <c r="BT243" s="515"/>
      <c r="BU243" s="515"/>
      <c r="BV243" s="515"/>
      <c r="BW243" s="515"/>
      <c r="BX243" s="515"/>
      <c r="BY243" s="515"/>
      <c r="BZ243" s="515"/>
      <c r="CA243" s="515"/>
      <c r="CB243" s="515"/>
      <c r="CC243" s="515"/>
      <c r="CD243" s="515"/>
      <c r="CE243" s="515"/>
      <c r="CF243" s="515"/>
      <c r="CG243" s="515"/>
      <c r="CH243" s="515"/>
      <c r="CI243" s="515"/>
      <c r="CJ243" s="515"/>
      <c r="CK243" s="515"/>
      <c r="CL243" s="515"/>
      <c r="CM243" s="515"/>
      <c r="CN243" s="515"/>
      <c r="CO243" s="515"/>
      <c r="CP243" s="515"/>
      <c r="CQ243" s="515"/>
      <c r="CR243" s="515"/>
      <c r="CS243" s="515"/>
      <c r="CT243" s="515"/>
      <c r="CU243" s="515"/>
      <c r="CV243" s="515"/>
      <c r="CW243" s="515"/>
      <c r="CX243" s="515"/>
      <c r="CY243" s="515"/>
      <c r="CZ243" s="515"/>
      <c r="DA243" s="515"/>
      <c r="DB243" s="515"/>
      <c r="DC243" s="515"/>
      <c r="DD243" s="515"/>
      <c r="DE243" s="515"/>
      <c r="DF243" s="515"/>
      <c r="DG243" s="515"/>
      <c r="DH243" s="515"/>
      <c r="DI243" s="515"/>
      <c r="DJ243" s="515"/>
      <c r="DK243" s="515"/>
      <c r="DL243" s="515"/>
      <c r="DM243" s="515"/>
      <c r="DN243" s="515"/>
      <c r="DO243" s="515"/>
      <c r="DP243" s="515"/>
      <c r="DQ243" s="515"/>
      <c r="DR243" s="515"/>
      <c r="DS243" s="515"/>
      <c r="DT243" s="515"/>
      <c r="DU243" s="515"/>
      <c r="DV243" s="515"/>
      <c r="DW243" s="515"/>
    </row>
    <row r="244" spans="1:127" s="343" customFormat="1" x14ac:dyDescent="0.2">
      <c r="A244" s="515"/>
      <c r="B244" s="445"/>
      <c r="C244" s="534"/>
      <c r="D244" s="544" t="str">
        <f>$D$169</f>
        <v xml:space="preserve">Option 5: </v>
      </c>
      <c r="E244" s="560" t="str">
        <f>E243</f>
        <v>Pending AER guideline</v>
      </c>
      <c r="F244" s="580"/>
      <c r="G244" s="581"/>
      <c r="H244" s="581"/>
      <c r="I244" s="581"/>
      <c r="J244" s="581"/>
      <c r="K244" s="581"/>
      <c r="L244" s="581"/>
      <c r="M244" s="581"/>
      <c r="N244" s="581"/>
      <c r="O244" s="581"/>
      <c r="P244" s="581"/>
      <c r="Q244" s="581"/>
      <c r="R244" s="581"/>
      <c r="S244" s="581"/>
      <c r="T244" s="581"/>
      <c r="U244" s="581"/>
      <c r="V244" s="581"/>
      <c r="W244" s="581"/>
      <c r="X244" s="581"/>
      <c r="Y244" s="581"/>
      <c r="Z244" s="581"/>
      <c r="AA244" s="446"/>
      <c r="AB244" s="447"/>
      <c r="AC244" s="515"/>
      <c r="AD244" s="515"/>
      <c r="AE244" s="515"/>
      <c r="AF244" s="515"/>
      <c r="AG244" s="515"/>
      <c r="AH244" s="515"/>
      <c r="AI244" s="515"/>
      <c r="AJ244" s="515"/>
      <c r="AK244" s="515"/>
      <c r="AL244" s="515"/>
      <c r="AM244" s="515"/>
      <c r="AN244" s="515"/>
      <c r="AO244" s="515"/>
      <c r="AP244" s="515"/>
      <c r="AQ244" s="515"/>
      <c r="AR244" s="515"/>
      <c r="AS244" s="515"/>
      <c r="AT244" s="515"/>
      <c r="AU244" s="515"/>
      <c r="AV244" s="515"/>
      <c r="AW244" s="515"/>
      <c r="AX244" s="515"/>
      <c r="AY244" s="515"/>
      <c r="AZ244" s="515"/>
      <c r="BA244" s="515"/>
      <c r="BB244" s="515"/>
      <c r="BC244" s="515"/>
      <c r="BD244" s="515"/>
      <c r="BE244" s="515"/>
      <c r="BF244" s="515"/>
      <c r="BG244" s="515"/>
      <c r="BH244" s="515"/>
      <c r="BI244" s="515"/>
      <c r="BJ244" s="515"/>
      <c r="BK244" s="515"/>
      <c r="BL244" s="515"/>
      <c r="BM244" s="515"/>
      <c r="BN244" s="515"/>
      <c r="BO244" s="515"/>
      <c r="BP244" s="515"/>
      <c r="BQ244" s="515"/>
      <c r="BR244" s="515"/>
      <c r="BS244" s="515"/>
      <c r="BT244" s="515"/>
      <c r="BU244" s="515"/>
      <c r="BV244" s="515"/>
      <c r="BW244" s="515"/>
      <c r="BX244" s="515"/>
      <c r="BY244" s="515"/>
      <c r="BZ244" s="515"/>
      <c r="CA244" s="515"/>
      <c r="CB244" s="515"/>
      <c r="CC244" s="515"/>
      <c r="CD244" s="515"/>
      <c r="CE244" s="515"/>
      <c r="CF244" s="515"/>
      <c r="CG244" s="515"/>
      <c r="CH244" s="515"/>
      <c r="CI244" s="515"/>
      <c r="CJ244" s="515"/>
      <c r="CK244" s="515"/>
      <c r="CL244" s="515"/>
      <c r="CM244" s="515"/>
      <c r="CN244" s="515"/>
      <c r="CO244" s="515"/>
      <c r="CP244" s="515"/>
      <c r="CQ244" s="515"/>
      <c r="CR244" s="515"/>
      <c r="CS244" s="515"/>
      <c r="CT244" s="515"/>
      <c r="CU244" s="515"/>
      <c r="CV244" s="515"/>
      <c r="CW244" s="515"/>
      <c r="CX244" s="515"/>
      <c r="CY244" s="515"/>
      <c r="CZ244" s="515"/>
      <c r="DA244" s="515"/>
      <c r="DB244" s="515"/>
      <c r="DC244" s="515"/>
      <c r="DD244" s="515"/>
      <c r="DE244" s="515"/>
      <c r="DF244" s="515"/>
      <c r="DG244" s="515"/>
      <c r="DH244" s="515"/>
      <c r="DI244" s="515"/>
      <c r="DJ244" s="515"/>
      <c r="DK244" s="515"/>
      <c r="DL244" s="515"/>
      <c r="DM244" s="515"/>
      <c r="DN244" s="515"/>
      <c r="DO244" s="515"/>
      <c r="DP244" s="515"/>
      <c r="DQ244" s="515"/>
      <c r="DR244" s="515"/>
      <c r="DS244" s="515"/>
      <c r="DT244" s="515"/>
      <c r="DU244" s="515"/>
      <c r="DV244" s="515"/>
      <c r="DW244" s="515"/>
    </row>
    <row r="245" spans="1:127" s="343" customFormat="1" x14ac:dyDescent="0.2">
      <c r="A245" s="515"/>
      <c r="B245" s="569"/>
      <c r="C245" s="534"/>
      <c r="D245" s="564"/>
      <c r="E245" s="570"/>
      <c r="F245" s="564"/>
      <c r="G245" s="564"/>
      <c r="H245" s="564"/>
      <c r="I245" s="564"/>
      <c r="J245" s="564"/>
      <c r="K245" s="564"/>
      <c r="L245" s="564"/>
      <c r="M245" s="564"/>
      <c r="N245" s="564"/>
      <c r="O245" s="564"/>
      <c r="P245" s="564"/>
      <c r="Q245" s="564"/>
      <c r="R245" s="564"/>
      <c r="S245" s="564"/>
      <c r="T245" s="564"/>
      <c r="U245" s="564"/>
      <c r="V245" s="564"/>
      <c r="W245" s="564"/>
      <c r="X245" s="564"/>
      <c r="Y245" s="564"/>
      <c r="Z245" s="564"/>
      <c r="AA245" s="564"/>
      <c r="AB245" s="565"/>
      <c r="AC245" s="515"/>
      <c r="AD245" s="515"/>
      <c r="AE245" s="515"/>
      <c r="AF245" s="515"/>
      <c r="AG245" s="515"/>
      <c r="AH245" s="515"/>
      <c r="AI245" s="515"/>
      <c r="AJ245" s="515"/>
      <c r="AK245" s="515"/>
      <c r="AL245" s="515"/>
      <c r="AM245" s="515"/>
      <c r="AN245" s="515"/>
      <c r="AO245" s="515"/>
      <c r="AP245" s="515"/>
      <c r="AQ245" s="515"/>
      <c r="AR245" s="515"/>
      <c r="AS245" s="515"/>
      <c r="AT245" s="515"/>
      <c r="AU245" s="515"/>
      <c r="AV245" s="515"/>
      <c r="AW245" s="515"/>
      <c r="AX245" s="515"/>
      <c r="AY245" s="515"/>
      <c r="AZ245" s="515"/>
      <c r="BA245" s="515"/>
      <c r="BB245" s="515"/>
      <c r="BC245" s="515"/>
      <c r="BD245" s="515"/>
      <c r="BE245" s="515"/>
      <c r="BF245" s="515"/>
      <c r="BG245" s="515"/>
      <c r="BH245" s="515"/>
      <c r="BI245" s="515"/>
      <c r="BJ245" s="515"/>
      <c r="BK245" s="515"/>
      <c r="BL245" s="515"/>
      <c r="BM245" s="515"/>
      <c r="BN245" s="515"/>
      <c r="BO245" s="515"/>
      <c r="BP245" s="515"/>
      <c r="BQ245" s="515"/>
      <c r="BR245" s="515"/>
      <c r="BS245" s="515"/>
      <c r="BT245" s="515"/>
      <c r="BU245" s="515"/>
      <c r="BV245" s="515"/>
      <c r="BW245" s="515"/>
      <c r="BX245" s="515"/>
      <c r="BY245" s="515"/>
      <c r="BZ245" s="515"/>
      <c r="CA245" s="515"/>
      <c r="CB245" s="515"/>
      <c r="CC245" s="515"/>
      <c r="CD245" s="515"/>
      <c r="CE245" s="515"/>
      <c r="CF245" s="515"/>
      <c r="CG245" s="515"/>
      <c r="CH245" s="515"/>
      <c r="CI245" s="515"/>
      <c r="CJ245" s="515"/>
      <c r="CK245" s="515"/>
      <c r="CL245" s="515"/>
      <c r="CM245" s="515"/>
      <c r="CN245" s="515"/>
      <c r="CO245" s="515"/>
      <c r="CP245" s="515"/>
      <c r="CQ245" s="515"/>
      <c r="CR245" s="515"/>
      <c r="CS245" s="515"/>
      <c r="CT245" s="515"/>
      <c r="CU245" s="515"/>
      <c r="CV245" s="515"/>
      <c r="CW245" s="515"/>
      <c r="CX245" s="515"/>
      <c r="CY245" s="515"/>
      <c r="CZ245" s="515"/>
      <c r="DA245" s="515"/>
      <c r="DB245" s="515"/>
      <c r="DC245" s="515"/>
      <c r="DD245" s="515"/>
      <c r="DE245" s="515"/>
      <c r="DF245" s="515"/>
      <c r="DG245" s="515"/>
      <c r="DH245" s="515"/>
      <c r="DI245" s="515"/>
      <c r="DJ245" s="515"/>
      <c r="DK245" s="515"/>
      <c r="DL245" s="515"/>
      <c r="DM245" s="515"/>
      <c r="DN245" s="515"/>
      <c r="DO245" s="515"/>
      <c r="DP245" s="515"/>
      <c r="DQ245" s="515"/>
      <c r="DR245" s="515"/>
      <c r="DS245" s="515"/>
      <c r="DT245" s="515"/>
      <c r="DU245" s="515"/>
      <c r="DV245" s="515"/>
      <c r="DW245" s="515"/>
    </row>
    <row r="246" spans="1:127" s="343" customFormat="1" x14ac:dyDescent="0.2">
      <c r="A246" s="515"/>
      <c r="B246" s="445"/>
      <c r="C246" s="534">
        <v>5</v>
      </c>
      <c r="D246" s="559" t="s">
        <v>218</v>
      </c>
      <c r="E246" s="562" t="s">
        <v>219</v>
      </c>
      <c r="F246" s="563"/>
      <c r="G246" s="563">
        <f t="shared" ref="G246:Z246" si="44">G$186</f>
        <v>2021</v>
      </c>
      <c r="H246" s="563">
        <f t="shared" si="44"/>
        <v>2022</v>
      </c>
      <c r="I246" s="563">
        <f t="shared" si="44"/>
        <v>2023</v>
      </c>
      <c r="J246" s="563">
        <f t="shared" si="44"/>
        <v>2024</v>
      </c>
      <c r="K246" s="563">
        <f t="shared" si="44"/>
        <v>2025</v>
      </c>
      <c r="L246" s="563">
        <f t="shared" si="44"/>
        <v>2026</v>
      </c>
      <c r="M246" s="563">
        <f t="shared" si="44"/>
        <v>2027</v>
      </c>
      <c r="N246" s="563">
        <f t="shared" si="44"/>
        <v>2028</v>
      </c>
      <c r="O246" s="563">
        <f t="shared" si="44"/>
        <v>2029</v>
      </c>
      <c r="P246" s="563">
        <f t="shared" si="44"/>
        <v>2030</v>
      </c>
      <c r="Q246" s="563">
        <f t="shared" si="44"/>
        <v>2031</v>
      </c>
      <c r="R246" s="563">
        <f t="shared" si="44"/>
        <v>2032</v>
      </c>
      <c r="S246" s="563">
        <f t="shared" si="44"/>
        <v>2033</v>
      </c>
      <c r="T246" s="563">
        <f t="shared" si="44"/>
        <v>2034</v>
      </c>
      <c r="U246" s="563">
        <f t="shared" si="44"/>
        <v>2035</v>
      </c>
      <c r="V246" s="563">
        <f t="shared" si="44"/>
        <v>2036</v>
      </c>
      <c r="W246" s="563">
        <f t="shared" si="44"/>
        <v>2037</v>
      </c>
      <c r="X246" s="563">
        <f t="shared" si="44"/>
        <v>2038</v>
      </c>
      <c r="Y246" s="563">
        <f t="shared" si="44"/>
        <v>2039</v>
      </c>
      <c r="Z246" s="563">
        <f t="shared" si="44"/>
        <v>2040</v>
      </c>
      <c r="AA246" s="446"/>
      <c r="AB246" s="447"/>
      <c r="AC246" s="515"/>
      <c r="AD246" s="515"/>
      <c r="AE246" s="515"/>
      <c r="AF246" s="515"/>
      <c r="AG246" s="515"/>
      <c r="AH246" s="515"/>
      <c r="AI246" s="515"/>
      <c r="AJ246" s="515"/>
      <c r="AK246" s="515"/>
      <c r="AL246" s="515"/>
      <c r="AM246" s="515"/>
      <c r="AN246" s="515"/>
      <c r="AO246" s="515"/>
      <c r="AP246" s="515"/>
      <c r="AQ246" s="515"/>
      <c r="AR246" s="515"/>
      <c r="AS246" s="515"/>
      <c r="AT246" s="515"/>
      <c r="AU246" s="515"/>
      <c r="AV246" s="515"/>
      <c r="AW246" s="515"/>
      <c r="AX246" s="515"/>
      <c r="AY246" s="515"/>
      <c r="AZ246" s="515"/>
      <c r="BA246" s="515"/>
      <c r="BB246" s="515"/>
      <c r="BC246" s="515"/>
      <c r="BD246" s="515"/>
      <c r="BE246" s="515"/>
      <c r="BF246" s="515"/>
      <c r="BG246" s="515"/>
      <c r="BH246" s="515"/>
      <c r="BI246" s="515"/>
      <c r="BJ246" s="515"/>
      <c r="BK246" s="515"/>
      <c r="BL246" s="515"/>
      <c r="BM246" s="515"/>
      <c r="BN246" s="515"/>
      <c r="BO246" s="515"/>
      <c r="BP246" s="515"/>
      <c r="BQ246" s="515"/>
      <c r="BR246" s="515"/>
      <c r="BS246" s="515"/>
      <c r="BT246" s="515"/>
      <c r="BU246" s="515"/>
      <c r="BV246" s="515"/>
      <c r="BW246" s="515"/>
      <c r="BX246" s="515"/>
      <c r="BY246" s="515"/>
      <c r="BZ246" s="515"/>
      <c r="CA246" s="515"/>
      <c r="CB246" s="515"/>
      <c r="CC246" s="515"/>
      <c r="CD246" s="515"/>
      <c r="CE246" s="515"/>
      <c r="CF246" s="515"/>
      <c r="CG246" s="515"/>
      <c r="CH246" s="515"/>
      <c r="CI246" s="515"/>
      <c r="CJ246" s="515"/>
      <c r="CK246" s="515"/>
      <c r="CL246" s="515"/>
      <c r="CM246" s="515"/>
      <c r="CN246" s="515"/>
      <c r="CO246" s="515"/>
      <c r="CP246" s="515"/>
      <c r="CQ246" s="515"/>
      <c r="CR246" s="515"/>
      <c r="CS246" s="515"/>
      <c r="CT246" s="515"/>
      <c r="CU246" s="515"/>
      <c r="CV246" s="515"/>
      <c r="CW246" s="515"/>
      <c r="CX246" s="515"/>
      <c r="CY246" s="515"/>
      <c r="CZ246" s="515"/>
      <c r="DA246" s="515"/>
      <c r="DB246" s="515"/>
      <c r="DC246" s="515"/>
      <c r="DD246" s="515"/>
      <c r="DE246" s="515"/>
      <c r="DF246" s="515"/>
      <c r="DG246" s="515"/>
      <c r="DH246" s="515"/>
      <c r="DI246" s="515"/>
      <c r="DJ246" s="515"/>
      <c r="DK246" s="515"/>
      <c r="DL246" s="515"/>
      <c r="DM246" s="515"/>
      <c r="DN246" s="515"/>
      <c r="DO246" s="515"/>
      <c r="DP246" s="515"/>
      <c r="DQ246" s="515"/>
      <c r="DR246" s="515"/>
      <c r="DS246" s="515"/>
      <c r="DT246" s="515"/>
      <c r="DU246" s="515"/>
      <c r="DV246" s="515"/>
      <c r="DW246" s="515"/>
    </row>
    <row r="247" spans="1:127" x14ac:dyDescent="0.2">
      <c r="B247" s="445"/>
      <c r="C247" s="534"/>
      <c r="D247" s="544" t="str">
        <f>$D$24</f>
        <v>"Status Quo" Reference Case</v>
      </c>
      <c r="E247" s="560" t="s">
        <v>174</v>
      </c>
      <c r="F247" s="281"/>
      <c r="G247" s="549"/>
      <c r="H247" s="549"/>
      <c r="I247" s="549"/>
      <c r="J247" s="549"/>
      <c r="K247" s="549"/>
      <c r="L247" s="549"/>
      <c r="M247" s="549"/>
      <c r="N247" s="549"/>
      <c r="O247" s="549"/>
      <c r="P247" s="549"/>
      <c r="Q247" s="549"/>
      <c r="R247" s="549"/>
      <c r="S247" s="549"/>
      <c r="T247" s="549"/>
      <c r="U247" s="549"/>
      <c r="V247" s="549"/>
      <c r="W247" s="549"/>
      <c r="X247" s="549"/>
      <c r="Y247" s="549"/>
      <c r="Z247" s="549"/>
      <c r="AA247" s="446"/>
      <c r="AB247" s="447"/>
    </row>
    <row r="248" spans="1:127" x14ac:dyDescent="0.2">
      <c r="B248" s="445"/>
      <c r="C248" s="534"/>
      <c r="D248" s="544" t="str">
        <f>$D$53</f>
        <v>Option 1: Provide In Meter Capabilities</v>
      </c>
      <c r="E248" s="560" t="s">
        <v>174</v>
      </c>
      <c r="F248" s="281"/>
      <c r="G248" s="549"/>
      <c r="H248" s="549"/>
      <c r="I248" s="549"/>
      <c r="J248" s="549"/>
      <c r="K248" s="549"/>
      <c r="L248" s="549"/>
      <c r="M248" s="549"/>
      <c r="N248" s="549"/>
      <c r="O248" s="549"/>
      <c r="P248" s="549"/>
      <c r="Q248" s="549"/>
      <c r="R248" s="549"/>
      <c r="S248" s="549"/>
      <c r="T248" s="549"/>
      <c r="U248" s="549"/>
      <c r="V248" s="549"/>
      <c r="W248" s="549"/>
      <c r="X248" s="549"/>
      <c r="Y248" s="549"/>
      <c r="Z248" s="549"/>
      <c r="AA248" s="446"/>
      <c r="AB248" s="447"/>
    </row>
    <row r="249" spans="1:127" x14ac:dyDescent="0.2">
      <c r="B249" s="445"/>
      <c r="C249" s="534"/>
      <c r="D249" s="544" t="str">
        <f>$D$82</f>
        <v>Option 2: Provide In Meter Capabilities with Near Real-time Centralised Analytics</v>
      </c>
      <c r="E249" s="560" t="s">
        <v>174</v>
      </c>
      <c r="F249" s="281"/>
      <c r="G249" s="550"/>
      <c r="H249" s="550"/>
      <c r="I249" s="550"/>
      <c r="J249" s="550"/>
      <c r="K249" s="550"/>
      <c r="L249" s="550"/>
      <c r="M249" s="550"/>
      <c r="N249" s="550"/>
      <c r="O249" s="550"/>
      <c r="P249" s="550"/>
      <c r="Q249" s="550"/>
      <c r="R249" s="550"/>
      <c r="S249" s="550"/>
      <c r="T249" s="550"/>
      <c r="U249" s="550"/>
      <c r="V249" s="550"/>
      <c r="W249" s="550"/>
      <c r="X249" s="550"/>
      <c r="Y249" s="550"/>
      <c r="Z249" s="550"/>
      <c r="AA249" s="446"/>
      <c r="AB249" s="447"/>
    </row>
    <row r="250" spans="1:127" x14ac:dyDescent="0.2">
      <c r="B250" s="445"/>
      <c r="C250" s="534"/>
      <c r="D250" s="544" t="str">
        <f>$D$111</f>
        <v xml:space="preserve">Option 3: </v>
      </c>
      <c r="E250" s="560" t="s">
        <v>174</v>
      </c>
      <c r="F250" s="281"/>
      <c r="G250" s="550"/>
      <c r="H250" s="550"/>
      <c r="I250" s="550"/>
      <c r="J250" s="550"/>
      <c r="K250" s="550"/>
      <c r="L250" s="550"/>
      <c r="M250" s="550"/>
      <c r="N250" s="550"/>
      <c r="O250" s="550"/>
      <c r="P250" s="550"/>
      <c r="Q250" s="550"/>
      <c r="R250" s="550"/>
      <c r="S250" s="550"/>
      <c r="T250" s="550"/>
      <c r="U250" s="550"/>
      <c r="V250" s="550"/>
      <c r="W250" s="550"/>
      <c r="X250" s="550"/>
      <c r="Y250" s="550"/>
      <c r="Z250" s="550"/>
      <c r="AA250" s="446"/>
      <c r="AB250" s="447"/>
    </row>
    <row r="251" spans="1:127" x14ac:dyDescent="0.2">
      <c r="B251" s="445"/>
      <c r="C251" s="534"/>
      <c r="D251" s="544" t="str">
        <f>$D$140</f>
        <v xml:space="preserve">Option 4: </v>
      </c>
      <c r="E251" s="560" t="s">
        <v>174</v>
      </c>
      <c r="F251" s="281"/>
      <c r="G251" s="550"/>
      <c r="H251" s="550"/>
      <c r="I251" s="550"/>
      <c r="J251" s="550"/>
      <c r="K251" s="550"/>
      <c r="L251" s="550"/>
      <c r="M251" s="550"/>
      <c r="N251" s="550"/>
      <c r="O251" s="550"/>
      <c r="P251" s="550"/>
      <c r="Q251" s="550"/>
      <c r="R251" s="550"/>
      <c r="S251" s="550"/>
      <c r="T251" s="550"/>
      <c r="U251" s="550"/>
      <c r="V251" s="550"/>
      <c r="W251" s="550"/>
      <c r="X251" s="550"/>
      <c r="Y251" s="550"/>
      <c r="Z251" s="550"/>
      <c r="AA251" s="446"/>
      <c r="AB251" s="447"/>
    </row>
    <row r="252" spans="1:127" x14ac:dyDescent="0.2">
      <c r="B252" s="445"/>
      <c r="C252" s="534"/>
      <c r="D252" s="544" t="str">
        <f>$D$169</f>
        <v xml:space="preserve">Option 5: </v>
      </c>
      <c r="E252" s="560" t="s">
        <v>174</v>
      </c>
      <c r="F252" s="281"/>
      <c r="G252" s="549"/>
      <c r="H252" s="549"/>
      <c r="I252" s="549"/>
      <c r="J252" s="549"/>
      <c r="K252" s="549"/>
      <c r="L252" s="549"/>
      <c r="M252" s="549"/>
      <c r="N252" s="549"/>
      <c r="O252" s="549"/>
      <c r="P252" s="549"/>
      <c r="Q252" s="549"/>
      <c r="R252" s="549"/>
      <c r="S252" s="549"/>
      <c r="T252" s="549"/>
      <c r="U252" s="549"/>
      <c r="V252" s="549"/>
      <c r="W252" s="549"/>
      <c r="X252" s="549"/>
      <c r="Y252" s="549"/>
      <c r="Z252" s="549"/>
      <c r="AA252" s="446"/>
      <c r="AB252" s="447"/>
    </row>
    <row r="253" spans="1:127" s="343" customFormat="1" x14ac:dyDescent="0.2">
      <c r="A253" s="515"/>
      <c r="B253" s="569"/>
      <c r="C253" s="534"/>
      <c r="D253" s="564"/>
      <c r="E253" s="570"/>
      <c r="F253" s="564"/>
      <c r="G253" s="564"/>
      <c r="H253" s="564"/>
      <c r="I253" s="564"/>
      <c r="J253" s="564"/>
      <c r="K253" s="564"/>
      <c r="L253" s="564"/>
      <c r="M253" s="564"/>
      <c r="N253" s="564"/>
      <c r="O253" s="564"/>
      <c r="P253" s="564"/>
      <c r="Q253" s="564"/>
      <c r="R253" s="564"/>
      <c r="S253" s="564"/>
      <c r="T253" s="564"/>
      <c r="U253" s="564"/>
      <c r="V253" s="564"/>
      <c r="W253" s="564"/>
      <c r="X253" s="564"/>
      <c r="Y253" s="564"/>
      <c r="Z253" s="564"/>
      <c r="AA253" s="564"/>
      <c r="AB253" s="565"/>
      <c r="AC253" s="515"/>
      <c r="AD253" s="515"/>
      <c r="AE253" s="515"/>
      <c r="AF253" s="515"/>
      <c r="AG253" s="515"/>
      <c r="AH253" s="515"/>
      <c r="AI253" s="515"/>
      <c r="AJ253" s="515"/>
      <c r="AK253" s="515"/>
      <c r="AL253" s="515"/>
      <c r="AM253" s="515"/>
      <c r="AN253" s="515"/>
      <c r="AO253" s="515"/>
      <c r="AP253" s="515"/>
      <c r="AQ253" s="515"/>
      <c r="AR253" s="515"/>
      <c r="AS253" s="515"/>
      <c r="AT253" s="515"/>
      <c r="AU253" s="515"/>
      <c r="AV253" s="515"/>
      <c r="AW253" s="515"/>
      <c r="AX253" s="515"/>
      <c r="AY253" s="515"/>
      <c r="AZ253" s="515"/>
      <c r="BA253" s="515"/>
      <c r="BB253" s="515"/>
      <c r="BC253" s="515"/>
      <c r="BD253" s="515"/>
      <c r="BE253" s="515"/>
      <c r="BF253" s="515"/>
      <c r="BG253" s="515"/>
      <c r="BH253" s="515"/>
      <c r="BI253" s="515"/>
      <c r="BJ253" s="515"/>
      <c r="BK253" s="515"/>
      <c r="BL253" s="515"/>
      <c r="BM253" s="515"/>
      <c r="BN253" s="515"/>
      <c r="BO253" s="515"/>
      <c r="BP253" s="515"/>
      <c r="BQ253" s="515"/>
      <c r="BR253" s="515"/>
      <c r="BS253" s="515"/>
      <c r="BT253" s="515"/>
      <c r="BU253" s="515"/>
      <c r="BV253" s="515"/>
      <c r="BW253" s="515"/>
      <c r="BX253" s="515"/>
      <c r="BY253" s="515"/>
      <c r="BZ253" s="515"/>
      <c r="CA253" s="515"/>
      <c r="CB253" s="515"/>
      <c r="CC253" s="515"/>
      <c r="CD253" s="515"/>
      <c r="CE253" s="515"/>
      <c r="CF253" s="515"/>
      <c r="CG253" s="515"/>
      <c r="CH253" s="515"/>
      <c r="CI253" s="515"/>
      <c r="CJ253" s="515"/>
      <c r="CK253" s="515"/>
      <c r="CL253" s="515"/>
      <c r="CM253" s="515"/>
      <c r="CN253" s="515"/>
      <c r="CO253" s="515"/>
      <c r="CP253" s="515"/>
      <c r="CQ253" s="515"/>
      <c r="CR253" s="515"/>
      <c r="CS253" s="515"/>
      <c r="CT253" s="515"/>
      <c r="CU253" s="515"/>
      <c r="CV253" s="515"/>
      <c r="CW253" s="515"/>
      <c r="CX253" s="515"/>
      <c r="CY253" s="515"/>
      <c r="CZ253" s="515"/>
      <c r="DA253" s="515"/>
      <c r="DB253" s="515"/>
      <c r="DC253" s="515"/>
      <c r="DD253" s="515"/>
      <c r="DE253" s="515"/>
      <c r="DF253" s="515"/>
      <c r="DG253" s="515"/>
      <c r="DH253" s="515"/>
      <c r="DI253" s="515"/>
      <c r="DJ253" s="515"/>
      <c r="DK253" s="515"/>
      <c r="DL253" s="515"/>
      <c r="DM253" s="515"/>
      <c r="DN253" s="515"/>
      <c r="DO253" s="515"/>
      <c r="DP253" s="515"/>
      <c r="DQ253" s="515"/>
      <c r="DR253" s="515"/>
      <c r="DS253" s="515"/>
      <c r="DT253" s="515"/>
      <c r="DU253" s="515"/>
      <c r="DV253" s="515"/>
      <c r="DW253" s="515"/>
    </row>
    <row r="254" spans="1:127" s="343" customFormat="1" x14ac:dyDescent="0.2">
      <c r="A254" s="515"/>
      <c r="B254" s="445"/>
      <c r="C254" s="534">
        <v>6</v>
      </c>
      <c r="D254" s="559" t="s">
        <v>231</v>
      </c>
      <c r="E254" s="562" t="s">
        <v>222</v>
      </c>
      <c r="F254" s="563"/>
      <c r="G254" s="563">
        <f t="shared" ref="G254:Z254" si="45">G$186</f>
        <v>2021</v>
      </c>
      <c r="H254" s="563">
        <f t="shared" si="45"/>
        <v>2022</v>
      </c>
      <c r="I254" s="563">
        <f t="shared" si="45"/>
        <v>2023</v>
      </c>
      <c r="J254" s="563">
        <f t="shared" si="45"/>
        <v>2024</v>
      </c>
      <c r="K254" s="563">
        <f t="shared" si="45"/>
        <v>2025</v>
      </c>
      <c r="L254" s="563">
        <f t="shared" si="45"/>
        <v>2026</v>
      </c>
      <c r="M254" s="563">
        <f t="shared" si="45"/>
        <v>2027</v>
      </c>
      <c r="N254" s="563">
        <f t="shared" si="45"/>
        <v>2028</v>
      </c>
      <c r="O254" s="563">
        <f t="shared" si="45"/>
        <v>2029</v>
      </c>
      <c r="P254" s="563">
        <f t="shared" si="45"/>
        <v>2030</v>
      </c>
      <c r="Q254" s="563">
        <f t="shared" si="45"/>
        <v>2031</v>
      </c>
      <c r="R254" s="563">
        <f t="shared" si="45"/>
        <v>2032</v>
      </c>
      <c r="S254" s="563">
        <f t="shared" si="45"/>
        <v>2033</v>
      </c>
      <c r="T254" s="563">
        <f t="shared" si="45"/>
        <v>2034</v>
      </c>
      <c r="U254" s="563">
        <f t="shared" si="45"/>
        <v>2035</v>
      </c>
      <c r="V254" s="563">
        <f t="shared" si="45"/>
        <v>2036</v>
      </c>
      <c r="W254" s="563">
        <f t="shared" si="45"/>
        <v>2037</v>
      </c>
      <c r="X254" s="563">
        <f t="shared" si="45"/>
        <v>2038</v>
      </c>
      <c r="Y254" s="563">
        <f t="shared" si="45"/>
        <v>2039</v>
      </c>
      <c r="Z254" s="563">
        <f t="shared" si="45"/>
        <v>2040</v>
      </c>
      <c r="AA254" s="446"/>
      <c r="AB254" s="447"/>
      <c r="AC254" s="515"/>
      <c r="AD254" s="515"/>
      <c r="AE254" s="515"/>
      <c r="AF254" s="515"/>
      <c r="AG254" s="515"/>
      <c r="AH254" s="515"/>
      <c r="AI254" s="515"/>
      <c r="AJ254" s="515"/>
      <c r="AK254" s="515"/>
      <c r="AL254" s="515"/>
      <c r="AM254" s="515"/>
      <c r="AN254" s="515"/>
      <c r="AO254" s="515"/>
      <c r="AP254" s="515"/>
      <c r="AQ254" s="515"/>
      <c r="AR254" s="515"/>
      <c r="AS254" s="515"/>
      <c r="AT254" s="515"/>
      <c r="AU254" s="515"/>
      <c r="AV254" s="515"/>
      <c r="AW254" s="515"/>
      <c r="AX254" s="515"/>
      <c r="AY254" s="515"/>
      <c r="AZ254" s="515"/>
      <c r="BA254" s="515"/>
      <c r="BB254" s="515"/>
      <c r="BC254" s="515"/>
      <c r="BD254" s="515"/>
      <c r="BE254" s="515"/>
      <c r="BF254" s="515"/>
      <c r="BG254" s="515"/>
      <c r="BH254" s="515"/>
      <c r="BI254" s="515"/>
      <c r="BJ254" s="515"/>
      <c r="BK254" s="515"/>
      <c r="BL254" s="515"/>
      <c r="BM254" s="515"/>
      <c r="BN254" s="515"/>
      <c r="BO254" s="515"/>
      <c r="BP254" s="515"/>
      <c r="BQ254" s="515"/>
      <c r="BR254" s="515"/>
      <c r="BS254" s="515"/>
      <c r="BT254" s="515"/>
      <c r="BU254" s="515"/>
      <c r="BV254" s="515"/>
      <c r="BW254" s="515"/>
      <c r="BX254" s="515"/>
      <c r="BY254" s="515"/>
      <c r="BZ254" s="515"/>
      <c r="CA254" s="515"/>
      <c r="CB254" s="515"/>
      <c r="CC254" s="515"/>
      <c r="CD254" s="515"/>
      <c r="CE254" s="515"/>
      <c r="CF254" s="515"/>
      <c r="CG254" s="515"/>
      <c r="CH254" s="515"/>
      <c r="CI254" s="515"/>
      <c r="CJ254" s="515"/>
      <c r="CK254" s="515"/>
      <c r="CL254" s="515"/>
      <c r="CM254" s="515"/>
      <c r="CN254" s="515"/>
      <c r="CO254" s="515"/>
      <c r="CP254" s="515"/>
      <c r="CQ254" s="515"/>
      <c r="CR254" s="515"/>
      <c r="CS254" s="515"/>
      <c r="CT254" s="515"/>
      <c r="CU254" s="515"/>
      <c r="CV254" s="515"/>
      <c r="CW254" s="515"/>
      <c r="CX254" s="515"/>
      <c r="CY254" s="515"/>
      <c r="CZ254" s="515"/>
      <c r="DA254" s="515"/>
      <c r="DB254" s="515"/>
      <c r="DC254" s="515"/>
      <c r="DD254" s="515"/>
      <c r="DE254" s="515"/>
      <c r="DF254" s="515"/>
      <c r="DG254" s="515"/>
      <c r="DH254" s="515"/>
      <c r="DI254" s="515"/>
      <c r="DJ254" s="515"/>
      <c r="DK254" s="515"/>
      <c r="DL254" s="515"/>
      <c r="DM254" s="515"/>
      <c r="DN254" s="515"/>
      <c r="DO254" s="515"/>
      <c r="DP254" s="515"/>
      <c r="DQ254" s="515"/>
      <c r="DR254" s="515"/>
      <c r="DS254" s="515"/>
      <c r="DT254" s="515"/>
      <c r="DU254" s="515"/>
      <c r="DV254" s="515"/>
      <c r="DW254" s="515"/>
    </row>
    <row r="255" spans="1:127" s="343" customFormat="1" x14ac:dyDescent="0.2">
      <c r="A255" s="515"/>
      <c r="B255" s="445"/>
      <c r="C255" s="534"/>
      <c r="D255" s="544" t="str">
        <f>$D$24</f>
        <v>"Status Quo" Reference Case</v>
      </c>
      <c r="E255" s="560" t="s">
        <v>223</v>
      </c>
      <c r="F255" s="580"/>
      <c r="G255" s="581"/>
      <c r="H255" s="581"/>
      <c r="I255" s="581"/>
      <c r="J255" s="581"/>
      <c r="K255" s="581"/>
      <c r="L255" s="581"/>
      <c r="M255" s="581"/>
      <c r="N255" s="581"/>
      <c r="O255" s="581"/>
      <c r="P255" s="581"/>
      <c r="Q255" s="581"/>
      <c r="R255" s="581"/>
      <c r="S255" s="581"/>
      <c r="T255" s="581"/>
      <c r="U255" s="581"/>
      <c r="V255" s="581"/>
      <c r="W255" s="581"/>
      <c r="X255" s="581"/>
      <c r="Y255" s="581"/>
      <c r="Z255" s="581"/>
      <c r="AA255" s="446"/>
      <c r="AB255" s="447"/>
      <c r="AC255" s="515"/>
      <c r="AD255" s="515"/>
      <c r="AE255" s="515"/>
      <c r="AF255" s="515"/>
      <c r="AG255" s="515"/>
      <c r="AH255" s="515"/>
      <c r="AI255" s="515"/>
      <c r="AJ255" s="515"/>
      <c r="AK255" s="515"/>
      <c r="AL255" s="515"/>
      <c r="AM255" s="515"/>
      <c r="AN255" s="515"/>
      <c r="AO255" s="515"/>
      <c r="AP255" s="515"/>
      <c r="AQ255" s="515"/>
      <c r="AR255" s="515"/>
      <c r="AS255" s="515"/>
      <c r="AT255" s="515"/>
      <c r="AU255" s="515"/>
      <c r="AV255" s="515"/>
      <c r="AW255" s="515"/>
      <c r="AX255" s="515"/>
      <c r="AY255" s="515"/>
      <c r="AZ255" s="515"/>
      <c r="BA255" s="515"/>
      <c r="BB255" s="515"/>
      <c r="BC255" s="515"/>
      <c r="BD255" s="515"/>
      <c r="BE255" s="515"/>
      <c r="BF255" s="515"/>
      <c r="BG255" s="515"/>
      <c r="BH255" s="515"/>
      <c r="BI255" s="515"/>
      <c r="BJ255" s="515"/>
      <c r="BK255" s="515"/>
      <c r="BL255" s="515"/>
      <c r="BM255" s="515"/>
      <c r="BN255" s="515"/>
      <c r="BO255" s="515"/>
      <c r="BP255" s="515"/>
      <c r="BQ255" s="515"/>
      <c r="BR255" s="515"/>
      <c r="BS255" s="515"/>
      <c r="BT255" s="515"/>
      <c r="BU255" s="515"/>
      <c r="BV255" s="515"/>
      <c r="BW255" s="515"/>
      <c r="BX255" s="515"/>
      <c r="BY255" s="515"/>
      <c r="BZ255" s="515"/>
      <c r="CA255" s="515"/>
      <c r="CB255" s="515"/>
      <c r="CC255" s="515"/>
      <c r="CD255" s="515"/>
      <c r="CE255" s="515"/>
      <c r="CF255" s="515"/>
      <c r="CG255" s="515"/>
      <c r="CH255" s="515"/>
      <c r="CI255" s="515"/>
      <c r="CJ255" s="515"/>
      <c r="CK255" s="515"/>
      <c r="CL255" s="515"/>
      <c r="CM255" s="515"/>
      <c r="CN255" s="515"/>
      <c r="CO255" s="515"/>
      <c r="CP255" s="515"/>
      <c r="CQ255" s="515"/>
      <c r="CR255" s="515"/>
      <c r="CS255" s="515"/>
      <c r="CT255" s="515"/>
      <c r="CU255" s="515"/>
      <c r="CV255" s="515"/>
      <c r="CW255" s="515"/>
      <c r="CX255" s="515"/>
      <c r="CY255" s="515"/>
      <c r="CZ255" s="515"/>
      <c r="DA255" s="515"/>
      <c r="DB255" s="515"/>
      <c r="DC255" s="515"/>
      <c r="DD255" s="515"/>
      <c r="DE255" s="515"/>
      <c r="DF255" s="515"/>
      <c r="DG255" s="515"/>
      <c r="DH255" s="515"/>
      <c r="DI255" s="515"/>
      <c r="DJ255" s="515"/>
      <c r="DK255" s="515"/>
      <c r="DL255" s="515"/>
      <c r="DM255" s="515"/>
      <c r="DN255" s="515"/>
      <c r="DO255" s="515"/>
      <c r="DP255" s="515"/>
      <c r="DQ255" s="515"/>
      <c r="DR255" s="515"/>
      <c r="DS255" s="515"/>
      <c r="DT255" s="515"/>
      <c r="DU255" s="515"/>
      <c r="DV255" s="515"/>
      <c r="DW255" s="515"/>
    </row>
    <row r="256" spans="1:127" s="343" customFormat="1" x14ac:dyDescent="0.2">
      <c r="A256" s="515"/>
      <c r="B256" s="445"/>
      <c r="C256" s="534"/>
      <c r="D256" s="544" t="str">
        <f>$D$53</f>
        <v>Option 1: Provide In Meter Capabilities</v>
      </c>
      <c r="E256" s="560" t="str">
        <f>E255</f>
        <v>Pending AER guideline</v>
      </c>
      <c r="F256" s="580"/>
      <c r="G256" s="581"/>
      <c r="H256" s="581"/>
      <c r="I256" s="581"/>
      <c r="J256" s="581"/>
      <c r="K256" s="581"/>
      <c r="L256" s="581"/>
      <c r="M256" s="581"/>
      <c r="N256" s="581"/>
      <c r="O256" s="581"/>
      <c r="P256" s="581"/>
      <c r="Q256" s="581"/>
      <c r="R256" s="581"/>
      <c r="S256" s="581"/>
      <c r="T256" s="581"/>
      <c r="U256" s="581"/>
      <c r="V256" s="581"/>
      <c r="W256" s="581"/>
      <c r="X256" s="581"/>
      <c r="Y256" s="581"/>
      <c r="Z256" s="581"/>
      <c r="AA256" s="446"/>
      <c r="AB256" s="447"/>
      <c r="AC256" s="515"/>
      <c r="AD256" s="515"/>
      <c r="AE256" s="515"/>
      <c r="AF256" s="515"/>
      <c r="AG256" s="515"/>
      <c r="AH256" s="515"/>
      <c r="AI256" s="515"/>
      <c r="AJ256" s="515"/>
      <c r="AK256" s="515"/>
      <c r="AL256" s="515"/>
      <c r="AM256" s="515"/>
      <c r="AN256" s="515"/>
      <c r="AO256" s="515"/>
      <c r="AP256" s="515"/>
      <c r="AQ256" s="515"/>
      <c r="AR256" s="515"/>
      <c r="AS256" s="515"/>
      <c r="AT256" s="515"/>
      <c r="AU256" s="515"/>
      <c r="AV256" s="515"/>
      <c r="AW256" s="515"/>
      <c r="AX256" s="515"/>
      <c r="AY256" s="515"/>
      <c r="AZ256" s="515"/>
      <c r="BA256" s="515"/>
      <c r="BB256" s="515"/>
      <c r="BC256" s="515"/>
      <c r="BD256" s="515"/>
      <c r="BE256" s="515"/>
      <c r="BF256" s="515"/>
      <c r="BG256" s="515"/>
      <c r="BH256" s="515"/>
      <c r="BI256" s="515"/>
      <c r="BJ256" s="515"/>
      <c r="BK256" s="515"/>
      <c r="BL256" s="515"/>
      <c r="BM256" s="515"/>
      <c r="BN256" s="515"/>
      <c r="BO256" s="515"/>
      <c r="BP256" s="515"/>
      <c r="BQ256" s="515"/>
      <c r="BR256" s="515"/>
      <c r="BS256" s="515"/>
      <c r="BT256" s="515"/>
      <c r="BU256" s="515"/>
      <c r="BV256" s="515"/>
      <c r="BW256" s="515"/>
      <c r="BX256" s="515"/>
      <c r="BY256" s="515"/>
      <c r="BZ256" s="515"/>
      <c r="CA256" s="515"/>
      <c r="CB256" s="515"/>
      <c r="CC256" s="515"/>
      <c r="CD256" s="515"/>
      <c r="CE256" s="515"/>
      <c r="CF256" s="515"/>
      <c r="CG256" s="515"/>
      <c r="CH256" s="515"/>
      <c r="CI256" s="515"/>
      <c r="CJ256" s="515"/>
      <c r="CK256" s="515"/>
      <c r="CL256" s="515"/>
      <c r="CM256" s="515"/>
      <c r="CN256" s="515"/>
      <c r="CO256" s="515"/>
      <c r="CP256" s="515"/>
      <c r="CQ256" s="515"/>
      <c r="CR256" s="515"/>
      <c r="CS256" s="515"/>
      <c r="CT256" s="515"/>
      <c r="CU256" s="515"/>
      <c r="CV256" s="515"/>
      <c r="CW256" s="515"/>
      <c r="CX256" s="515"/>
      <c r="CY256" s="515"/>
      <c r="CZ256" s="515"/>
      <c r="DA256" s="515"/>
      <c r="DB256" s="515"/>
      <c r="DC256" s="515"/>
      <c r="DD256" s="515"/>
      <c r="DE256" s="515"/>
      <c r="DF256" s="515"/>
      <c r="DG256" s="515"/>
      <c r="DH256" s="515"/>
      <c r="DI256" s="515"/>
      <c r="DJ256" s="515"/>
      <c r="DK256" s="515"/>
      <c r="DL256" s="515"/>
      <c r="DM256" s="515"/>
      <c r="DN256" s="515"/>
      <c r="DO256" s="515"/>
      <c r="DP256" s="515"/>
      <c r="DQ256" s="515"/>
      <c r="DR256" s="515"/>
      <c r="DS256" s="515"/>
      <c r="DT256" s="515"/>
      <c r="DU256" s="515"/>
      <c r="DV256" s="515"/>
      <c r="DW256" s="515"/>
    </row>
    <row r="257" spans="1:257" s="343" customFormat="1" x14ac:dyDescent="0.2">
      <c r="A257" s="515"/>
      <c r="B257" s="445"/>
      <c r="C257" s="534"/>
      <c r="D257" s="544" t="str">
        <f>$D$82</f>
        <v>Option 2: Provide In Meter Capabilities with Near Real-time Centralised Analytics</v>
      </c>
      <c r="E257" s="560" t="str">
        <f>E256</f>
        <v>Pending AER guideline</v>
      </c>
      <c r="F257" s="580"/>
      <c r="G257" s="582"/>
      <c r="H257" s="582"/>
      <c r="I257" s="582"/>
      <c r="J257" s="582"/>
      <c r="K257" s="582"/>
      <c r="L257" s="582"/>
      <c r="M257" s="582"/>
      <c r="N257" s="582"/>
      <c r="O257" s="582"/>
      <c r="P257" s="582"/>
      <c r="Q257" s="582"/>
      <c r="R257" s="582"/>
      <c r="S257" s="582"/>
      <c r="T257" s="582"/>
      <c r="U257" s="582"/>
      <c r="V257" s="582"/>
      <c r="W257" s="582"/>
      <c r="X257" s="582"/>
      <c r="Y257" s="582"/>
      <c r="Z257" s="582"/>
      <c r="AA257" s="446"/>
      <c r="AB257" s="447"/>
      <c r="AC257" s="515"/>
      <c r="AD257" s="515"/>
      <c r="AE257" s="515"/>
      <c r="AF257" s="515"/>
      <c r="AG257" s="515"/>
      <c r="AH257" s="515"/>
      <c r="AI257" s="515"/>
      <c r="AJ257" s="515"/>
      <c r="AK257" s="515"/>
      <c r="AL257" s="515"/>
      <c r="AM257" s="515"/>
      <c r="AN257" s="515"/>
      <c r="AO257" s="515"/>
      <c r="AP257" s="515"/>
      <c r="AQ257" s="515"/>
      <c r="AR257" s="515"/>
      <c r="AS257" s="515"/>
      <c r="AT257" s="515"/>
      <c r="AU257" s="515"/>
      <c r="AV257" s="515"/>
      <c r="AW257" s="515"/>
      <c r="AX257" s="515"/>
      <c r="AY257" s="515"/>
      <c r="AZ257" s="515"/>
      <c r="BA257" s="515"/>
      <c r="BB257" s="515"/>
      <c r="BC257" s="515"/>
      <c r="BD257" s="515"/>
      <c r="BE257" s="515"/>
      <c r="BF257" s="515"/>
      <c r="BG257" s="515"/>
      <c r="BH257" s="515"/>
      <c r="BI257" s="515"/>
      <c r="BJ257" s="515"/>
      <c r="BK257" s="515"/>
      <c r="BL257" s="515"/>
      <c r="BM257" s="515"/>
      <c r="BN257" s="515"/>
      <c r="BO257" s="515"/>
      <c r="BP257" s="515"/>
      <c r="BQ257" s="515"/>
      <c r="BR257" s="515"/>
      <c r="BS257" s="515"/>
      <c r="BT257" s="515"/>
      <c r="BU257" s="515"/>
      <c r="BV257" s="515"/>
      <c r="BW257" s="515"/>
      <c r="BX257" s="515"/>
      <c r="BY257" s="515"/>
      <c r="BZ257" s="515"/>
      <c r="CA257" s="515"/>
      <c r="CB257" s="515"/>
      <c r="CC257" s="515"/>
      <c r="CD257" s="515"/>
      <c r="CE257" s="515"/>
      <c r="CF257" s="515"/>
      <c r="CG257" s="515"/>
      <c r="CH257" s="515"/>
      <c r="CI257" s="515"/>
      <c r="CJ257" s="515"/>
      <c r="CK257" s="515"/>
      <c r="CL257" s="515"/>
      <c r="CM257" s="515"/>
      <c r="CN257" s="515"/>
      <c r="CO257" s="515"/>
      <c r="CP257" s="515"/>
      <c r="CQ257" s="515"/>
      <c r="CR257" s="515"/>
      <c r="CS257" s="515"/>
      <c r="CT257" s="515"/>
      <c r="CU257" s="515"/>
      <c r="CV257" s="515"/>
      <c r="CW257" s="515"/>
      <c r="CX257" s="515"/>
      <c r="CY257" s="515"/>
      <c r="CZ257" s="515"/>
      <c r="DA257" s="515"/>
      <c r="DB257" s="515"/>
      <c r="DC257" s="515"/>
      <c r="DD257" s="515"/>
      <c r="DE257" s="515"/>
      <c r="DF257" s="515"/>
      <c r="DG257" s="515"/>
      <c r="DH257" s="515"/>
      <c r="DI257" s="515"/>
      <c r="DJ257" s="515"/>
      <c r="DK257" s="515"/>
      <c r="DL257" s="515"/>
      <c r="DM257" s="515"/>
      <c r="DN257" s="515"/>
      <c r="DO257" s="515"/>
      <c r="DP257" s="515"/>
      <c r="DQ257" s="515"/>
      <c r="DR257" s="515"/>
      <c r="DS257" s="515"/>
      <c r="DT257" s="515"/>
      <c r="DU257" s="515"/>
      <c r="DV257" s="515"/>
      <c r="DW257" s="515"/>
    </row>
    <row r="258" spans="1:257" s="343" customFormat="1" x14ac:dyDescent="0.2">
      <c r="A258" s="515"/>
      <c r="B258" s="445"/>
      <c r="C258" s="534"/>
      <c r="D258" s="544" t="str">
        <f>$D$111</f>
        <v xml:space="preserve">Option 3: </v>
      </c>
      <c r="E258" s="560" t="str">
        <f>E257</f>
        <v>Pending AER guideline</v>
      </c>
      <c r="F258" s="580"/>
      <c r="G258" s="582"/>
      <c r="H258" s="582"/>
      <c r="I258" s="582"/>
      <c r="J258" s="582"/>
      <c r="K258" s="582"/>
      <c r="L258" s="582"/>
      <c r="M258" s="582"/>
      <c r="N258" s="582"/>
      <c r="O258" s="582"/>
      <c r="P258" s="582"/>
      <c r="Q258" s="582"/>
      <c r="R258" s="582"/>
      <c r="S258" s="582"/>
      <c r="T258" s="582"/>
      <c r="U258" s="582"/>
      <c r="V258" s="582"/>
      <c r="W258" s="582"/>
      <c r="X258" s="582"/>
      <c r="Y258" s="582"/>
      <c r="Z258" s="582"/>
      <c r="AA258" s="446"/>
      <c r="AB258" s="447"/>
      <c r="AC258" s="515"/>
      <c r="AD258" s="515"/>
      <c r="AE258" s="515"/>
      <c r="AF258" s="515"/>
      <c r="AG258" s="515"/>
      <c r="AH258" s="515"/>
      <c r="AI258" s="515"/>
      <c r="AJ258" s="515"/>
      <c r="AK258" s="515"/>
      <c r="AL258" s="515"/>
      <c r="AM258" s="515"/>
      <c r="AN258" s="515"/>
      <c r="AO258" s="515"/>
      <c r="AP258" s="515"/>
      <c r="AQ258" s="515"/>
      <c r="AR258" s="515"/>
      <c r="AS258" s="515"/>
      <c r="AT258" s="515"/>
      <c r="AU258" s="515"/>
      <c r="AV258" s="515"/>
      <c r="AW258" s="515"/>
      <c r="AX258" s="515"/>
      <c r="AY258" s="515"/>
      <c r="AZ258" s="515"/>
      <c r="BA258" s="515"/>
      <c r="BB258" s="515"/>
      <c r="BC258" s="515"/>
      <c r="BD258" s="515"/>
      <c r="BE258" s="515"/>
      <c r="BF258" s="515"/>
      <c r="BG258" s="515"/>
      <c r="BH258" s="515"/>
      <c r="BI258" s="515"/>
      <c r="BJ258" s="515"/>
      <c r="BK258" s="515"/>
      <c r="BL258" s="515"/>
      <c r="BM258" s="515"/>
      <c r="BN258" s="515"/>
      <c r="BO258" s="515"/>
      <c r="BP258" s="515"/>
      <c r="BQ258" s="515"/>
      <c r="BR258" s="515"/>
      <c r="BS258" s="515"/>
      <c r="BT258" s="515"/>
      <c r="BU258" s="515"/>
      <c r="BV258" s="515"/>
      <c r="BW258" s="515"/>
      <c r="BX258" s="515"/>
      <c r="BY258" s="515"/>
      <c r="BZ258" s="515"/>
      <c r="CA258" s="515"/>
      <c r="CB258" s="515"/>
      <c r="CC258" s="515"/>
      <c r="CD258" s="515"/>
      <c r="CE258" s="515"/>
      <c r="CF258" s="515"/>
      <c r="CG258" s="515"/>
      <c r="CH258" s="515"/>
      <c r="CI258" s="515"/>
      <c r="CJ258" s="515"/>
      <c r="CK258" s="515"/>
      <c r="CL258" s="515"/>
      <c r="CM258" s="515"/>
      <c r="CN258" s="515"/>
      <c r="CO258" s="515"/>
      <c r="CP258" s="515"/>
      <c r="CQ258" s="515"/>
      <c r="CR258" s="515"/>
      <c r="CS258" s="515"/>
      <c r="CT258" s="515"/>
      <c r="CU258" s="515"/>
      <c r="CV258" s="515"/>
      <c r="CW258" s="515"/>
      <c r="CX258" s="515"/>
      <c r="CY258" s="515"/>
      <c r="CZ258" s="515"/>
      <c r="DA258" s="515"/>
      <c r="DB258" s="515"/>
      <c r="DC258" s="515"/>
      <c r="DD258" s="515"/>
      <c r="DE258" s="515"/>
      <c r="DF258" s="515"/>
      <c r="DG258" s="515"/>
      <c r="DH258" s="515"/>
      <c r="DI258" s="515"/>
      <c r="DJ258" s="515"/>
      <c r="DK258" s="515"/>
      <c r="DL258" s="515"/>
      <c r="DM258" s="515"/>
      <c r="DN258" s="515"/>
      <c r="DO258" s="515"/>
      <c r="DP258" s="515"/>
      <c r="DQ258" s="515"/>
      <c r="DR258" s="515"/>
      <c r="DS258" s="515"/>
      <c r="DT258" s="515"/>
      <c r="DU258" s="515"/>
      <c r="DV258" s="515"/>
      <c r="DW258" s="515"/>
    </row>
    <row r="259" spans="1:257" s="343" customFormat="1" x14ac:dyDescent="0.2">
      <c r="A259" s="515"/>
      <c r="B259" s="445"/>
      <c r="C259" s="534"/>
      <c r="D259" s="544" t="str">
        <f>$D$140</f>
        <v xml:space="preserve">Option 4: </v>
      </c>
      <c r="E259" s="560" t="str">
        <f>E258</f>
        <v>Pending AER guideline</v>
      </c>
      <c r="F259" s="580"/>
      <c r="G259" s="582"/>
      <c r="H259" s="582"/>
      <c r="I259" s="582"/>
      <c r="J259" s="582"/>
      <c r="K259" s="582"/>
      <c r="L259" s="582"/>
      <c r="M259" s="582"/>
      <c r="N259" s="582"/>
      <c r="O259" s="582"/>
      <c r="P259" s="582"/>
      <c r="Q259" s="582"/>
      <c r="R259" s="582"/>
      <c r="S259" s="582"/>
      <c r="T259" s="582"/>
      <c r="U259" s="582"/>
      <c r="V259" s="582"/>
      <c r="W259" s="582"/>
      <c r="X259" s="582"/>
      <c r="Y259" s="582"/>
      <c r="Z259" s="582"/>
      <c r="AA259" s="446"/>
      <c r="AB259" s="447"/>
      <c r="AC259" s="515"/>
      <c r="AD259" s="515"/>
      <c r="AE259" s="515"/>
      <c r="AF259" s="515"/>
      <c r="AG259" s="515"/>
      <c r="AH259" s="515"/>
      <c r="AI259" s="515"/>
      <c r="AJ259" s="515"/>
      <c r="AK259" s="515"/>
      <c r="AL259" s="515"/>
      <c r="AM259" s="515"/>
      <c r="AN259" s="515"/>
      <c r="AO259" s="515"/>
      <c r="AP259" s="515"/>
      <c r="AQ259" s="515"/>
      <c r="AR259" s="515"/>
      <c r="AS259" s="515"/>
      <c r="AT259" s="515"/>
      <c r="AU259" s="515"/>
      <c r="AV259" s="515"/>
      <c r="AW259" s="515"/>
      <c r="AX259" s="515"/>
      <c r="AY259" s="515"/>
      <c r="AZ259" s="515"/>
      <c r="BA259" s="515"/>
      <c r="BB259" s="515"/>
      <c r="BC259" s="515"/>
      <c r="BD259" s="515"/>
      <c r="BE259" s="515"/>
      <c r="BF259" s="515"/>
      <c r="BG259" s="515"/>
      <c r="BH259" s="515"/>
      <c r="BI259" s="515"/>
      <c r="BJ259" s="515"/>
      <c r="BK259" s="515"/>
      <c r="BL259" s="515"/>
      <c r="BM259" s="515"/>
      <c r="BN259" s="515"/>
      <c r="BO259" s="515"/>
      <c r="BP259" s="515"/>
      <c r="BQ259" s="515"/>
      <c r="BR259" s="515"/>
      <c r="BS259" s="515"/>
      <c r="BT259" s="515"/>
      <c r="BU259" s="515"/>
      <c r="BV259" s="515"/>
      <c r="BW259" s="515"/>
      <c r="BX259" s="515"/>
      <c r="BY259" s="515"/>
      <c r="BZ259" s="515"/>
      <c r="CA259" s="515"/>
      <c r="CB259" s="515"/>
      <c r="CC259" s="515"/>
      <c r="CD259" s="515"/>
      <c r="CE259" s="515"/>
      <c r="CF259" s="515"/>
      <c r="CG259" s="515"/>
      <c r="CH259" s="515"/>
      <c r="CI259" s="515"/>
      <c r="CJ259" s="515"/>
      <c r="CK259" s="515"/>
      <c r="CL259" s="515"/>
      <c r="CM259" s="515"/>
      <c r="CN259" s="515"/>
      <c r="CO259" s="515"/>
      <c r="CP259" s="515"/>
      <c r="CQ259" s="515"/>
      <c r="CR259" s="515"/>
      <c r="CS259" s="515"/>
      <c r="CT259" s="515"/>
      <c r="CU259" s="515"/>
      <c r="CV259" s="515"/>
      <c r="CW259" s="515"/>
      <c r="CX259" s="515"/>
      <c r="CY259" s="515"/>
      <c r="CZ259" s="515"/>
      <c r="DA259" s="515"/>
      <c r="DB259" s="515"/>
      <c r="DC259" s="515"/>
      <c r="DD259" s="515"/>
      <c r="DE259" s="515"/>
      <c r="DF259" s="515"/>
      <c r="DG259" s="515"/>
      <c r="DH259" s="515"/>
      <c r="DI259" s="515"/>
      <c r="DJ259" s="515"/>
      <c r="DK259" s="515"/>
      <c r="DL259" s="515"/>
      <c r="DM259" s="515"/>
      <c r="DN259" s="515"/>
      <c r="DO259" s="515"/>
      <c r="DP259" s="515"/>
      <c r="DQ259" s="515"/>
      <c r="DR259" s="515"/>
      <c r="DS259" s="515"/>
      <c r="DT259" s="515"/>
      <c r="DU259" s="515"/>
      <c r="DV259" s="515"/>
      <c r="DW259" s="515"/>
    </row>
    <row r="260" spans="1:257" s="343" customFormat="1" x14ac:dyDescent="0.2">
      <c r="A260" s="515"/>
      <c r="B260" s="445"/>
      <c r="C260" s="534"/>
      <c r="D260" s="544" t="str">
        <f>$D$169</f>
        <v xml:space="preserve">Option 5: </v>
      </c>
      <c r="E260" s="560" t="str">
        <f>E259</f>
        <v>Pending AER guideline</v>
      </c>
      <c r="F260" s="580"/>
      <c r="G260" s="581"/>
      <c r="H260" s="581"/>
      <c r="I260" s="581"/>
      <c r="J260" s="581"/>
      <c r="K260" s="581"/>
      <c r="L260" s="581"/>
      <c r="M260" s="581"/>
      <c r="N260" s="581"/>
      <c r="O260" s="581"/>
      <c r="P260" s="581"/>
      <c r="Q260" s="581"/>
      <c r="R260" s="581"/>
      <c r="S260" s="581"/>
      <c r="T260" s="581"/>
      <c r="U260" s="581"/>
      <c r="V260" s="581"/>
      <c r="W260" s="581"/>
      <c r="X260" s="581"/>
      <c r="Y260" s="581"/>
      <c r="Z260" s="581"/>
      <c r="AA260" s="446"/>
      <c r="AB260" s="447"/>
      <c r="AC260" s="515"/>
      <c r="AD260" s="515"/>
      <c r="AE260" s="515"/>
      <c r="AF260" s="515"/>
      <c r="AG260" s="515"/>
      <c r="AH260" s="515"/>
      <c r="AI260" s="515"/>
      <c r="AJ260" s="515"/>
      <c r="AK260" s="515"/>
      <c r="AL260" s="515"/>
      <c r="AM260" s="515"/>
      <c r="AN260" s="515"/>
      <c r="AO260" s="515"/>
      <c r="AP260" s="515"/>
      <c r="AQ260" s="515"/>
      <c r="AR260" s="515"/>
      <c r="AS260" s="515"/>
      <c r="AT260" s="515"/>
      <c r="AU260" s="515"/>
      <c r="AV260" s="515"/>
      <c r="AW260" s="515"/>
      <c r="AX260" s="515"/>
      <c r="AY260" s="515"/>
      <c r="AZ260" s="515"/>
      <c r="BA260" s="515"/>
      <c r="BB260" s="515"/>
      <c r="BC260" s="515"/>
      <c r="BD260" s="515"/>
      <c r="BE260" s="515"/>
      <c r="BF260" s="515"/>
      <c r="BG260" s="515"/>
      <c r="BH260" s="515"/>
      <c r="BI260" s="515"/>
      <c r="BJ260" s="515"/>
      <c r="BK260" s="515"/>
      <c r="BL260" s="515"/>
      <c r="BM260" s="515"/>
      <c r="BN260" s="515"/>
      <c r="BO260" s="515"/>
      <c r="BP260" s="515"/>
      <c r="BQ260" s="515"/>
      <c r="BR260" s="515"/>
      <c r="BS260" s="515"/>
      <c r="BT260" s="515"/>
      <c r="BU260" s="515"/>
      <c r="BV260" s="515"/>
      <c r="BW260" s="515"/>
      <c r="BX260" s="515"/>
      <c r="BY260" s="515"/>
      <c r="BZ260" s="515"/>
      <c r="CA260" s="515"/>
      <c r="CB260" s="515"/>
      <c r="CC260" s="515"/>
      <c r="CD260" s="515"/>
      <c r="CE260" s="515"/>
      <c r="CF260" s="515"/>
      <c r="CG260" s="515"/>
      <c r="CH260" s="515"/>
      <c r="CI260" s="515"/>
      <c r="CJ260" s="515"/>
      <c r="CK260" s="515"/>
      <c r="CL260" s="515"/>
      <c r="CM260" s="515"/>
      <c r="CN260" s="515"/>
      <c r="CO260" s="515"/>
      <c r="CP260" s="515"/>
      <c r="CQ260" s="515"/>
      <c r="CR260" s="515"/>
      <c r="CS260" s="515"/>
      <c r="CT260" s="515"/>
      <c r="CU260" s="515"/>
      <c r="CV260" s="515"/>
      <c r="CW260" s="515"/>
      <c r="CX260" s="515"/>
      <c r="CY260" s="515"/>
      <c r="CZ260" s="515"/>
      <c r="DA260" s="515"/>
      <c r="DB260" s="515"/>
      <c r="DC260" s="515"/>
      <c r="DD260" s="515"/>
      <c r="DE260" s="515"/>
      <c r="DF260" s="515"/>
      <c r="DG260" s="515"/>
      <c r="DH260" s="515"/>
      <c r="DI260" s="515"/>
      <c r="DJ260" s="515"/>
      <c r="DK260" s="515"/>
      <c r="DL260" s="515"/>
      <c r="DM260" s="515"/>
      <c r="DN260" s="515"/>
      <c r="DO260" s="515"/>
      <c r="DP260" s="515"/>
      <c r="DQ260" s="515"/>
      <c r="DR260" s="515"/>
      <c r="DS260" s="515"/>
      <c r="DT260" s="515"/>
      <c r="DU260" s="515"/>
      <c r="DV260" s="515"/>
      <c r="DW260" s="515"/>
    </row>
    <row r="261" spans="1:257" s="343" customFormat="1" x14ac:dyDescent="0.2">
      <c r="A261" s="515"/>
      <c r="B261" s="569"/>
      <c r="C261" s="534"/>
      <c r="D261" s="564"/>
      <c r="E261" s="570"/>
      <c r="F261" s="564"/>
      <c r="G261" s="564"/>
      <c r="H261" s="564"/>
      <c r="I261" s="564"/>
      <c r="J261" s="564"/>
      <c r="K261" s="564"/>
      <c r="L261" s="564"/>
      <c r="M261" s="564"/>
      <c r="N261" s="564"/>
      <c r="O261" s="564"/>
      <c r="P261" s="564"/>
      <c r="Q261" s="564"/>
      <c r="R261" s="564"/>
      <c r="S261" s="564"/>
      <c r="T261" s="564"/>
      <c r="U261" s="564"/>
      <c r="V261" s="564"/>
      <c r="W261" s="564"/>
      <c r="X261" s="564"/>
      <c r="Y261" s="564"/>
      <c r="Z261" s="564"/>
      <c r="AA261" s="564"/>
      <c r="AB261" s="565"/>
      <c r="AC261" s="515"/>
      <c r="AD261" s="515"/>
      <c r="AE261" s="515"/>
      <c r="AF261" s="515"/>
      <c r="AG261" s="515"/>
      <c r="AH261" s="515"/>
      <c r="AI261" s="515"/>
      <c r="AJ261" s="515"/>
      <c r="AK261" s="515"/>
      <c r="AL261" s="515"/>
      <c r="AM261" s="515"/>
      <c r="AN261" s="515"/>
      <c r="AO261" s="515"/>
      <c r="AP261" s="515"/>
      <c r="AQ261" s="515"/>
      <c r="AR261" s="515"/>
      <c r="AS261" s="515"/>
      <c r="AT261" s="515"/>
      <c r="AU261" s="515"/>
      <c r="AV261" s="515"/>
      <c r="AW261" s="515"/>
      <c r="AX261" s="515"/>
      <c r="AY261" s="515"/>
      <c r="AZ261" s="515"/>
      <c r="BA261" s="515"/>
      <c r="BB261" s="515"/>
      <c r="BC261" s="515"/>
      <c r="BD261" s="515"/>
      <c r="BE261" s="515"/>
      <c r="BF261" s="515"/>
      <c r="BG261" s="515"/>
      <c r="BH261" s="515"/>
      <c r="BI261" s="515"/>
      <c r="BJ261" s="515"/>
      <c r="BK261" s="515"/>
      <c r="BL261" s="515"/>
      <c r="BM261" s="515"/>
      <c r="BN261" s="515"/>
      <c r="BO261" s="515"/>
      <c r="BP261" s="515"/>
      <c r="BQ261" s="515"/>
      <c r="BR261" s="515"/>
      <c r="BS261" s="515"/>
      <c r="BT261" s="515"/>
      <c r="BU261" s="515"/>
      <c r="BV261" s="515"/>
      <c r="BW261" s="515"/>
      <c r="BX261" s="515"/>
      <c r="BY261" s="515"/>
      <c r="BZ261" s="515"/>
      <c r="CA261" s="515"/>
      <c r="CB261" s="515"/>
      <c r="CC261" s="515"/>
      <c r="CD261" s="515"/>
      <c r="CE261" s="515"/>
      <c r="CF261" s="515"/>
      <c r="CG261" s="515"/>
      <c r="CH261" s="515"/>
      <c r="CI261" s="515"/>
      <c r="CJ261" s="515"/>
      <c r="CK261" s="515"/>
      <c r="CL261" s="515"/>
      <c r="CM261" s="515"/>
      <c r="CN261" s="515"/>
      <c r="CO261" s="515"/>
      <c r="CP261" s="515"/>
      <c r="CQ261" s="515"/>
      <c r="CR261" s="515"/>
      <c r="CS261" s="515"/>
      <c r="CT261" s="515"/>
      <c r="CU261" s="515"/>
      <c r="CV261" s="515"/>
      <c r="CW261" s="515"/>
      <c r="CX261" s="515"/>
      <c r="CY261" s="515"/>
      <c r="CZ261" s="515"/>
      <c r="DA261" s="515"/>
      <c r="DB261" s="515"/>
      <c r="DC261" s="515"/>
      <c r="DD261" s="515"/>
      <c r="DE261" s="515"/>
      <c r="DF261" s="515"/>
      <c r="DG261" s="515"/>
      <c r="DH261" s="515"/>
      <c r="DI261" s="515"/>
      <c r="DJ261" s="515"/>
      <c r="DK261" s="515"/>
      <c r="DL261" s="515"/>
      <c r="DM261" s="515"/>
      <c r="DN261" s="515"/>
      <c r="DO261" s="515"/>
      <c r="DP261" s="515"/>
      <c r="DQ261" s="515"/>
      <c r="DR261" s="515"/>
      <c r="DS261" s="515"/>
      <c r="DT261" s="515"/>
      <c r="DU261" s="515"/>
      <c r="DV261" s="515"/>
      <c r="DW261" s="515"/>
    </row>
    <row r="262" spans="1:257" x14ac:dyDescent="0.2">
      <c r="B262" s="445"/>
      <c r="C262" s="534">
        <v>7</v>
      </c>
      <c r="D262" s="559" t="s">
        <v>177</v>
      </c>
      <c r="E262" s="562" t="s">
        <v>224</v>
      </c>
      <c r="F262" s="563"/>
      <c r="G262" s="563">
        <f t="shared" ref="G262:Z262" si="46">G$186</f>
        <v>2021</v>
      </c>
      <c r="H262" s="563">
        <f t="shared" si="46"/>
        <v>2022</v>
      </c>
      <c r="I262" s="563">
        <f t="shared" si="46"/>
        <v>2023</v>
      </c>
      <c r="J262" s="563">
        <f t="shared" si="46"/>
        <v>2024</v>
      </c>
      <c r="K262" s="563">
        <f t="shared" si="46"/>
        <v>2025</v>
      </c>
      <c r="L262" s="563">
        <f t="shared" si="46"/>
        <v>2026</v>
      </c>
      <c r="M262" s="563">
        <f t="shared" si="46"/>
        <v>2027</v>
      </c>
      <c r="N262" s="563">
        <f t="shared" si="46"/>
        <v>2028</v>
      </c>
      <c r="O262" s="563">
        <f t="shared" si="46"/>
        <v>2029</v>
      </c>
      <c r="P262" s="563">
        <f t="shared" si="46"/>
        <v>2030</v>
      </c>
      <c r="Q262" s="563">
        <f t="shared" si="46"/>
        <v>2031</v>
      </c>
      <c r="R262" s="563">
        <f t="shared" si="46"/>
        <v>2032</v>
      </c>
      <c r="S262" s="563">
        <f t="shared" si="46"/>
        <v>2033</v>
      </c>
      <c r="T262" s="563">
        <f t="shared" si="46"/>
        <v>2034</v>
      </c>
      <c r="U262" s="563">
        <f t="shared" si="46"/>
        <v>2035</v>
      </c>
      <c r="V262" s="563">
        <f t="shared" si="46"/>
        <v>2036</v>
      </c>
      <c r="W262" s="563">
        <f t="shared" si="46"/>
        <v>2037</v>
      </c>
      <c r="X262" s="563">
        <f t="shared" si="46"/>
        <v>2038</v>
      </c>
      <c r="Y262" s="563">
        <f t="shared" si="46"/>
        <v>2039</v>
      </c>
      <c r="Z262" s="563">
        <f t="shared" si="46"/>
        <v>2040</v>
      </c>
      <c r="AA262" s="446"/>
      <c r="AB262" s="447"/>
    </row>
    <row r="263" spans="1:257" x14ac:dyDescent="0.2">
      <c r="B263" s="445"/>
      <c r="C263" s="534"/>
      <c r="D263" s="544" t="str">
        <f>$D$24</f>
        <v>"Status Quo" Reference Case</v>
      </c>
      <c r="E263" s="560" t="s">
        <v>174</v>
      </c>
      <c r="F263" s="281"/>
      <c r="G263" s="549"/>
      <c r="H263" s="549"/>
      <c r="I263" s="549"/>
      <c r="J263" s="549"/>
      <c r="K263" s="549"/>
      <c r="L263" s="549"/>
      <c r="M263" s="549"/>
      <c r="N263" s="549"/>
      <c r="O263" s="549"/>
      <c r="P263" s="549"/>
      <c r="Q263" s="549"/>
      <c r="R263" s="549"/>
      <c r="S263" s="549"/>
      <c r="T263" s="549"/>
      <c r="U263" s="549"/>
      <c r="V263" s="549"/>
      <c r="W263" s="549"/>
      <c r="X263" s="549"/>
      <c r="Y263" s="549"/>
      <c r="Z263" s="549"/>
      <c r="AA263" s="446"/>
      <c r="AB263" s="447"/>
    </row>
    <row r="264" spans="1:257" x14ac:dyDescent="0.2">
      <c r="B264" s="445"/>
      <c r="C264" s="534"/>
      <c r="D264" s="544" t="str">
        <f>$D$53</f>
        <v>Option 1: Provide In Meter Capabilities</v>
      </c>
      <c r="E264" s="560" t="s">
        <v>174</v>
      </c>
      <c r="F264" s="281"/>
      <c r="G264" s="549"/>
      <c r="H264" s="549"/>
      <c r="I264" s="549"/>
      <c r="J264" s="549"/>
      <c r="K264" s="549"/>
      <c r="L264" s="549"/>
      <c r="M264" s="549"/>
      <c r="N264" s="549"/>
      <c r="O264" s="549"/>
      <c r="P264" s="549"/>
      <c r="Q264" s="549"/>
      <c r="R264" s="549"/>
      <c r="S264" s="549"/>
      <c r="T264" s="549"/>
      <c r="U264" s="549"/>
      <c r="V264" s="549"/>
      <c r="W264" s="549"/>
      <c r="X264" s="549"/>
      <c r="Y264" s="549"/>
      <c r="Z264" s="549"/>
      <c r="AA264" s="446"/>
      <c r="AB264" s="447"/>
    </row>
    <row r="265" spans="1:257" x14ac:dyDescent="0.2">
      <c r="B265" s="445"/>
      <c r="C265" s="534"/>
      <c r="D265" s="544" t="str">
        <f>$D$82</f>
        <v>Option 2: Provide In Meter Capabilities with Near Real-time Centralised Analytics</v>
      </c>
      <c r="E265" s="560" t="s">
        <v>174</v>
      </c>
      <c r="F265" s="281"/>
      <c r="G265" s="550"/>
      <c r="H265" s="550"/>
      <c r="I265" s="550"/>
      <c r="J265" s="550"/>
      <c r="K265" s="550"/>
      <c r="L265" s="550"/>
      <c r="M265" s="550"/>
      <c r="N265" s="550"/>
      <c r="O265" s="550"/>
      <c r="P265" s="550"/>
      <c r="Q265" s="550"/>
      <c r="R265" s="550"/>
      <c r="S265" s="550"/>
      <c r="T265" s="550"/>
      <c r="U265" s="550"/>
      <c r="V265" s="550"/>
      <c r="W265" s="550"/>
      <c r="X265" s="550"/>
      <c r="Y265" s="550"/>
      <c r="Z265" s="550"/>
      <c r="AA265" s="446"/>
      <c r="AB265" s="447"/>
    </row>
    <row r="266" spans="1:257" x14ac:dyDescent="0.2">
      <c r="B266" s="445"/>
      <c r="C266" s="534"/>
      <c r="D266" s="544" t="str">
        <f>$D$111</f>
        <v xml:space="preserve">Option 3: </v>
      </c>
      <c r="E266" s="560" t="s">
        <v>174</v>
      </c>
      <c r="F266" s="281"/>
      <c r="G266" s="550"/>
      <c r="H266" s="550"/>
      <c r="I266" s="550"/>
      <c r="J266" s="550"/>
      <c r="K266" s="550"/>
      <c r="L266" s="550"/>
      <c r="M266" s="550"/>
      <c r="N266" s="550"/>
      <c r="O266" s="550"/>
      <c r="P266" s="550"/>
      <c r="Q266" s="550"/>
      <c r="R266" s="550"/>
      <c r="S266" s="550"/>
      <c r="T266" s="550"/>
      <c r="U266" s="550"/>
      <c r="V266" s="550"/>
      <c r="W266" s="550"/>
      <c r="X266" s="550"/>
      <c r="Y266" s="550"/>
      <c r="Z266" s="550"/>
      <c r="AA266" s="446"/>
      <c r="AB266" s="447"/>
    </row>
    <row r="267" spans="1:257" x14ac:dyDescent="0.2">
      <c r="B267" s="445"/>
      <c r="C267" s="534"/>
      <c r="D267" s="544" t="str">
        <f>$D$140</f>
        <v xml:space="preserve">Option 4: </v>
      </c>
      <c r="E267" s="560" t="s">
        <v>174</v>
      </c>
      <c r="F267" s="281"/>
      <c r="G267" s="550"/>
      <c r="H267" s="550"/>
      <c r="I267" s="550"/>
      <c r="J267" s="550"/>
      <c r="K267" s="550"/>
      <c r="L267" s="550"/>
      <c r="M267" s="550"/>
      <c r="N267" s="550"/>
      <c r="O267" s="550"/>
      <c r="P267" s="550"/>
      <c r="Q267" s="550"/>
      <c r="R267" s="550"/>
      <c r="S267" s="550"/>
      <c r="T267" s="550"/>
      <c r="U267" s="550"/>
      <c r="V267" s="550"/>
      <c r="W267" s="550"/>
      <c r="X267" s="550"/>
      <c r="Y267" s="550"/>
      <c r="Z267" s="550"/>
      <c r="AA267" s="446"/>
      <c r="AB267" s="447"/>
    </row>
    <row r="268" spans="1:257" x14ac:dyDescent="0.2">
      <c r="B268" s="445"/>
      <c r="C268" s="534"/>
      <c r="D268" s="544" t="str">
        <f>$D$169</f>
        <v xml:space="preserve">Option 5: </v>
      </c>
      <c r="E268" s="560" t="s">
        <v>174</v>
      </c>
      <c r="F268" s="281"/>
      <c r="G268" s="549"/>
      <c r="H268" s="549"/>
      <c r="I268" s="549"/>
      <c r="J268" s="549"/>
      <c r="K268" s="549"/>
      <c r="L268" s="549"/>
      <c r="M268" s="549"/>
      <c r="N268" s="549"/>
      <c r="O268" s="549"/>
      <c r="P268" s="549"/>
      <c r="Q268" s="549"/>
      <c r="R268" s="549"/>
      <c r="S268" s="549"/>
      <c r="T268" s="549"/>
      <c r="U268" s="549"/>
      <c r="V268" s="549"/>
      <c r="W268" s="549"/>
      <c r="X268" s="549"/>
      <c r="Y268" s="549"/>
      <c r="Z268" s="549"/>
      <c r="AA268" s="446"/>
      <c r="AB268" s="447"/>
    </row>
    <row r="269" spans="1:257" x14ac:dyDescent="0.2">
      <c r="B269" s="569"/>
      <c r="C269" s="534"/>
      <c r="D269" s="564"/>
      <c r="E269" s="570"/>
      <c r="F269" s="564"/>
      <c r="G269" s="564"/>
      <c r="H269" s="564"/>
      <c r="I269" s="564"/>
      <c r="J269" s="564"/>
      <c r="K269" s="564"/>
      <c r="L269" s="564"/>
      <c r="M269" s="564"/>
      <c r="N269" s="564"/>
      <c r="O269" s="564"/>
      <c r="P269" s="564"/>
      <c r="Q269" s="564"/>
      <c r="R269" s="564"/>
      <c r="S269" s="564"/>
      <c r="T269" s="564"/>
      <c r="U269" s="564"/>
      <c r="V269" s="564"/>
      <c r="W269" s="564"/>
      <c r="X269" s="564"/>
      <c r="Y269" s="564"/>
      <c r="Z269" s="564"/>
      <c r="AA269" s="564"/>
      <c r="AB269" s="565"/>
    </row>
    <row r="270" spans="1:257" x14ac:dyDescent="0.2">
      <c r="B270" s="445"/>
      <c r="C270" s="534">
        <v>8</v>
      </c>
      <c r="D270" s="559" t="s">
        <v>175</v>
      </c>
      <c r="E270" s="562" t="s">
        <v>225</v>
      </c>
      <c r="F270" s="563"/>
      <c r="G270" s="563">
        <f t="shared" ref="G270:Z270" si="47">G$186</f>
        <v>2021</v>
      </c>
      <c r="H270" s="563">
        <f t="shared" si="47"/>
        <v>2022</v>
      </c>
      <c r="I270" s="563">
        <f t="shared" si="47"/>
        <v>2023</v>
      </c>
      <c r="J270" s="563">
        <f t="shared" si="47"/>
        <v>2024</v>
      </c>
      <c r="K270" s="563">
        <f t="shared" si="47"/>
        <v>2025</v>
      </c>
      <c r="L270" s="563">
        <f t="shared" si="47"/>
        <v>2026</v>
      </c>
      <c r="M270" s="563">
        <f t="shared" si="47"/>
        <v>2027</v>
      </c>
      <c r="N270" s="563">
        <f t="shared" si="47"/>
        <v>2028</v>
      </c>
      <c r="O270" s="563">
        <f t="shared" si="47"/>
        <v>2029</v>
      </c>
      <c r="P270" s="563">
        <f t="shared" si="47"/>
        <v>2030</v>
      </c>
      <c r="Q270" s="563">
        <f t="shared" si="47"/>
        <v>2031</v>
      </c>
      <c r="R270" s="563">
        <f t="shared" si="47"/>
        <v>2032</v>
      </c>
      <c r="S270" s="563">
        <f t="shared" si="47"/>
        <v>2033</v>
      </c>
      <c r="T270" s="563">
        <f t="shared" si="47"/>
        <v>2034</v>
      </c>
      <c r="U270" s="563">
        <f t="shared" si="47"/>
        <v>2035</v>
      </c>
      <c r="V270" s="563">
        <f t="shared" si="47"/>
        <v>2036</v>
      </c>
      <c r="W270" s="563">
        <f t="shared" si="47"/>
        <v>2037</v>
      </c>
      <c r="X270" s="563">
        <f t="shared" si="47"/>
        <v>2038</v>
      </c>
      <c r="Y270" s="563">
        <f t="shared" si="47"/>
        <v>2039</v>
      </c>
      <c r="Z270" s="563">
        <f t="shared" si="47"/>
        <v>2040</v>
      </c>
      <c r="AA270" s="446"/>
      <c r="AB270" s="447"/>
    </row>
    <row r="271" spans="1:257" x14ac:dyDescent="0.2">
      <c r="B271" s="445"/>
      <c r="C271" s="534"/>
      <c r="D271" s="544" t="str">
        <f>$D$24</f>
        <v>"Status Quo" Reference Case</v>
      </c>
      <c r="E271" s="560" t="s">
        <v>226</v>
      </c>
      <c r="F271" s="580"/>
      <c r="G271" s="581"/>
      <c r="H271" s="581"/>
      <c r="I271" s="581"/>
      <c r="J271" s="581"/>
      <c r="K271" s="581"/>
      <c r="L271" s="581"/>
      <c r="M271" s="581"/>
      <c r="N271" s="581"/>
      <c r="O271" s="581"/>
      <c r="P271" s="581"/>
      <c r="Q271" s="581"/>
      <c r="R271" s="581"/>
      <c r="S271" s="581"/>
      <c r="T271" s="581"/>
      <c r="U271" s="581"/>
      <c r="V271" s="581"/>
      <c r="W271" s="581"/>
      <c r="X271" s="581"/>
      <c r="Y271" s="581"/>
      <c r="Z271" s="581"/>
      <c r="AA271" s="446"/>
      <c r="AB271" s="447"/>
      <c r="AC271" s="515"/>
      <c r="AD271" s="515"/>
      <c r="AE271" s="515"/>
      <c r="AF271" s="515"/>
      <c r="AG271" s="515"/>
      <c r="AH271" s="515"/>
      <c r="AI271" s="515"/>
      <c r="AJ271" s="515"/>
      <c r="AK271" s="515"/>
      <c r="AL271" s="515"/>
      <c r="AM271" s="515"/>
      <c r="AN271" s="515"/>
      <c r="AO271" s="515"/>
      <c r="AP271" s="515"/>
      <c r="AQ271" s="515"/>
      <c r="AR271" s="515"/>
      <c r="AS271" s="515"/>
      <c r="AT271" s="515"/>
      <c r="AU271" s="515"/>
      <c r="AV271" s="515"/>
      <c r="AW271" s="515"/>
      <c r="AX271" s="515"/>
      <c r="AY271" s="515"/>
      <c r="AZ271" s="515"/>
      <c r="BA271" s="515"/>
      <c r="BB271" s="515"/>
      <c r="BC271" s="515"/>
      <c r="BD271" s="515"/>
      <c r="BE271" s="515"/>
      <c r="BF271" s="515"/>
      <c r="BG271" s="515"/>
      <c r="BH271" s="515"/>
      <c r="BI271" s="515"/>
      <c r="BJ271" s="515"/>
      <c r="BK271" s="515"/>
      <c r="BL271" s="515"/>
      <c r="BM271" s="515"/>
      <c r="BN271" s="515"/>
      <c r="BO271" s="515"/>
      <c r="BP271" s="515"/>
      <c r="BQ271" s="515"/>
      <c r="BR271" s="515"/>
      <c r="BS271" s="515"/>
      <c r="BT271" s="515"/>
      <c r="BU271" s="515"/>
      <c r="BV271" s="515"/>
      <c r="BW271" s="515"/>
      <c r="BX271" s="515"/>
      <c r="BY271" s="515"/>
      <c r="BZ271" s="515"/>
      <c r="CA271" s="515"/>
      <c r="CB271" s="515"/>
      <c r="CC271" s="515"/>
      <c r="CD271" s="515"/>
      <c r="CE271" s="515"/>
      <c r="CF271" s="515"/>
      <c r="CG271" s="515"/>
      <c r="CH271" s="515"/>
      <c r="CI271" s="515"/>
      <c r="CJ271" s="515"/>
      <c r="CK271" s="515"/>
      <c r="CL271" s="515"/>
      <c r="CM271" s="515"/>
      <c r="CN271" s="515"/>
      <c r="CO271" s="515"/>
      <c r="CP271" s="515"/>
      <c r="CQ271" s="515"/>
      <c r="CR271" s="515"/>
      <c r="CS271" s="515"/>
      <c r="CT271" s="515"/>
      <c r="CU271" s="515"/>
      <c r="CV271" s="515"/>
      <c r="CW271" s="515"/>
      <c r="CX271" s="515"/>
      <c r="CY271" s="515"/>
      <c r="CZ271" s="515"/>
      <c r="DA271" s="515"/>
      <c r="DB271" s="515"/>
      <c r="DC271" s="515"/>
      <c r="DD271" s="515"/>
      <c r="DE271" s="515"/>
      <c r="DF271" s="515"/>
      <c r="DG271" s="515"/>
      <c r="DH271" s="515"/>
      <c r="DI271" s="515"/>
      <c r="DJ271" s="515"/>
      <c r="DK271" s="515"/>
      <c r="DL271" s="515"/>
      <c r="DM271" s="515"/>
      <c r="DN271" s="515"/>
      <c r="DO271" s="515"/>
      <c r="DP271" s="515"/>
      <c r="DQ271" s="515"/>
      <c r="DR271" s="515"/>
      <c r="DS271" s="515"/>
      <c r="DT271" s="515"/>
      <c r="DU271" s="515"/>
      <c r="DV271" s="515"/>
      <c r="DW271" s="515"/>
      <c r="DX271" s="343"/>
      <c r="DY271" s="343"/>
      <c r="DZ271" s="343"/>
      <c r="EA271" s="343"/>
      <c r="EB271" s="343"/>
      <c r="EC271" s="343"/>
      <c r="ED271" s="343"/>
      <c r="EE271" s="343"/>
      <c r="EF271" s="343"/>
      <c r="EG271" s="343"/>
      <c r="EH271" s="343"/>
      <c r="EI271" s="343"/>
      <c r="EJ271" s="343"/>
      <c r="EK271" s="343"/>
      <c r="EL271" s="343"/>
      <c r="EM271" s="343"/>
      <c r="EN271" s="343"/>
      <c r="EO271" s="343"/>
      <c r="EP271" s="343"/>
      <c r="EQ271" s="343"/>
      <c r="ER271" s="343"/>
      <c r="ES271" s="343"/>
      <c r="ET271" s="343"/>
      <c r="EU271" s="343"/>
      <c r="EV271" s="343"/>
      <c r="EW271" s="343"/>
      <c r="EX271" s="343"/>
      <c r="EY271" s="343"/>
      <c r="EZ271" s="343"/>
      <c r="FA271" s="343"/>
      <c r="FB271" s="343"/>
      <c r="FC271" s="343"/>
      <c r="FD271" s="343"/>
      <c r="FE271" s="343"/>
      <c r="FF271" s="343"/>
      <c r="FG271" s="343"/>
      <c r="FH271" s="343"/>
      <c r="FI271" s="343"/>
      <c r="FJ271" s="343"/>
      <c r="FK271" s="343"/>
      <c r="FL271" s="343"/>
      <c r="FM271" s="343"/>
      <c r="FN271" s="343"/>
      <c r="FO271" s="343"/>
      <c r="FP271" s="343"/>
      <c r="FQ271" s="343"/>
      <c r="FR271" s="343"/>
      <c r="FS271" s="343"/>
      <c r="FT271" s="343"/>
      <c r="FU271" s="343"/>
      <c r="FV271" s="343"/>
      <c r="FW271" s="343"/>
      <c r="FX271" s="343"/>
      <c r="FY271" s="343"/>
      <c r="FZ271" s="343"/>
      <c r="GA271" s="343"/>
      <c r="GB271" s="343"/>
      <c r="GC271" s="343"/>
      <c r="GD271" s="343"/>
      <c r="GE271" s="343"/>
      <c r="GF271" s="343"/>
      <c r="GG271" s="343"/>
      <c r="GH271" s="343"/>
      <c r="GI271" s="343"/>
      <c r="GJ271" s="343"/>
      <c r="GK271" s="343"/>
      <c r="GL271" s="343"/>
      <c r="GM271" s="343"/>
      <c r="GN271" s="343"/>
      <c r="GO271" s="343"/>
      <c r="GP271" s="343"/>
      <c r="GQ271" s="343"/>
      <c r="GR271" s="343"/>
      <c r="GS271" s="343"/>
      <c r="GT271" s="343"/>
      <c r="GU271" s="343"/>
      <c r="GV271" s="343"/>
      <c r="GW271" s="343"/>
      <c r="GX271" s="343"/>
      <c r="GY271" s="343"/>
      <c r="GZ271" s="343"/>
      <c r="HA271" s="343"/>
      <c r="HB271" s="343"/>
      <c r="HC271" s="343"/>
      <c r="HD271" s="343"/>
      <c r="HE271" s="343"/>
      <c r="HF271" s="343"/>
      <c r="HG271" s="343"/>
      <c r="HH271" s="343"/>
      <c r="HI271" s="343"/>
      <c r="HJ271" s="343"/>
      <c r="HK271" s="343"/>
      <c r="HL271" s="343"/>
      <c r="HM271" s="343"/>
      <c r="HN271" s="343"/>
      <c r="HO271" s="343"/>
      <c r="HP271" s="343"/>
      <c r="HQ271" s="343"/>
      <c r="HR271" s="343"/>
      <c r="HS271" s="343"/>
      <c r="HT271" s="343"/>
      <c r="HU271" s="343"/>
      <c r="HV271" s="343"/>
      <c r="HW271" s="343"/>
      <c r="HX271" s="343"/>
      <c r="HY271" s="343"/>
      <c r="HZ271" s="343"/>
      <c r="IA271" s="343"/>
      <c r="IB271" s="343"/>
      <c r="IC271" s="343"/>
      <c r="ID271" s="343"/>
      <c r="IE271" s="343"/>
      <c r="IF271" s="343"/>
      <c r="IG271" s="343"/>
      <c r="IH271" s="343"/>
      <c r="II271" s="343"/>
      <c r="IJ271" s="343"/>
      <c r="IK271" s="343"/>
      <c r="IL271" s="343"/>
      <c r="IM271" s="343"/>
      <c r="IN271" s="343"/>
      <c r="IO271" s="343"/>
      <c r="IP271" s="343"/>
      <c r="IQ271" s="343"/>
      <c r="IR271" s="343"/>
      <c r="IS271" s="343"/>
      <c r="IT271" s="343"/>
      <c r="IU271" s="343"/>
      <c r="IV271" s="343"/>
      <c r="IW271" s="343"/>
    </row>
    <row r="272" spans="1:257" x14ac:dyDescent="0.2">
      <c r="B272" s="445"/>
      <c r="C272" s="534"/>
      <c r="D272" s="544" t="str">
        <f>$D$53</f>
        <v>Option 1: Provide In Meter Capabilities</v>
      </c>
      <c r="E272" s="560" t="str">
        <f>E271</f>
        <v>To be determined by the AER</v>
      </c>
      <c r="F272" s="580"/>
      <c r="G272" s="581"/>
      <c r="H272" s="581"/>
      <c r="I272" s="581"/>
      <c r="J272" s="581"/>
      <c r="K272" s="581"/>
      <c r="L272" s="581"/>
      <c r="M272" s="581"/>
      <c r="N272" s="581"/>
      <c r="O272" s="581"/>
      <c r="P272" s="581"/>
      <c r="Q272" s="581"/>
      <c r="R272" s="581"/>
      <c r="S272" s="581"/>
      <c r="T272" s="581"/>
      <c r="U272" s="581"/>
      <c r="V272" s="581"/>
      <c r="W272" s="581"/>
      <c r="X272" s="581"/>
      <c r="Y272" s="581"/>
      <c r="Z272" s="581"/>
      <c r="AA272" s="446"/>
      <c r="AB272" s="447"/>
      <c r="AC272" s="515"/>
      <c r="AD272" s="515"/>
      <c r="AE272" s="515"/>
      <c r="AF272" s="515"/>
      <c r="AG272" s="515"/>
      <c r="AH272" s="515"/>
      <c r="AI272" s="515"/>
      <c r="AJ272" s="515"/>
      <c r="AK272" s="515"/>
      <c r="AL272" s="515"/>
      <c r="AM272" s="515"/>
      <c r="AN272" s="515"/>
      <c r="AO272" s="515"/>
      <c r="AP272" s="515"/>
      <c r="AQ272" s="515"/>
      <c r="AR272" s="515"/>
      <c r="AS272" s="515"/>
      <c r="AT272" s="515"/>
      <c r="AU272" s="515"/>
      <c r="AV272" s="515"/>
      <c r="AW272" s="515"/>
      <c r="AX272" s="515"/>
      <c r="AY272" s="515"/>
      <c r="AZ272" s="515"/>
      <c r="BA272" s="515"/>
      <c r="BB272" s="515"/>
      <c r="BC272" s="515"/>
      <c r="BD272" s="515"/>
      <c r="BE272" s="515"/>
      <c r="BF272" s="515"/>
      <c r="BG272" s="515"/>
      <c r="BH272" s="515"/>
      <c r="BI272" s="515"/>
      <c r="BJ272" s="515"/>
      <c r="BK272" s="515"/>
      <c r="BL272" s="515"/>
      <c r="BM272" s="515"/>
      <c r="BN272" s="515"/>
      <c r="BO272" s="515"/>
      <c r="BP272" s="515"/>
      <c r="BQ272" s="515"/>
      <c r="BR272" s="515"/>
      <c r="BS272" s="515"/>
      <c r="BT272" s="515"/>
      <c r="BU272" s="515"/>
      <c r="BV272" s="515"/>
      <c r="BW272" s="515"/>
      <c r="BX272" s="515"/>
      <c r="BY272" s="515"/>
      <c r="BZ272" s="515"/>
      <c r="CA272" s="515"/>
      <c r="CB272" s="515"/>
      <c r="CC272" s="515"/>
      <c r="CD272" s="515"/>
      <c r="CE272" s="515"/>
      <c r="CF272" s="515"/>
      <c r="CG272" s="515"/>
      <c r="CH272" s="515"/>
      <c r="CI272" s="515"/>
      <c r="CJ272" s="515"/>
      <c r="CK272" s="515"/>
      <c r="CL272" s="515"/>
      <c r="CM272" s="515"/>
      <c r="CN272" s="515"/>
      <c r="CO272" s="515"/>
      <c r="CP272" s="515"/>
      <c r="CQ272" s="515"/>
      <c r="CR272" s="515"/>
      <c r="CS272" s="515"/>
      <c r="CT272" s="515"/>
      <c r="CU272" s="515"/>
      <c r="CV272" s="515"/>
      <c r="CW272" s="515"/>
      <c r="CX272" s="515"/>
      <c r="CY272" s="515"/>
      <c r="CZ272" s="515"/>
      <c r="DA272" s="515"/>
      <c r="DB272" s="515"/>
      <c r="DC272" s="515"/>
      <c r="DD272" s="515"/>
      <c r="DE272" s="515"/>
      <c r="DF272" s="515"/>
      <c r="DG272" s="515"/>
      <c r="DH272" s="515"/>
      <c r="DI272" s="515"/>
      <c r="DJ272" s="515"/>
      <c r="DK272" s="515"/>
      <c r="DL272" s="515"/>
      <c r="DM272" s="515"/>
      <c r="DN272" s="515"/>
      <c r="DO272" s="515"/>
      <c r="DP272" s="515"/>
      <c r="DQ272" s="515"/>
      <c r="DR272" s="515"/>
      <c r="DS272" s="515"/>
      <c r="DT272" s="515"/>
      <c r="DU272" s="515"/>
      <c r="DV272" s="515"/>
      <c r="DW272" s="515"/>
      <c r="DX272" s="343"/>
      <c r="DY272" s="343"/>
      <c r="DZ272" s="343"/>
      <c r="EA272" s="343"/>
      <c r="EB272" s="343"/>
      <c r="EC272" s="343"/>
      <c r="ED272" s="343"/>
      <c r="EE272" s="343"/>
      <c r="EF272" s="343"/>
      <c r="EG272" s="343"/>
      <c r="EH272" s="343"/>
      <c r="EI272" s="343"/>
      <c r="EJ272" s="343"/>
      <c r="EK272" s="343"/>
      <c r="EL272" s="343"/>
      <c r="EM272" s="343"/>
      <c r="EN272" s="343"/>
      <c r="EO272" s="343"/>
      <c r="EP272" s="343"/>
      <c r="EQ272" s="343"/>
      <c r="ER272" s="343"/>
      <c r="ES272" s="343"/>
      <c r="ET272" s="343"/>
      <c r="EU272" s="343"/>
      <c r="EV272" s="343"/>
      <c r="EW272" s="343"/>
      <c r="EX272" s="343"/>
      <c r="EY272" s="343"/>
      <c r="EZ272" s="343"/>
      <c r="FA272" s="343"/>
      <c r="FB272" s="343"/>
      <c r="FC272" s="343"/>
      <c r="FD272" s="343"/>
      <c r="FE272" s="343"/>
      <c r="FF272" s="343"/>
      <c r="FG272" s="343"/>
      <c r="FH272" s="343"/>
      <c r="FI272" s="343"/>
      <c r="FJ272" s="343"/>
      <c r="FK272" s="343"/>
      <c r="FL272" s="343"/>
      <c r="FM272" s="343"/>
      <c r="FN272" s="343"/>
      <c r="FO272" s="343"/>
      <c r="FP272" s="343"/>
      <c r="FQ272" s="343"/>
      <c r="FR272" s="343"/>
      <c r="FS272" s="343"/>
      <c r="FT272" s="343"/>
      <c r="FU272" s="343"/>
      <c r="FV272" s="343"/>
      <c r="FW272" s="343"/>
      <c r="FX272" s="343"/>
      <c r="FY272" s="343"/>
      <c r="FZ272" s="343"/>
      <c r="GA272" s="343"/>
      <c r="GB272" s="343"/>
      <c r="GC272" s="343"/>
      <c r="GD272" s="343"/>
      <c r="GE272" s="343"/>
      <c r="GF272" s="343"/>
      <c r="GG272" s="343"/>
      <c r="GH272" s="343"/>
      <c r="GI272" s="343"/>
      <c r="GJ272" s="343"/>
      <c r="GK272" s="343"/>
      <c r="GL272" s="343"/>
      <c r="GM272" s="343"/>
      <c r="GN272" s="343"/>
      <c r="GO272" s="343"/>
      <c r="GP272" s="343"/>
      <c r="GQ272" s="343"/>
      <c r="GR272" s="343"/>
      <c r="GS272" s="343"/>
      <c r="GT272" s="343"/>
      <c r="GU272" s="343"/>
      <c r="GV272" s="343"/>
      <c r="GW272" s="343"/>
      <c r="GX272" s="343"/>
      <c r="GY272" s="343"/>
      <c r="GZ272" s="343"/>
      <c r="HA272" s="343"/>
      <c r="HB272" s="343"/>
      <c r="HC272" s="343"/>
      <c r="HD272" s="343"/>
      <c r="HE272" s="343"/>
      <c r="HF272" s="343"/>
      <c r="HG272" s="343"/>
      <c r="HH272" s="343"/>
      <c r="HI272" s="343"/>
      <c r="HJ272" s="343"/>
      <c r="HK272" s="343"/>
      <c r="HL272" s="343"/>
      <c r="HM272" s="343"/>
      <c r="HN272" s="343"/>
      <c r="HO272" s="343"/>
      <c r="HP272" s="343"/>
      <c r="HQ272" s="343"/>
      <c r="HR272" s="343"/>
      <c r="HS272" s="343"/>
      <c r="HT272" s="343"/>
      <c r="HU272" s="343"/>
      <c r="HV272" s="343"/>
      <c r="HW272" s="343"/>
      <c r="HX272" s="343"/>
      <c r="HY272" s="343"/>
      <c r="HZ272" s="343"/>
      <c r="IA272" s="343"/>
      <c r="IB272" s="343"/>
      <c r="IC272" s="343"/>
      <c r="ID272" s="343"/>
      <c r="IE272" s="343"/>
      <c r="IF272" s="343"/>
      <c r="IG272" s="343"/>
      <c r="IH272" s="343"/>
      <c r="II272" s="343"/>
      <c r="IJ272" s="343"/>
      <c r="IK272" s="343"/>
      <c r="IL272" s="343"/>
      <c r="IM272" s="343"/>
      <c r="IN272" s="343"/>
      <c r="IO272" s="343"/>
      <c r="IP272" s="343"/>
      <c r="IQ272" s="343"/>
      <c r="IR272" s="343"/>
      <c r="IS272" s="343"/>
      <c r="IT272" s="343"/>
      <c r="IU272" s="343"/>
      <c r="IV272" s="343"/>
      <c r="IW272" s="343"/>
    </row>
    <row r="273" spans="1:257" x14ac:dyDescent="0.2">
      <c r="B273" s="445"/>
      <c r="C273" s="534"/>
      <c r="D273" s="544" t="str">
        <f>$D$82</f>
        <v>Option 2: Provide In Meter Capabilities with Near Real-time Centralised Analytics</v>
      </c>
      <c r="E273" s="560" t="str">
        <f>E272</f>
        <v>To be determined by the AER</v>
      </c>
      <c r="F273" s="580"/>
      <c r="G273" s="582"/>
      <c r="H273" s="582"/>
      <c r="I273" s="582"/>
      <c r="J273" s="582"/>
      <c r="K273" s="582"/>
      <c r="L273" s="582"/>
      <c r="M273" s="582"/>
      <c r="N273" s="582"/>
      <c r="O273" s="582"/>
      <c r="P273" s="582"/>
      <c r="Q273" s="582"/>
      <c r="R273" s="582"/>
      <c r="S273" s="582"/>
      <c r="T273" s="582"/>
      <c r="U273" s="582"/>
      <c r="V273" s="582"/>
      <c r="W273" s="582"/>
      <c r="X273" s="582"/>
      <c r="Y273" s="582"/>
      <c r="Z273" s="582"/>
      <c r="AA273" s="446"/>
      <c r="AB273" s="447"/>
      <c r="AC273" s="515"/>
      <c r="AD273" s="515"/>
      <c r="AE273" s="515"/>
      <c r="AF273" s="515"/>
      <c r="AG273" s="515"/>
      <c r="AH273" s="515"/>
      <c r="AI273" s="515"/>
      <c r="AJ273" s="515"/>
      <c r="AK273" s="515"/>
      <c r="AL273" s="515"/>
      <c r="AM273" s="515"/>
      <c r="AN273" s="515"/>
      <c r="AO273" s="515"/>
      <c r="AP273" s="515"/>
      <c r="AQ273" s="515"/>
      <c r="AR273" s="515"/>
      <c r="AS273" s="515"/>
      <c r="AT273" s="515"/>
      <c r="AU273" s="515"/>
      <c r="AV273" s="515"/>
      <c r="AW273" s="515"/>
      <c r="AX273" s="515"/>
      <c r="AY273" s="515"/>
      <c r="AZ273" s="515"/>
      <c r="BA273" s="515"/>
      <c r="BB273" s="515"/>
      <c r="BC273" s="515"/>
      <c r="BD273" s="515"/>
      <c r="BE273" s="515"/>
      <c r="BF273" s="515"/>
      <c r="BG273" s="515"/>
      <c r="BH273" s="515"/>
      <c r="BI273" s="515"/>
      <c r="BJ273" s="515"/>
      <c r="BK273" s="515"/>
      <c r="BL273" s="515"/>
      <c r="BM273" s="515"/>
      <c r="BN273" s="515"/>
      <c r="BO273" s="515"/>
      <c r="BP273" s="515"/>
      <c r="BQ273" s="515"/>
      <c r="BR273" s="515"/>
      <c r="BS273" s="515"/>
      <c r="BT273" s="515"/>
      <c r="BU273" s="515"/>
      <c r="BV273" s="515"/>
      <c r="BW273" s="515"/>
      <c r="BX273" s="515"/>
      <c r="BY273" s="515"/>
      <c r="BZ273" s="515"/>
      <c r="CA273" s="515"/>
      <c r="CB273" s="515"/>
      <c r="CC273" s="515"/>
      <c r="CD273" s="515"/>
      <c r="CE273" s="515"/>
      <c r="CF273" s="515"/>
      <c r="CG273" s="515"/>
      <c r="CH273" s="515"/>
      <c r="CI273" s="515"/>
      <c r="CJ273" s="515"/>
      <c r="CK273" s="515"/>
      <c r="CL273" s="515"/>
      <c r="CM273" s="515"/>
      <c r="CN273" s="515"/>
      <c r="CO273" s="515"/>
      <c r="CP273" s="515"/>
      <c r="CQ273" s="515"/>
      <c r="CR273" s="515"/>
      <c r="CS273" s="515"/>
      <c r="CT273" s="515"/>
      <c r="CU273" s="515"/>
      <c r="CV273" s="515"/>
      <c r="CW273" s="515"/>
      <c r="CX273" s="515"/>
      <c r="CY273" s="515"/>
      <c r="CZ273" s="515"/>
      <c r="DA273" s="515"/>
      <c r="DB273" s="515"/>
      <c r="DC273" s="515"/>
      <c r="DD273" s="515"/>
      <c r="DE273" s="515"/>
      <c r="DF273" s="515"/>
      <c r="DG273" s="515"/>
      <c r="DH273" s="515"/>
      <c r="DI273" s="515"/>
      <c r="DJ273" s="515"/>
      <c r="DK273" s="515"/>
      <c r="DL273" s="515"/>
      <c r="DM273" s="515"/>
      <c r="DN273" s="515"/>
      <c r="DO273" s="515"/>
      <c r="DP273" s="515"/>
      <c r="DQ273" s="515"/>
      <c r="DR273" s="515"/>
      <c r="DS273" s="515"/>
      <c r="DT273" s="515"/>
      <c r="DU273" s="515"/>
      <c r="DV273" s="515"/>
      <c r="DW273" s="515"/>
      <c r="DX273" s="343"/>
      <c r="DY273" s="343"/>
      <c r="DZ273" s="343"/>
      <c r="EA273" s="343"/>
      <c r="EB273" s="343"/>
      <c r="EC273" s="343"/>
      <c r="ED273" s="343"/>
      <c r="EE273" s="343"/>
      <c r="EF273" s="343"/>
      <c r="EG273" s="343"/>
      <c r="EH273" s="343"/>
      <c r="EI273" s="343"/>
      <c r="EJ273" s="343"/>
      <c r="EK273" s="343"/>
      <c r="EL273" s="343"/>
      <c r="EM273" s="343"/>
      <c r="EN273" s="343"/>
      <c r="EO273" s="343"/>
      <c r="EP273" s="343"/>
      <c r="EQ273" s="343"/>
      <c r="ER273" s="343"/>
      <c r="ES273" s="343"/>
      <c r="ET273" s="343"/>
      <c r="EU273" s="343"/>
      <c r="EV273" s="343"/>
      <c r="EW273" s="343"/>
      <c r="EX273" s="343"/>
      <c r="EY273" s="343"/>
      <c r="EZ273" s="343"/>
      <c r="FA273" s="343"/>
      <c r="FB273" s="343"/>
      <c r="FC273" s="343"/>
      <c r="FD273" s="343"/>
      <c r="FE273" s="343"/>
      <c r="FF273" s="343"/>
      <c r="FG273" s="343"/>
      <c r="FH273" s="343"/>
      <c r="FI273" s="343"/>
      <c r="FJ273" s="343"/>
      <c r="FK273" s="343"/>
      <c r="FL273" s="343"/>
      <c r="FM273" s="343"/>
      <c r="FN273" s="343"/>
      <c r="FO273" s="343"/>
      <c r="FP273" s="343"/>
      <c r="FQ273" s="343"/>
      <c r="FR273" s="343"/>
      <c r="FS273" s="343"/>
      <c r="FT273" s="343"/>
      <c r="FU273" s="343"/>
      <c r="FV273" s="343"/>
      <c r="FW273" s="343"/>
      <c r="FX273" s="343"/>
      <c r="FY273" s="343"/>
      <c r="FZ273" s="343"/>
      <c r="GA273" s="343"/>
      <c r="GB273" s="343"/>
      <c r="GC273" s="343"/>
      <c r="GD273" s="343"/>
      <c r="GE273" s="343"/>
      <c r="GF273" s="343"/>
      <c r="GG273" s="343"/>
      <c r="GH273" s="343"/>
      <c r="GI273" s="343"/>
      <c r="GJ273" s="343"/>
      <c r="GK273" s="343"/>
      <c r="GL273" s="343"/>
      <c r="GM273" s="343"/>
      <c r="GN273" s="343"/>
      <c r="GO273" s="343"/>
      <c r="GP273" s="343"/>
      <c r="GQ273" s="343"/>
      <c r="GR273" s="343"/>
      <c r="GS273" s="343"/>
      <c r="GT273" s="343"/>
      <c r="GU273" s="343"/>
      <c r="GV273" s="343"/>
      <c r="GW273" s="343"/>
      <c r="GX273" s="343"/>
      <c r="GY273" s="343"/>
      <c r="GZ273" s="343"/>
      <c r="HA273" s="343"/>
      <c r="HB273" s="343"/>
      <c r="HC273" s="343"/>
      <c r="HD273" s="343"/>
      <c r="HE273" s="343"/>
      <c r="HF273" s="343"/>
      <c r="HG273" s="343"/>
      <c r="HH273" s="343"/>
      <c r="HI273" s="343"/>
      <c r="HJ273" s="343"/>
      <c r="HK273" s="343"/>
      <c r="HL273" s="343"/>
      <c r="HM273" s="343"/>
      <c r="HN273" s="343"/>
      <c r="HO273" s="343"/>
      <c r="HP273" s="343"/>
      <c r="HQ273" s="343"/>
      <c r="HR273" s="343"/>
      <c r="HS273" s="343"/>
      <c r="HT273" s="343"/>
      <c r="HU273" s="343"/>
      <c r="HV273" s="343"/>
      <c r="HW273" s="343"/>
      <c r="HX273" s="343"/>
      <c r="HY273" s="343"/>
      <c r="HZ273" s="343"/>
      <c r="IA273" s="343"/>
      <c r="IB273" s="343"/>
      <c r="IC273" s="343"/>
      <c r="ID273" s="343"/>
      <c r="IE273" s="343"/>
      <c r="IF273" s="343"/>
      <c r="IG273" s="343"/>
      <c r="IH273" s="343"/>
      <c r="II273" s="343"/>
      <c r="IJ273" s="343"/>
      <c r="IK273" s="343"/>
      <c r="IL273" s="343"/>
      <c r="IM273" s="343"/>
      <c r="IN273" s="343"/>
      <c r="IO273" s="343"/>
      <c r="IP273" s="343"/>
      <c r="IQ273" s="343"/>
      <c r="IR273" s="343"/>
      <c r="IS273" s="343"/>
      <c r="IT273" s="343"/>
      <c r="IU273" s="343"/>
      <c r="IV273" s="343"/>
      <c r="IW273" s="343"/>
    </row>
    <row r="274" spans="1:257" x14ac:dyDescent="0.2">
      <c r="B274" s="445"/>
      <c r="C274" s="534"/>
      <c r="D274" s="544" t="str">
        <f>$D$111</f>
        <v xml:space="preserve">Option 3: </v>
      </c>
      <c r="E274" s="560" t="str">
        <f>E273</f>
        <v>To be determined by the AER</v>
      </c>
      <c r="F274" s="580"/>
      <c r="G274" s="582"/>
      <c r="H274" s="582"/>
      <c r="I274" s="582"/>
      <c r="J274" s="582"/>
      <c r="K274" s="582"/>
      <c r="L274" s="582"/>
      <c r="M274" s="582"/>
      <c r="N274" s="582"/>
      <c r="O274" s="582"/>
      <c r="P274" s="582"/>
      <c r="Q274" s="582"/>
      <c r="R274" s="582"/>
      <c r="S274" s="582"/>
      <c r="T274" s="582"/>
      <c r="U274" s="582"/>
      <c r="V274" s="582"/>
      <c r="W274" s="582"/>
      <c r="X274" s="582"/>
      <c r="Y274" s="582"/>
      <c r="Z274" s="582"/>
      <c r="AA274" s="446"/>
      <c r="AB274" s="447"/>
      <c r="AC274" s="515"/>
      <c r="AD274" s="515"/>
      <c r="AE274" s="515"/>
      <c r="AF274" s="515"/>
      <c r="AG274" s="515"/>
      <c r="AH274" s="515"/>
      <c r="AI274" s="515"/>
      <c r="AJ274" s="515"/>
      <c r="AK274" s="515"/>
      <c r="AL274" s="515"/>
      <c r="AM274" s="515"/>
      <c r="AN274" s="515"/>
      <c r="AO274" s="515"/>
      <c r="AP274" s="515"/>
      <c r="AQ274" s="515"/>
      <c r="AR274" s="515"/>
      <c r="AS274" s="515"/>
      <c r="AT274" s="515"/>
      <c r="AU274" s="515"/>
      <c r="AV274" s="515"/>
      <c r="AW274" s="515"/>
      <c r="AX274" s="515"/>
      <c r="AY274" s="515"/>
      <c r="AZ274" s="515"/>
      <c r="BA274" s="515"/>
      <c r="BB274" s="515"/>
      <c r="BC274" s="515"/>
      <c r="BD274" s="515"/>
      <c r="BE274" s="515"/>
      <c r="BF274" s="515"/>
      <c r="BG274" s="515"/>
      <c r="BH274" s="515"/>
      <c r="BI274" s="515"/>
      <c r="BJ274" s="515"/>
      <c r="BK274" s="515"/>
      <c r="BL274" s="515"/>
      <c r="BM274" s="515"/>
      <c r="BN274" s="515"/>
      <c r="BO274" s="515"/>
      <c r="BP274" s="515"/>
      <c r="BQ274" s="515"/>
      <c r="BR274" s="515"/>
      <c r="BS274" s="515"/>
      <c r="BT274" s="515"/>
      <c r="BU274" s="515"/>
      <c r="BV274" s="515"/>
      <c r="BW274" s="515"/>
      <c r="BX274" s="515"/>
      <c r="BY274" s="515"/>
      <c r="BZ274" s="515"/>
      <c r="CA274" s="515"/>
      <c r="CB274" s="515"/>
      <c r="CC274" s="515"/>
      <c r="CD274" s="515"/>
      <c r="CE274" s="515"/>
      <c r="CF274" s="515"/>
      <c r="CG274" s="515"/>
      <c r="CH274" s="515"/>
      <c r="CI274" s="515"/>
      <c r="CJ274" s="515"/>
      <c r="CK274" s="515"/>
      <c r="CL274" s="515"/>
      <c r="CM274" s="515"/>
      <c r="CN274" s="515"/>
      <c r="CO274" s="515"/>
      <c r="CP274" s="515"/>
      <c r="CQ274" s="515"/>
      <c r="CR274" s="515"/>
      <c r="CS274" s="515"/>
      <c r="CT274" s="515"/>
      <c r="CU274" s="515"/>
      <c r="CV274" s="515"/>
      <c r="CW274" s="515"/>
      <c r="CX274" s="515"/>
      <c r="CY274" s="515"/>
      <c r="CZ274" s="515"/>
      <c r="DA274" s="515"/>
      <c r="DB274" s="515"/>
      <c r="DC274" s="515"/>
      <c r="DD274" s="515"/>
      <c r="DE274" s="515"/>
      <c r="DF274" s="515"/>
      <c r="DG274" s="515"/>
      <c r="DH274" s="515"/>
      <c r="DI274" s="515"/>
      <c r="DJ274" s="515"/>
      <c r="DK274" s="515"/>
      <c r="DL274" s="515"/>
      <c r="DM274" s="515"/>
      <c r="DN274" s="515"/>
      <c r="DO274" s="515"/>
      <c r="DP274" s="515"/>
      <c r="DQ274" s="515"/>
      <c r="DR274" s="515"/>
      <c r="DS274" s="515"/>
      <c r="DT274" s="515"/>
      <c r="DU274" s="515"/>
      <c r="DV274" s="515"/>
      <c r="DW274" s="515"/>
      <c r="DX274" s="343"/>
      <c r="DY274" s="343"/>
      <c r="DZ274" s="343"/>
      <c r="EA274" s="343"/>
      <c r="EB274" s="343"/>
      <c r="EC274" s="343"/>
      <c r="ED274" s="343"/>
      <c r="EE274" s="343"/>
      <c r="EF274" s="343"/>
      <c r="EG274" s="343"/>
      <c r="EH274" s="343"/>
      <c r="EI274" s="343"/>
      <c r="EJ274" s="343"/>
      <c r="EK274" s="343"/>
      <c r="EL274" s="343"/>
      <c r="EM274" s="343"/>
      <c r="EN274" s="343"/>
      <c r="EO274" s="343"/>
      <c r="EP274" s="343"/>
      <c r="EQ274" s="343"/>
      <c r="ER274" s="343"/>
      <c r="ES274" s="343"/>
      <c r="ET274" s="343"/>
      <c r="EU274" s="343"/>
      <c r="EV274" s="343"/>
      <c r="EW274" s="343"/>
      <c r="EX274" s="343"/>
      <c r="EY274" s="343"/>
      <c r="EZ274" s="343"/>
      <c r="FA274" s="343"/>
      <c r="FB274" s="343"/>
      <c r="FC274" s="343"/>
      <c r="FD274" s="343"/>
      <c r="FE274" s="343"/>
      <c r="FF274" s="343"/>
      <c r="FG274" s="343"/>
      <c r="FH274" s="343"/>
      <c r="FI274" s="343"/>
      <c r="FJ274" s="343"/>
      <c r="FK274" s="343"/>
      <c r="FL274" s="343"/>
      <c r="FM274" s="343"/>
      <c r="FN274" s="343"/>
      <c r="FO274" s="343"/>
      <c r="FP274" s="343"/>
      <c r="FQ274" s="343"/>
      <c r="FR274" s="343"/>
      <c r="FS274" s="343"/>
      <c r="FT274" s="343"/>
      <c r="FU274" s="343"/>
      <c r="FV274" s="343"/>
      <c r="FW274" s="343"/>
      <c r="FX274" s="343"/>
      <c r="FY274" s="343"/>
      <c r="FZ274" s="343"/>
      <c r="GA274" s="343"/>
      <c r="GB274" s="343"/>
      <c r="GC274" s="343"/>
      <c r="GD274" s="343"/>
      <c r="GE274" s="343"/>
      <c r="GF274" s="343"/>
      <c r="GG274" s="343"/>
      <c r="GH274" s="343"/>
      <c r="GI274" s="343"/>
      <c r="GJ274" s="343"/>
      <c r="GK274" s="343"/>
      <c r="GL274" s="343"/>
      <c r="GM274" s="343"/>
      <c r="GN274" s="343"/>
      <c r="GO274" s="343"/>
      <c r="GP274" s="343"/>
      <c r="GQ274" s="343"/>
      <c r="GR274" s="343"/>
      <c r="GS274" s="343"/>
      <c r="GT274" s="343"/>
      <c r="GU274" s="343"/>
      <c r="GV274" s="343"/>
      <c r="GW274" s="343"/>
      <c r="GX274" s="343"/>
      <c r="GY274" s="343"/>
      <c r="GZ274" s="343"/>
      <c r="HA274" s="343"/>
      <c r="HB274" s="343"/>
      <c r="HC274" s="343"/>
      <c r="HD274" s="343"/>
      <c r="HE274" s="343"/>
      <c r="HF274" s="343"/>
      <c r="HG274" s="343"/>
      <c r="HH274" s="343"/>
      <c r="HI274" s="343"/>
      <c r="HJ274" s="343"/>
      <c r="HK274" s="343"/>
      <c r="HL274" s="343"/>
      <c r="HM274" s="343"/>
      <c r="HN274" s="343"/>
      <c r="HO274" s="343"/>
      <c r="HP274" s="343"/>
      <c r="HQ274" s="343"/>
      <c r="HR274" s="343"/>
      <c r="HS274" s="343"/>
      <c r="HT274" s="343"/>
      <c r="HU274" s="343"/>
      <c r="HV274" s="343"/>
      <c r="HW274" s="343"/>
      <c r="HX274" s="343"/>
      <c r="HY274" s="343"/>
      <c r="HZ274" s="343"/>
      <c r="IA274" s="343"/>
      <c r="IB274" s="343"/>
      <c r="IC274" s="343"/>
      <c r="ID274" s="343"/>
      <c r="IE274" s="343"/>
      <c r="IF274" s="343"/>
      <c r="IG274" s="343"/>
      <c r="IH274" s="343"/>
      <c r="II274" s="343"/>
      <c r="IJ274" s="343"/>
      <c r="IK274" s="343"/>
      <c r="IL274" s="343"/>
      <c r="IM274" s="343"/>
      <c r="IN274" s="343"/>
      <c r="IO274" s="343"/>
      <c r="IP274" s="343"/>
      <c r="IQ274" s="343"/>
      <c r="IR274" s="343"/>
      <c r="IS274" s="343"/>
      <c r="IT274" s="343"/>
      <c r="IU274" s="343"/>
      <c r="IV274" s="343"/>
      <c r="IW274" s="343"/>
    </row>
    <row r="275" spans="1:257" x14ac:dyDescent="0.2">
      <c r="B275" s="445"/>
      <c r="C275" s="534"/>
      <c r="D275" s="544" t="str">
        <f>$D$140</f>
        <v xml:space="preserve">Option 4: </v>
      </c>
      <c r="E275" s="560" t="str">
        <f>E274</f>
        <v>To be determined by the AER</v>
      </c>
      <c r="F275" s="580"/>
      <c r="G275" s="582"/>
      <c r="H275" s="582"/>
      <c r="I275" s="582"/>
      <c r="J275" s="582"/>
      <c r="K275" s="582"/>
      <c r="L275" s="582"/>
      <c r="M275" s="582"/>
      <c r="N275" s="582"/>
      <c r="O275" s="582"/>
      <c r="P275" s="582"/>
      <c r="Q275" s="582"/>
      <c r="R275" s="582"/>
      <c r="S275" s="582"/>
      <c r="T275" s="582"/>
      <c r="U275" s="582"/>
      <c r="V275" s="582"/>
      <c r="W275" s="582"/>
      <c r="X275" s="582"/>
      <c r="Y275" s="582"/>
      <c r="Z275" s="582"/>
      <c r="AA275" s="446"/>
      <c r="AB275" s="447"/>
      <c r="AC275" s="515"/>
      <c r="AD275" s="515"/>
      <c r="AE275" s="515"/>
      <c r="AF275" s="515"/>
      <c r="AG275" s="515"/>
      <c r="AH275" s="515"/>
      <c r="AI275" s="515"/>
      <c r="AJ275" s="515"/>
      <c r="AK275" s="515"/>
      <c r="AL275" s="515"/>
      <c r="AM275" s="515"/>
      <c r="AN275" s="515"/>
      <c r="AO275" s="515"/>
      <c r="AP275" s="515"/>
      <c r="AQ275" s="515"/>
      <c r="AR275" s="515"/>
      <c r="AS275" s="515"/>
      <c r="AT275" s="515"/>
      <c r="AU275" s="515"/>
      <c r="AV275" s="515"/>
      <c r="AW275" s="515"/>
      <c r="AX275" s="515"/>
      <c r="AY275" s="515"/>
      <c r="AZ275" s="515"/>
      <c r="BA275" s="515"/>
      <c r="BB275" s="515"/>
      <c r="BC275" s="515"/>
      <c r="BD275" s="515"/>
      <c r="BE275" s="515"/>
      <c r="BF275" s="515"/>
      <c r="BG275" s="515"/>
      <c r="BH275" s="515"/>
      <c r="BI275" s="515"/>
      <c r="BJ275" s="515"/>
      <c r="BK275" s="515"/>
      <c r="BL275" s="515"/>
      <c r="BM275" s="515"/>
      <c r="BN275" s="515"/>
      <c r="BO275" s="515"/>
      <c r="BP275" s="515"/>
      <c r="BQ275" s="515"/>
      <c r="BR275" s="515"/>
      <c r="BS275" s="515"/>
      <c r="BT275" s="515"/>
      <c r="BU275" s="515"/>
      <c r="BV275" s="515"/>
      <c r="BW275" s="515"/>
      <c r="BX275" s="515"/>
      <c r="BY275" s="515"/>
      <c r="BZ275" s="515"/>
      <c r="CA275" s="515"/>
      <c r="CB275" s="515"/>
      <c r="CC275" s="515"/>
      <c r="CD275" s="515"/>
      <c r="CE275" s="515"/>
      <c r="CF275" s="515"/>
      <c r="CG275" s="515"/>
      <c r="CH275" s="515"/>
      <c r="CI275" s="515"/>
      <c r="CJ275" s="515"/>
      <c r="CK275" s="515"/>
      <c r="CL275" s="515"/>
      <c r="CM275" s="515"/>
      <c r="CN275" s="515"/>
      <c r="CO275" s="515"/>
      <c r="CP275" s="515"/>
      <c r="CQ275" s="515"/>
      <c r="CR275" s="515"/>
      <c r="CS275" s="515"/>
      <c r="CT275" s="515"/>
      <c r="CU275" s="515"/>
      <c r="CV275" s="515"/>
      <c r="CW275" s="515"/>
      <c r="CX275" s="515"/>
      <c r="CY275" s="515"/>
      <c r="CZ275" s="515"/>
      <c r="DA275" s="515"/>
      <c r="DB275" s="515"/>
      <c r="DC275" s="515"/>
      <c r="DD275" s="515"/>
      <c r="DE275" s="515"/>
      <c r="DF275" s="515"/>
      <c r="DG275" s="515"/>
      <c r="DH275" s="515"/>
      <c r="DI275" s="515"/>
      <c r="DJ275" s="515"/>
      <c r="DK275" s="515"/>
      <c r="DL275" s="515"/>
      <c r="DM275" s="515"/>
      <c r="DN275" s="515"/>
      <c r="DO275" s="515"/>
      <c r="DP275" s="515"/>
      <c r="DQ275" s="515"/>
      <c r="DR275" s="515"/>
      <c r="DS275" s="515"/>
      <c r="DT275" s="515"/>
      <c r="DU275" s="515"/>
      <c r="DV275" s="515"/>
      <c r="DW275" s="515"/>
      <c r="DX275" s="343"/>
      <c r="DY275" s="343"/>
      <c r="DZ275" s="343"/>
      <c r="EA275" s="343"/>
      <c r="EB275" s="343"/>
      <c r="EC275" s="343"/>
      <c r="ED275" s="343"/>
      <c r="EE275" s="343"/>
      <c r="EF275" s="343"/>
      <c r="EG275" s="343"/>
      <c r="EH275" s="343"/>
      <c r="EI275" s="343"/>
      <c r="EJ275" s="343"/>
      <c r="EK275" s="343"/>
      <c r="EL275" s="343"/>
      <c r="EM275" s="343"/>
      <c r="EN275" s="343"/>
      <c r="EO275" s="343"/>
      <c r="EP275" s="343"/>
      <c r="EQ275" s="343"/>
      <c r="ER275" s="343"/>
      <c r="ES275" s="343"/>
      <c r="ET275" s="343"/>
      <c r="EU275" s="343"/>
      <c r="EV275" s="343"/>
      <c r="EW275" s="343"/>
      <c r="EX275" s="343"/>
      <c r="EY275" s="343"/>
      <c r="EZ275" s="343"/>
      <c r="FA275" s="343"/>
      <c r="FB275" s="343"/>
      <c r="FC275" s="343"/>
      <c r="FD275" s="343"/>
      <c r="FE275" s="343"/>
      <c r="FF275" s="343"/>
      <c r="FG275" s="343"/>
      <c r="FH275" s="343"/>
      <c r="FI275" s="343"/>
      <c r="FJ275" s="343"/>
      <c r="FK275" s="343"/>
      <c r="FL275" s="343"/>
      <c r="FM275" s="343"/>
      <c r="FN275" s="343"/>
      <c r="FO275" s="343"/>
      <c r="FP275" s="343"/>
      <c r="FQ275" s="343"/>
      <c r="FR275" s="343"/>
      <c r="FS275" s="343"/>
      <c r="FT275" s="343"/>
      <c r="FU275" s="343"/>
      <c r="FV275" s="343"/>
      <c r="FW275" s="343"/>
      <c r="FX275" s="343"/>
      <c r="FY275" s="343"/>
      <c r="FZ275" s="343"/>
      <c r="GA275" s="343"/>
      <c r="GB275" s="343"/>
      <c r="GC275" s="343"/>
      <c r="GD275" s="343"/>
      <c r="GE275" s="343"/>
      <c r="GF275" s="343"/>
      <c r="GG275" s="343"/>
      <c r="GH275" s="343"/>
      <c r="GI275" s="343"/>
      <c r="GJ275" s="343"/>
      <c r="GK275" s="343"/>
      <c r="GL275" s="343"/>
      <c r="GM275" s="343"/>
      <c r="GN275" s="343"/>
      <c r="GO275" s="343"/>
      <c r="GP275" s="343"/>
      <c r="GQ275" s="343"/>
      <c r="GR275" s="343"/>
      <c r="GS275" s="343"/>
      <c r="GT275" s="343"/>
      <c r="GU275" s="343"/>
      <c r="GV275" s="343"/>
      <c r="GW275" s="343"/>
      <c r="GX275" s="343"/>
      <c r="GY275" s="343"/>
      <c r="GZ275" s="343"/>
      <c r="HA275" s="343"/>
      <c r="HB275" s="343"/>
      <c r="HC275" s="343"/>
      <c r="HD275" s="343"/>
      <c r="HE275" s="343"/>
      <c r="HF275" s="343"/>
      <c r="HG275" s="343"/>
      <c r="HH275" s="343"/>
      <c r="HI275" s="343"/>
      <c r="HJ275" s="343"/>
      <c r="HK275" s="343"/>
      <c r="HL275" s="343"/>
      <c r="HM275" s="343"/>
      <c r="HN275" s="343"/>
      <c r="HO275" s="343"/>
      <c r="HP275" s="343"/>
      <c r="HQ275" s="343"/>
      <c r="HR275" s="343"/>
      <c r="HS275" s="343"/>
      <c r="HT275" s="343"/>
      <c r="HU275" s="343"/>
      <c r="HV275" s="343"/>
      <c r="HW275" s="343"/>
      <c r="HX275" s="343"/>
      <c r="HY275" s="343"/>
      <c r="HZ275" s="343"/>
      <c r="IA275" s="343"/>
      <c r="IB275" s="343"/>
      <c r="IC275" s="343"/>
      <c r="ID275" s="343"/>
      <c r="IE275" s="343"/>
      <c r="IF275" s="343"/>
      <c r="IG275" s="343"/>
      <c r="IH275" s="343"/>
      <c r="II275" s="343"/>
      <c r="IJ275" s="343"/>
      <c r="IK275" s="343"/>
      <c r="IL275" s="343"/>
      <c r="IM275" s="343"/>
      <c r="IN275" s="343"/>
      <c r="IO275" s="343"/>
      <c r="IP275" s="343"/>
      <c r="IQ275" s="343"/>
      <c r="IR275" s="343"/>
      <c r="IS275" s="343"/>
      <c r="IT275" s="343"/>
      <c r="IU275" s="343"/>
      <c r="IV275" s="343"/>
      <c r="IW275" s="343"/>
    </row>
    <row r="276" spans="1:257" x14ac:dyDescent="0.2">
      <c r="B276" s="445"/>
      <c r="C276" s="534"/>
      <c r="D276" s="544" t="str">
        <f>$D$169</f>
        <v xml:space="preserve">Option 5: </v>
      </c>
      <c r="E276" s="560" t="str">
        <f>E275</f>
        <v>To be determined by the AER</v>
      </c>
      <c r="F276" s="580"/>
      <c r="G276" s="581"/>
      <c r="H276" s="581"/>
      <c r="I276" s="581"/>
      <c r="J276" s="581"/>
      <c r="K276" s="581"/>
      <c r="L276" s="581"/>
      <c r="M276" s="581"/>
      <c r="N276" s="581"/>
      <c r="O276" s="581"/>
      <c r="P276" s="581"/>
      <c r="Q276" s="581"/>
      <c r="R276" s="581"/>
      <c r="S276" s="581"/>
      <c r="T276" s="581"/>
      <c r="U276" s="581"/>
      <c r="V276" s="581"/>
      <c r="W276" s="581"/>
      <c r="X276" s="581"/>
      <c r="Y276" s="581"/>
      <c r="Z276" s="581"/>
      <c r="AA276" s="446"/>
      <c r="AB276" s="447"/>
      <c r="AC276" s="515"/>
      <c r="AD276" s="515"/>
      <c r="AE276" s="515"/>
      <c r="AF276" s="515"/>
      <c r="AG276" s="515"/>
      <c r="AH276" s="515"/>
      <c r="AI276" s="515"/>
      <c r="AJ276" s="515"/>
      <c r="AK276" s="515"/>
      <c r="AL276" s="515"/>
      <c r="AM276" s="515"/>
      <c r="AN276" s="515"/>
      <c r="AO276" s="515"/>
      <c r="AP276" s="515"/>
      <c r="AQ276" s="515"/>
      <c r="AR276" s="515"/>
      <c r="AS276" s="515"/>
      <c r="AT276" s="515"/>
      <c r="AU276" s="515"/>
      <c r="AV276" s="515"/>
      <c r="AW276" s="515"/>
      <c r="AX276" s="515"/>
      <c r="AY276" s="515"/>
      <c r="AZ276" s="515"/>
      <c r="BA276" s="515"/>
      <c r="BB276" s="515"/>
      <c r="BC276" s="515"/>
      <c r="BD276" s="515"/>
      <c r="BE276" s="515"/>
      <c r="BF276" s="515"/>
      <c r="BG276" s="515"/>
      <c r="BH276" s="515"/>
      <c r="BI276" s="515"/>
      <c r="BJ276" s="515"/>
      <c r="BK276" s="515"/>
      <c r="BL276" s="515"/>
      <c r="BM276" s="515"/>
      <c r="BN276" s="515"/>
      <c r="BO276" s="515"/>
      <c r="BP276" s="515"/>
      <c r="BQ276" s="515"/>
      <c r="BR276" s="515"/>
      <c r="BS276" s="515"/>
      <c r="BT276" s="515"/>
      <c r="BU276" s="515"/>
      <c r="BV276" s="515"/>
      <c r="BW276" s="515"/>
      <c r="BX276" s="515"/>
      <c r="BY276" s="515"/>
      <c r="BZ276" s="515"/>
      <c r="CA276" s="515"/>
      <c r="CB276" s="515"/>
      <c r="CC276" s="515"/>
      <c r="CD276" s="515"/>
      <c r="CE276" s="515"/>
      <c r="CF276" s="515"/>
      <c r="CG276" s="515"/>
      <c r="CH276" s="515"/>
      <c r="CI276" s="515"/>
      <c r="CJ276" s="515"/>
      <c r="CK276" s="515"/>
      <c r="CL276" s="515"/>
      <c r="CM276" s="515"/>
      <c r="CN276" s="515"/>
      <c r="CO276" s="515"/>
      <c r="CP276" s="515"/>
      <c r="CQ276" s="515"/>
      <c r="CR276" s="515"/>
      <c r="CS276" s="515"/>
      <c r="CT276" s="515"/>
      <c r="CU276" s="515"/>
      <c r="CV276" s="515"/>
      <c r="CW276" s="515"/>
      <c r="CX276" s="515"/>
      <c r="CY276" s="515"/>
      <c r="CZ276" s="515"/>
      <c r="DA276" s="515"/>
      <c r="DB276" s="515"/>
      <c r="DC276" s="515"/>
      <c r="DD276" s="515"/>
      <c r="DE276" s="515"/>
      <c r="DF276" s="515"/>
      <c r="DG276" s="515"/>
      <c r="DH276" s="515"/>
      <c r="DI276" s="515"/>
      <c r="DJ276" s="515"/>
      <c r="DK276" s="515"/>
      <c r="DL276" s="515"/>
      <c r="DM276" s="515"/>
      <c r="DN276" s="515"/>
      <c r="DO276" s="515"/>
      <c r="DP276" s="515"/>
      <c r="DQ276" s="515"/>
      <c r="DR276" s="515"/>
      <c r="DS276" s="515"/>
      <c r="DT276" s="515"/>
      <c r="DU276" s="515"/>
      <c r="DV276" s="515"/>
      <c r="DW276" s="515"/>
      <c r="DX276" s="343"/>
      <c r="DY276" s="343"/>
      <c r="DZ276" s="343"/>
      <c r="EA276" s="343"/>
      <c r="EB276" s="343"/>
      <c r="EC276" s="343"/>
      <c r="ED276" s="343"/>
      <c r="EE276" s="343"/>
      <c r="EF276" s="343"/>
      <c r="EG276" s="343"/>
      <c r="EH276" s="343"/>
      <c r="EI276" s="343"/>
      <c r="EJ276" s="343"/>
      <c r="EK276" s="343"/>
      <c r="EL276" s="343"/>
      <c r="EM276" s="343"/>
      <c r="EN276" s="343"/>
      <c r="EO276" s="343"/>
      <c r="EP276" s="343"/>
      <c r="EQ276" s="343"/>
      <c r="ER276" s="343"/>
      <c r="ES276" s="343"/>
      <c r="ET276" s="343"/>
      <c r="EU276" s="343"/>
      <c r="EV276" s="343"/>
      <c r="EW276" s="343"/>
      <c r="EX276" s="343"/>
      <c r="EY276" s="343"/>
      <c r="EZ276" s="343"/>
      <c r="FA276" s="343"/>
      <c r="FB276" s="343"/>
      <c r="FC276" s="343"/>
      <c r="FD276" s="343"/>
      <c r="FE276" s="343"/>
      <c r="FF276" s="343"/>
      <c r="FG276" s="343"/>
      <c r="FH276" s="343"/>
      <c r="FI276" s="343"/>
      <c r="FJ276" s="343"/>
      <c r="FK276" s="343"/>
      <c r="FL276" s="343"/>
      <c r="FM276" s="343"/>
      <c r="FN276" s="343"/>
      <c r="FO276" s="343"/>
      <c r="FP276" s="343"/>
      <c r="FQ276" s="343"/>
      <c r="FR276" s="343"/>
      <c r="FS276" s="343"/>
      <c r="FT276" s="343"/>
      <c r="FU276" s="343"/>
      <c r="FV276" s="343"/>
      <c r="FW276" s="343"/>
      <c r="FX276" s="343"/>
      <c r="FY276" s="343"/>
      <c r="FZ276" s="343"/>
      <c r="GA276" s="343"/>
      <c r="GB276" s="343"/>
      <c r="GC276" s="343"/>
      <c r="GD276" s="343"/>
      <c r="GE276" s="343"/>
      <c r="GF276" s="343"/>
      <c r="GG276" s="343"/>
      <c r="GH276" s="343"/>
      <c r="GI276" s="343"/>
      <c r="GJ276" s="343"/>
      <c r="GK276" s="343"/>
      <c r="GL276" s="343"/>
      <c r="GM276" s="343"/>
      <c r="GN276" s="343"/>
      <c r="GO276" s="343"/>
      <c r="GP276" s="343"/>
      <c r="GQ276" s="343"/>
      <c r="GR276" s="343"/>
      <c r="GS276" s="343"/>
      <c r="GT276" s="343"/>
      <c r="GU276" s="343"/>
      <c r="GV276" s="343"/>
      <c r="GW276" s="343"/>
      <c r="GX276" s="343"/>
      <c r="GY276" s="343"/>
      <c r="GZ276" s="343"/>
      <c r="HA276" s="343"/>
      <c r="HB276" s="343"/>
      <c r="HC276" s="343"/>
      <c r="HD276" s="343"/>
      <c r="HE276" s="343"/>
      <c r="HF276" s="343"/>
      <c r="HG276" s="343"/>
      <c r="HH276" s="343"/>
      <c r="HI276" s="343"/>
      <c r="HJ276" s="343"/>
      <c r="HK276" s="343"/>
      <c r="HL276" s="343"/>
      <c r="HM276" s="343"/>
      <c r="HN276" s="343"/>
      <c r="HO276" s="343"/>
      <c r="HP276" s="343"/>
      <c r="HQ276" s="343"/>
      <c r="HR276" s="343"/>
      <c r="HS276" s="343"/>
      <c r="HT276" s="343"/>
      <c r="HU276" s="343"/>
      <c r="HV276" s="343"/>
      <c r="HW276" s="343"/>
      <c r="HX276" s="343"/>
      <c r="HY276" s="343"/>
      <c r="HZ276" s="343"/>
      <c r="IA276" s="343"/>
      <c r="IB276" s="343"/>
      <c r="IC276" s="343"/>
      <c r="ID276" s="343"/>
      <c r="IE276" s="343"/>
      <c r="IF276" s="343"/>
      <c r="IG276" s="343"/>
      <c r="IH276" s="343"/>
      <c r="II276" s="343"/>
      <c r="IJ276" s="343"/>
      <c r="IK276" s="343"/>
      <c r="IL276" s="343"/>
      <c r="IM276" s="343"/>
      <c r="IN276" s="343"/>
      <c r="IO276" s="343"/>
      <c r="IP276" s="343"/>
      <c r="IQ276" s="343"/>
      <c r="IR276" s="343"/>
      <c r="IS276" s="343"/>
      <c r="IT276" s="343"/>
      <c r="IU276" s="343"/>
      <c r="IV276" s="343"/>
      <c r="IW276" s="343"/>
    </row>
    <row r="277" spans="1:257" x14ac:dyDescent="0.2">
      <c r="B277" s="569"/>
      <c r="C277" s="534"/>
      <c r="D277" s="564"/>
      <c r="E277" s="570"/>
      <c r="F277" s="564"/>
      <c r="G277" s="564"/>
      <c r="H277" s="564"/>
      <c r="I277" s="564"/>
      <c r="J277" s="564"/>
      <c r="K277" s="564"/>
      <c r="L277" s="564"/>
      <c r="M277" s="564"/>
      <c r="N277" s="564"/>
      <c r="O277" s="564"/>
      <c r="P277" s="564"/>
      <c r="Q277" s="564"/>
      <c r="R277" s="564"/>
      <c r="S277" s="564"/>
      <c r="T277" s="564"/>
      <c r="U277" s="564"/>
      <c r="V277" s="564"/>
      <c r="W277" s="564"/>
      <c r="X277" s="564"/>
      <c r="Y277" s="564"/>
      <c r="Z277" s="564"/>
      <c r="AA277" s="564"/>
      <c r="AB277" s="565"/>
    </row>
    <row r="278" spans="1:257" ht="13.5" thickBot="1" x14ac:dyDescent="0.25">
      <c r="B278" s="445"/>
      <c r="C278" s="574"/>
      <c r="D278" s="575"/>
      <c r="E278" s="576"/>
      <c r="F278" s="479"/>
      <c r="G278" s="479"/>
      <c r="H278" s="479"/>
      <c r="I278" s="479"/>
      <c r="J278" s="479"/>
      <c r="K278" s="479"/>
      <c r="L278" s="479"/>
      <c r="M278" s="479"/>
      <c r="N278" s="479"/>
      <c r="O278" s="479"/>
      <c r="P278" s="479"/>
      <c r="Q278" s="479"/>
      <c r="R278" s="479"/>
      <c r="S278" s="479"/>
      <c r="T278" s="479"/>
      <c r="U278" s="479"/>
      <c r="V278" s="479"/>
      <c r="W278" s="479"/>
      <c r="X278" s="479"/>
      <c r="Y278" s="479"/>
      <c r="Z278" s="479"/>
      <c r="AA278" s="479"/>
      <c r="AB278" s="447"/>
    </row>
    <row r="279" spans="1:257" ht="13.5" thickTop="1" x14ac:dyDescent="0.2">
      <c r="B279" s="445"/>
      <c r="C279" s="571"/>
      <c r="D279" s="572"/>
      <c r="E279" s="573"/>
      <c r="F279" s="446"/>
      <c r="G279" s="446"/>
      <c r="H279" s="446"/>
      <c r="I279" s="446"/>
      <c r="J279" s="446"/>
      <c r="K279" s="446"/>
      <c r="L279" s="446"/>
      <c r="M279" s="446"/>
      <c r="N279" s="446"/>
      <c r="O279" s="446"/>
      <c r="P279" s="446"/>
      <c r="Q279" s="446"/>
      <c r="R279" s="446"/>
      <c r="S279" s="446"/>
      <c r="T279" s="446"/>
      <c r="U279" s="446"/>
      <c r="V279" s="446"/>
      <c r="W279" s="446"/>
      <c r="X279" s="446"/>
      <c r="Y279" s="446"/>
      <c r="Z279" s="446"/>
      <c r="AA279" s="446"/>
      <c r="AB279" s="447"/>
    </row>
    <row r="280" spans="1:257" ht="13.5" thickBot="1" x14ac:dyDescent="0.25">
      <c r="B280" s="445"/>
      <c r="C280" s="571"/>
      <c r="D280" s="492" t="s">
        <v>252</v>
      </c>
      <c r="E280" s="577"/>
      <c r="F280" s="446"/>
      <c r="G280" s="446"/>
      <c r="H280" s="446"/>
      <c r="I280" s="446"/>
      <c r="J280" s="446"/>
      <c r="K280" s="446"/>
      <c r="L280" s="446"/>
      <c r="M280" s="446"/>
      <c r="N280" s="446"/>
      <c r="O280" s="446"/>
      <c r="P280" s="446"/>
      <c r="Q280" s="446"/>
      <c r="R280" s="446"/>
      <c r="S280" s="446"/>
      <c r="T280" s="446"/>
      <c r="U280" s="446"/>
      <c r="V280" s="446"/>
      <c r="W280" s="446"/>
      <c r="X280" s="446"/>
      <c r="Y280" s="446"/>
      <c r="Z280" s="446"/>
      <c r="AA280" s="446"/>
      <c r="AB280" s="447"/>
    </row>
    <row r="281" spans="1:257" x14ac:dyDescent="0.2">
      <c r="B281" s="445"/>
      <c r="C281" s="571"/>
      <c r="D281" s="516" t="s">
        <v>253</v>
      </c>
      <c r="E281" s="573"/>
      <c r="F281" s="446"/>
      <c r="G281" s="446"/>
      <c r="H281" s="446"/>
      <c r="I281" s="446"/>
      <c r="J281" s="446"/>
      <c r="K281" s="446"/>
      <c r="L281" s="446"/>
      <c r="M281" s="446"/>
      <c r="N281" s="446"/>
      <c r="O281" s="446"/>
      <c r="P281" s="446"/>
      <c r="Q281" s="446"/>
      <c r="R281" s="446"/>
      <c r="S281" s="446"/>
      <c r="T281" s="446"/>
      <c r="U281" s="446"/>
      <c r="V281" s="446"/>
      <c r="W281" s="446"/>
      <c r="X281" s="446"/>
      <c r="Y281" s="446"/>
      <c r="Z281" s="446"/>
      <c r="AA281" s="446"/>
      <c r="AB281" s="447"/>
    </row>
    <row r="282" spans="1:257" s="513" customFormat="1" x14ac:dyDescent="0.2">
      <c r="A282" s="433"/>
      <c r="B282" s="445"/>
      <c r="C282" s="446"/>
      <c r="D282" s="487"/>
      <c r="E282" s="516"/>
      <c r="F282" s="446"/>
      <c r="G282" s="566"/>
      <c r="H282" s="566"/>
      <c r="I282" s="566"/>
      <c r="J282" s="566"/>
      <c r="K282" s="566"/>
      <c r="L282" s="566"/>
      <c r="M282" s="566"/>
      <c r="N282" s="566"/>
      <c r="O282" s="566"/>
      <c r="P282" s="566"/>
      <c r="Q282" s="566"/>
      <c r="R282" s="566"/>
      <c r="S282" s="566"/>
      <c r="T282" s="566"/>
      <c r="U282" s="566"/>
      <c r="V282" s="566"/>
      <c r="W282" s="566"/>
      <c r="X282" s="566"/>
      <c r="Y282" s="566"/>
      <c r="Z282" s="566"/>
      <c r="AA282" s="446"/>
      <c r="AB282" s="447"/>
    </row>
    <row r="283" spans="1:257" x14ac:dyDescent="0.2">
      <c r="B283" s="445"/>
      <c r="C283" s="534"/>
      <c r="D283" s="559" t="s">
        <v>171</v>
      </c>
      <c r="E283" s="562"/>
      <c r="F283" s="563"/>
      <c r="G283" s="563">
        <f t="shared" ref="G283:Z283" si="48">G$186</f>
        <v>2021</v>
      </c>
      <c r="H283" s="563">
        <f t="shared" si="48"/>
        <v>2022</v>
      </c>
      <c r="I283" s="563">
        <f t="shared" si="48"/>
        <v>2023</v>
      </c>
      <c r="J283" s="563">
        <f t="shared" si="48"/>
        <v>2024</v>
      </c>
      <c r="K283" s="563">
        <f t="shared" si="48"/>
        <v>2025</v>
      </c>
      <c r="L283" s="563">
        <f t="shared" si="48"/>
        <v>2026</v>
      </c>
      <c r="M283" s="563">
        <f t="shared" si="48"/>
        <v>2027</v>
      </c>
      <c r="N283" s="563">
        <f t="shared" si="48"/>
        <v>2028</v>
      </c>
      <c r="O283" s="563">
        <f t="shared" si="48"/>
        <v>2029</v>
      </c>
      <c r="P283" s="563">
        <f t="shared" si="48"/>
        <v>2030</v>
      </c>
      <c r="Q283" s="563">
        <f t="shared" si="48"/>
        <v>2031</v>
      </c>
      <c r="R283" s="563">
        <f t="shared" si="48"/>
        <v>2032</v>
      </c>
      <c r="S283" s="563">
        <f t="shared" si="48"/>
        <v>2033</v>
      </c>
      <c r="T283" s="563">
        <f t="shared" si="48"/>
        <v>2034</v>
      </c>
      <c r="U283" s="563">
        <f t="shared" si="48"/>
        <v>2035</v>
      </c>
      <c r="V283" s="563">
        <f t="shared" si="48"/>
        <v>2036</v>
      </c>
      <c r="W283" s="563">
        <f t="shared" si="48"/>
        <v>2037</v>
      </c>
      <c r="X283" s="563">
        <f t="shared" si="48"/>
        <v>2038</v>
      </c>
      <c r="Y283" s="563">
        <f t="shared" si="48"/>
        <v>2039</v>
      </c>
      <c r="Z283" s="563">
        <f t="shared" si="48"/>
        <v>2040</v>
      </c>
      <c r="AA283" s="446"/>
      <c r="AB283" s="447"/>
    </row>
    <row r="284" spans="1:257" x14ac:dyDescent="0.2">
      <c r="B284" s="445"/>
      <c r="C284" s="534"/>
      <c r="D284" s="544" t="str">
        <f>$D$24</f>
        <v>"Status Quo" Reference Case</v>
      </c>
      <c r="E284" s="560" t="s">
        <v>104</v>
      </c>
      <c r="F284" s="561"/>
      <c r="G284" s="578"/>
      <c r="H284" s="578"/>
      <c r="I284" s="578"/>
      <c r="J284" s="578"/>
      <c r="K284" s="578"/>
      <c r="L284" s="578"/>
      <c r="M284" s="578"/>
      <c r="N284" s="578"/>
      <c r="O284" s="578"/>
      <c r="P284" s="578"/>
      <c r="Q284" s="578"/>
      <c r="R284" s="578"/>
      <c r="S284" s="578"/>
      <c r="T284" s="578"/>
      <c r="U284" s="578"/>
      <c r="V284" s="578"/>
      <c r="W284" s="578"/>
      <c r="X284" s="578"/>
      <c r="Y284" s="578"/>
      <c r="Z284" s="578"/>
      <c r="AA284" s="446"/>
      <c r="AB284" s="447"/>
    </row>
    <row r="285" spans="1:257" x14ac:dyDescent="0.2">
      <c r="B285" s="445"/>
      <c r="C285" s="534"/>
      <c r="D285" s="544" t="str">
        <f>$D$53</f>
        <v>Option 1: Provide In Meter Capabilities</v>
      </c>
      <c r="E285" s="560" t="s">
        <v>104</v>
      </c>
      <c r="F285" s="561"/>
      <c r="G285" s="578"/>
      <c r="H285" s="578"/>
      <c r="I285" s="578"/>
      <c r="J285" s="578"/>
      <c r="K285" s="578"/>
      <c r="L285" s="578"/>
      <c r="M285" s="578"/>
      <c r="N285" s="578"/>
      <c r="O285" s="578"/>
      <c r="P285" s="578"/>
      <c r="Q285" s="578"/>
      <c r="R285" s="578"/>
      <c r="S285" s="578"/>
      <c r="T285" s="578"/>
      <c r="U285" s="578"/>
      <c r="V285" s="578"/>
      <c r="W285" s="578"/>
      <c r="X285" s="578"/>
      <c r="Y285" s="578"/>
      <c r="Z285" s="578"/>
      <c r="AA285" s="446"/>
      <c r="AB285" s="447"/>
    </row>
    <row r="286" spans="1:257" x14ac:dyDescent="0.2">
      <c r="B286" s="445"/>
      <c r="C286" s="534"/>
      <c r="D286" s="544" t="str">
        <f>$D$82</f>
        <v>Option 2: Provide In Meter Capabilities with Near Real-time Centralised Analytics</v>
      </c>
      <c r="E286" s="560" t="s">
        <v>104</v>
      </c>
      <c r="F286" s="561"/>
      <c r="G286" s="579"/>
      <c r="H286" s="579"/>
      <c r="I286" s="579"/>
      <c r="J286" s="579"/>
      <c r="K286" s="579"/>
      <c r="L286" s="579"/>
      <c r="M286" s="579"/>
      <c r="N286" s="579"/>
      <c r="O286" s="579"/>
      <c r="P286" s="579"/>
      <c r="Q286" s="579"/>
      <c r="R286" s="579"/>
      <c r="S286" s="579"/>
      <c r="T286" s="579"/>
      <c r="U286" s="579"/>
      <c r="V286" s="579"/>
      <c r="W286" s="579"/>
      <c r="X286" s="579"/>
      <c r="Y286" s="579"/>
      <c r="Z286" s="579"/>
      <c r="AA286" s="446"/>
      <c r="AB286" s="447"/>
    </row>
    <row r="287" spans="1:257" x14ac:dyDescent="0.2">
      <c r="B287" s="445"/>
      <c r="C287" s="534"/>
      <c r="D287" s="544" t="str">
        <f>$D$111</f>
        <v xml:space="preserve">Option 3: </v>
      </c>
      <c r="E287" s="560" t="s">
        <v>104</v>
      </c>
      <c r="F287" s="561"/>
      <c r="G287" s="579"/>
      <c r="H287" s="579"/>
      <c r="I287" s="579"/>
      <c r="J287" s="579"/>
      <c r="K287" s="579"/>
      <c r="L287" s="579"/>
      <c r="M287" s="579"/>
      <c r="N287" s="579"/>
      <c r="O287" s="579"/>
      <c r="P287" s="579"/>
      <c r="Q287" s="579"/>
      <c r="R287" s="579"/>
      <c r="S287" s="579"/>
      <c r="T287" s="579"/>
      <c r="U287" s="579"/>
      <c r="V287" s="579"/>
      <c r="W287" s="579"/>
      <c r="X287" s="579"/>
      <c r="Y287" s="579"/>
      <c r="Z287" s="579"/>
      <c r="AA287" s="446"/>
      <c r="AB287" s="447"/>
    </row>
    <row r="288" spans="1:257" x14ac:dyDescent="0.2">
      <c r="B288" s="445"/>
      <c r="C288" s="534"/>
      <c r="D288" s="544" t="str">
        <f>$D$140</f>
        <v xml:space="preserve">Option 4: </v>
      </c>
      <c r="E288" s="560" t="s">
        <v>104</v>
      </c>
      <c r="F288" s="561"/>
      <c r="G288" s="579"/>
      <c r="H288" s="579"/>
      <c r="I288" s="579"/>
      <c r="J288" s="579"/>
      <c r="K288" s="579"/>
      <c r="L288" s="579"/>
      <c r="M288" s="579"/>
      <c r="N288" s="579"/>
      <c r="O288" s="579"/>
      <c r="P288" s="579"/>
      <c r="Q288" s="579"/>
      <c r="R288" s="579"/>
      <c r="S288" s="579"/>
      <c r="T288" s="579"/>
      <c r="U288" s="579"/>
      <c r="V288" s="579"/>
      <c r="W288" s="579"/>
      <c r="X288" s="579"/>
      <c r="Y288" s="579"/>
      <c r="Z288" s="579"/>
      <c r="AA288" s="446"/>
      <c r="AB288" s="447"/>
    </row>
    <row r="289" spans="2:28" x14ac:dyDescent="0.2">
      <c r="B289" s="445"/>
      <c r="C289" s="534"/>
      <c r="D289" s="544" t="str">
        <f>$D$169</f>
        <v xml:space="preserve">Option 5: </v>
      </c>
      <c r="E289" s="560" t="s">
        <v>104</v>
      </c>
      <c r="F289" s="561"/>
      <c r="G289" s="578"/>
      <c r="H289" s="578"/>
      <c r="I289" s="578"/>
      <c r="J289" s="578"/>
      <c r="K289" s="578"/>
      <c r="L289" s="578"/>
      <c r="M289" s="578"/>
      <c r="N289" s="578"/>
      <c r="O289" s="578"/>
      <c r="P289" s="578"/>
      <c r="Q289" s="578"/>
      <c r="R289" s="578"/>
      <c r="S289" s="578"/>
      <c r="T289" s="578"/>
      <c r="U289" s="578"/>
      <c r="V289" s="578"/>
      <c r="W289" s="578"/>
      <c r="X289" s="578"/>
      <c r="Y289" s="578"/>
      <c r="Z289" s="578"/>
      <c r="AA289" s="446"/>
      <c r="AB289" s="447"/>
    </row>
    <row r="290" spans="2:28" x14ac:dyDescent="0.2">
      <c r="B290" s="569"/>
      <c r="C290" s="534"/>
      <c r="D290" s="564"/>
      <c r="E290" s="570"/>
      <c r="F290" s="564"/>
      <c r="G290" s="564"/>
      <c r="H290" s="564"/>
      <c r="I290" s="564"/>
      <c r="J290" s="564"/>
      <c r="K290" s="564"/>
      <c r="L290" s="564"/>
      <c r="M290" s="564"/>
      <c r="N290" s="564"/>
      <c r="O290" s="564"/>
      <c r="P290" s="564"/>
      <c r="Q290" s="564"/>
      <c r="R290" s="564"/>
      <c r="S290" s="564"/>
      <c r="T290" s="564"/>
      <c r="U290" s="564"/>
      <c r="V290" s="564"/>
      <c r="W290" s="564"/>
      <c r="X290" s="564"/>
      <c r="Y290" s="564"/>
      <c r="Z290" s="564"/>
      <c r="AA290" s="564"/>
      <c r="AB290" s="565"/>
    </row>
    <row r="291" spans="2:28" x14ac:dyDescent="0.2">
      <c r="B291" s="445"/>
      <c r="C291" s="534"/>
      <c r="D291" s="559" t="s">
        <v>172</v>
      </c>
      <c r="E291" s="562"/>
      <c r="F291" s="563"/>
      <c r="G291" s="563">
        <f t="shared" ref="G291:Z291" si="49">G$186</f>
        <v>2021</v>
      </c>
      <c r="H291" s="563">
        <f t="shared" si="49"/>
        <v>2022</v>
      </c>
      <c r="I291" s="563">
        <f t="shared" si="49"/>
        <v>2023</v>
      </c>
      <c r="J291" s="563">
        <f t="shared" si="49"/>
        <v>2024</v>
      </c>
      <c r="K291" s="563">
        <f t="shared" si="49"/>
        <v>2025</v>
      </c>
      <c r="L291" s="563">
        <f t="shared" si="49"/>
        <v>2026</v>
      </c>
      <c r="M291" s="563">
        <f t="shared" si="49"/>
        <v>2027</v>
      </c>
      <c r="N291" s="563">
        <f t="shared" si="49"/>
        <v>2028</v>
      </c>
      <c r="O291" s="563">
        <f t="shared" si="49"/>
        <v>2029</v>
      </c>
      <c r="P291" s="563">
        <f t="shared" si="49"/>
        <v>2030</v>
      </c>
      <c r="Q291" s="563">
        <f t="shared" si="49"/>
        <v>2031</v>
      </c>
      <c r="R291" s="563">
        <f t="shared" si="49"/>
        <v>2032</v>
      </c>
      <c r="S291" s="563">
        <f t="shared" si="49"/>
        <v>2033</v>
      </c>
      <c r="T291" s="563">
        <f t="shared" si="49"/>
        <v>2034</v>
      </c>
      <c r="U291" s="563">
        <f t="shared" si="49"/>
        <v>2035</v>
      </c>
      <c r="V291" s="563">
        <f t="shared" si="49"/>
        <v>2036</v>
      </c>
      <c r="W291" s="563">
        <f t="shared" si="49"/>
        <v>2037</v>
      </c>
      <c r="X291" s="563">
        <f t="shared" si="49"/>
        <v>2038</v>
      </c>
      <c r="Y291" s="563">
        <f t="shared" si="49"/>
        <v>2039</v>
      </c>
      <c r="Z291" s="563">
        <f t="shared" si="49"/>
        <v>2040</v>
      </c>
      <c r="AA291" s="446"/>
      <c r="AB291" s="447"/>
    </row>
    <row r="292" spans="2:28" x14ac:dyDescent="0.2">
      <c r="B292" s="445"/>
      <c r="C292" s="534"/>
      <c r="D292" s="544" t="str">
        <f>$D$24</f>
        <v>"Status Quo" Reference Case</v>
      </c>
      <c r="E292" s="560" t="s">
        <v>104</v>
      </c>
      <c r="F292" s="561"/>
      <c r="G292" s="578"/>
      <c r="H292" s="578"/>
      <c r="I292" s="578"/>
      <c r="J292" s="578"/>
      <c r="K292" s="578"/>
      <c r="L292" s="578"/>
      <c r="M292" s="578"/>
      <c r="N292" s="578"/>
      <c r="O292" s="578"/>
      <c r="P292" s="578"/>
      <c r="Q292" s="578"/>
      <c r="R292" s="578"/>
      <c r="S292" s="578"/>
      <c r="T292" s="578"/>
      <c r="U292" s="578"/>
      <c r="V292" s="578"/>
      <c r="W292" s="578"/>
      <c r="X292" s="578"/>
      <c r="Y292" s="578"/>
      <c r="Z292" s="578"/>
      <c r="AA292" s="446"/>
      <c r="AB292" s="447"/>
    </row>
    <row r="293" spans="2:28" x14ac:dyDescent="0.2">
      <c r="B293" s="445"/>
      <c r="C293" s="534"/>
      <c r="D293" s="544" t="str">
        <f>$D$53</f>
        <v>Option 1: Provide In Meter Capabilities</v>
      </c>
      <c r="E293" s="560" t="s">
        <v>104</v>
      </c>
      <c r="F293" s="561"/>
      <c r="G293" s="578"/>
      <c r="H293" s="578"/>
      <c r="I293" s="578"/>
      <c r="J293" s="578"/>
      <c r="K293" s="578"/>
      <c r="L293" s="578"/>
      <c r="M293" s="578"/>
      <c r="N293" s="578"/>
      <c r="O293" s="578"/>
      <c r="P293" s="578"/>
      <c r="Q293" s="578"/>
      <c r="R293" s="578"/>
      <c r="S293" s="578"/>
      <c r="T293" s="578"/>
      <c r="U293" s="578"/>
      <c r="V293" s="578"/>
      <c r="W293" s="578"/>
      <c r="X293" s="578"/>
      <c r="Y293" s="578"/>
      <c r="Z293" s="578"/>
      <c r="AA293" s="446"/>
      <c r="AB293" s="447"/>
    </row>
    <row r="294" spans="2:28" x14ac:dyDescent="0.2">
      <c r="B294" s="445"/>
      <c r="C294" s="534"/>
      <c r="D294" s="544" t="str">
        <f>$D$82</f>
        <v>Option 2: Provide In Meter Capabilities with Near Real-time Centralised Analytics</v>
      </c>
      <c r="E294" s="560" t="s">
        <v>104</v>
      </c>
      <c r="F294" s="561"/>
      <c r="G294" s="579"/>
      <c r="H294" s="579"/>
      <c r="I294" s="579"/>
      <c r="J294" s="579"/>
      <c r="K294" s="579"/>
      <c r="L294" s="579"/>
      <c r="M294" s="579"/>
      <c r="N294" s="579"/>
      <c r="O294" s="579"/>
      <c r="P294" s="579"/>
      <c r="Q294" s="579"/>
      <c r="R294" s="579"/>
      <c r="S294" s="579"/>
      <c r="T294" s="579"/>
      <c r="U294" s="579"/>
      <c r="V294" s="579"/>
      <c r="W294" s="579"/>
      <c r="X294" s="579"/>
      <c r="Y294" s="579"/>
      <c r="Z294" s="579"/>
      <c r="AA294" s="446"/>
      <c r="AB294" s="447"/>
    </row>
    <row r="295" spans="2:28" x14ac:dyDescent="0.2">
      <c r="B295" s="445"/>
      <c r="C295" s="534"/>
      <c r="D295" s="544" t="str">
        <f>$D$111</f>
        <v xml:space="preserve">Option 3: </v>
      </c>
      <c r="E295" s="560" t="s">
        <v>104</v>
      </c>
      <c r="F295" s="561"/>
      <c r="G295" s="579"/>
      <c r="H295" s="579"/>
      <c r="I295" s="579"/>
      <c r="J295" s="579"/>
      <c r="K295" s="579"/>
      <c r="L295" s="579"/>
      <c r="M295" s="579"/>
      <c r="N295" s="579"/>
      <c r="O295" s="579"/>
      <c r="P295" s="579"/>
      <c r="Q295" s="579"/>
      <c r="R295" s="579"/>
      <c r="S295" s="579"/>
      <c r="T295" s="579"/>
      <c r="U295" s="579"/>
      <c r="V295" s="579"/>
      <c r="W295" s="579"/>
      <c r="X295" s="579"/>
      <c r="Y295" s="579"/>
      <c r="Z295" s="579"/>
      <c r="AA295" s="446"/>
      <c r="AB295" s="447"/>
    </row>
    <row r="296" spans="2:28" x14ac:dyDescent="0.2">
      <c r="B296" s="445"/>
      <c r="C296" s="534"/>
      <c r="D296" s="544" t="str">
        <f>$D$140</f>
        <v xml:space="preserve">Option 4: </v>
      </c>
      <c r="E296" s="560" t="s">
        <v>104</v>
      </c>
      <c r="F296" s="561"/>
      <c r="G296" s="579"/>
      <c r="H296" s="579"/>
      <c r="I296" s="579"/>
      <c r="J296" s="579"/>
      <c r="K296" s="579"/>
      <c r="L296" s="579"/>
      <c r="M296" s="579"/>
      <c r="N296" s="579"/>
      <c r="O296" s="579"/>
      <c r="P296" s="579"/>
      <c r="Q296" s="579"/>
      <c r="R296" s="579"/>
      <c r="S296" s="579"/>
      <c r="T296" s="579"/>
      <c r="U296" s="579"/>
      <c r="V296" s="579"/>
      <c r="W296" s="579"/>
      <c r="X296" s="579"/>
      <c r="Y296" s="579"/>
      <c r="Z296" s="579"/>
      <c r="AA296" s="446"/>
      <c r="AB296" s="447"/>
    </row>
    <row r="297" spans="2:28" x14ac:dyDescent="0.2">
      <c r="B297" s="445"/>
      <c r="C297" s="534"/>
      <c r="D297" s="544" t="str">
        <f>$D$169</f>
        <v xml:space="preserve">Option 5: </v>
      </c>
      <c r="E297" s="560" t="s">
        <v>104</v>
      </c>
      <c r="F297" s="561"/>
      <c r="G297" s="578"/>
      <c r="H297" s="578"/>
      <c r="I297" s="578"/>
      <c r="J297" s="578"/>
      <c r="K297" s="578"/>
      <c r="L297" s="578"/>
      <c r="M297" s="578"/>
      <c r="N297" s="578"/>
      <c r="O297" s="578"/>
      <c r="P297" s="578"/>
      <c r="Q297" s="578"/>
      <c r="R297" s="578"/>
      <c r="S297" s="578"/>
      <c r="T297" s="578"/>
      <c r="U297" s="578"/>
      <c r="V297" s="578"/>
      <c r="W297" s="578"/>
      <c r="X297" s="578"/>
      <c r="Y297" s="578"/>
      <c r="Z297" s="578"/>
      <c r="AA297" s="446"/>
      <c r="AB297" s="447"/>
    </row>
    <row r="298" spans="2:28" x14ac:dyDescent="0.2">
      <c r="B298" s="569"/>
      <c r="C298" s="534"/>
      <c r="D298" s="564"/>
      <c r="E298" s="570"/>
      <c r="F298" s="564"/>
      <c r="G298" s="564"/>
      <c r="H298" s="564"/>
      <c r="I298" s="564"/>
      <c r="J298" s="564"/>
      <c r="K298" s="564"/>
      <c r="L298" s="564"/>
      <c r="M298" s="564"/>
      <c r="N298" s="564"/>
      <c r="O298" s="564"/>
      <c r="P298" s="564"/>
      <c r="Q298" s="564"/>
      <c r="R298" s="564"/>
      <c r="S298" s="564"/>
      <c r="T298" s="564"/>
      <c r="U298" s="564"/>
      <c r="V298" s="564"/>
      <c r="W298" s="564"/>
      <c r="X298" s="564"/>
      <c r="Y298" s="564"/>
      <c r="Z298" s="564"/>
      <c r="AA298" s="564"/>
      <c r="AB298" s="565"/>
    </row>
    <row r="299" spans="2:28" x14ac:dyDescent="0.2">
      <c r="B299" s="445"/>
      <c r="C299" s="534"/>
      <c r="D299" s="559" t="s">
        <v>175</v>
      </c>
      <c r="E299" s="562"/>
      <c r="F299" s="563"/>
      <c r="G299" s="563">
        <f t="shared" ref="G299:Z299" si="50">G$186</f>
        <v>2021</v>
      </c>
      <c r="H299" s="563">
        <f t="shared" si="50"/>
        <v>2022</v>
      </c>
      <c r="I299" s="563">
        <f t="shared" si="50"/>
        <v>2023</v>
      </c>
      <c r="J299" s="563">
        <f t="shared" si="50"/>
        <v>2024</v>
      </c>
      <c r="K299" s="563">
        <f t="shared" si="50"/>
        <v>2025</v>
      </c>
      <c r="L299" s="563">
        <f t="shared" si="50"/>
        <v>2026</v>
      </c>
      <c r="M299" s="563">
        <f t="shared" si="50"/>
        <v>2027</v>
      </c>
      <c r="N299" s="563">
        <f t="shared" si="50"/>
        <v>2028</v>
      </c>
      <c r="O299" s="563">
        <f t="shared" si="50"/>
        <v>2029</v>
      </c>
      <c r="P299" s="563">
        <f t="shared" si="50"/>
        <v>2030</v>
      </c>
      <c r="Q299" s="563">
        <f t="shared" si="50"/>
        <v>2031</v>
      </c>
      <c r="R299" s="563">
        <f t="shared" si="50"/>
        <v>2032</v>
      </c>
      <c r="S299" s="563">
        <f t="shared" si="50"/>
        <v>2033</v>
      </c>
      <c r="T299" s="563">
        <f t="shared" si="50"/>
        <v>2034</v>
      </c>
      <c r="U299" s="563">
        <f t="shared" si="50"/>
        <v>2035</v>
      </c>
      <c r="V299" s="563">
        <f t="shared" si="50"/>
        <v>2036</v>
      </c>
      <c r="W299" s="563">
        <f t="shared" si="50"/>
        <v>2037</v>
      </c>
      <c r="X299" s="563">
        <f t="shared" si="50"/>
        <v>2038</v>
      </c>
      <c r="Y299" s="563">
        <f t="shared" si="50"/>
        <v>2039</v>
      </c>
      <c r="Z299" s="563">
        <f t="shared" si="50"/>
        <v>2040</v>
      </c>
      <c r="AA299" s="446"/>
      <c r="AB299" s="447"/>
    </row>
    <row r="300" spans="2:28" x14ac:dyDescent="0.2">
      <c r="B300" s="445"/>
      <c r="C300" s="534"/>
      <c r="D300" s="544" t="str">
        <f>$D$24</f>
        <v>"Status Quo" Reference Case</v>
      </c>
      <c r="E300" s="560" t="s">
        <v>104</v>
      </c>
      <c r="F300" s="561"/>
      <c r="G300" s="578"/>
      <c r="H300" s="578"/>
      <c r="I300" s="578"/>
      <c r="J300" s="578"/>
      <c r="K300" s="578"/>
      <c r="L300" s="578"/>
      <c r="M300" s="578"/>
      <c r="N300" s="578"/>
      <c r="O300" s="578"/>
      <c r="P300" s="578"/>
      <c r="Q300" s="578"/>
      <c r="R300" s="578"/>
      <c r="S300" s="578"/>
      <c r="T300" s="578"/>
      <c r="U300" s="578"/>
      <c r="V300" s="578"/>
      <c r="W300" s="578"/>
      <c r="X300" s="578"/>
      <c r="Y300" s="578"/>
      <c r="Z300" s="578"/>
      <c r="AA300" s="446"/>
      <c r="AB300" s="447"/>
    </row>
    <row r="301" spans="2:28" x14ac:dyDescent="0.2">
      <c r="B301" s="445"/>
      <c r="C301" s="534"/>
      <c r="D301" s="544" t="str">
        <f>$D$53</f>
        <v>Option 1: Provide In Meter Capabilities</v>
      </c>
      <c r="E301" s="560" t="s">
        <v>104</v>
      </c>
      <c r="F301" s="561"/>
      <c r="G301" s="578"/>
      <c r="H301" s="578"/>
      <c r="I301" s="578"/>
      <c r="J301" s="578"/>
      <c r="K301" s="578"/>
      <c r="L301" s="578"/>
      <c r="M301" s="578"/>
      <c r="N301" s="578"/>
      <c r="O301" s="578"/>
      <c r="P301" s="578"/>
      <c r="Q301" s="578"/>
      <c r="R301" s="578"/>
      <c r="S301" s="578"/>
      <c r="T301" s="578"/>
      <c r="U301" s="578"/>
      <c r="V301" s="578"/>
      <c r="W301" s="578"/>
      <c r="X301" s="578"/>
      <c r="Y301" s="578"/>
      <c r="Z301" s="578"/>
      <c r="AA301" s="446"/>
      <c r="AB301" s="447"/>
    </row>
    <row r="302" spans="2:28" x14ac:dyDescent="0.2">
      <c r="B302" s="445"/>
      <c r="C302" s="534"/>
      <c r="D302" s="544" t="str">
        <f>$D$82</f>
        <v>Option 2: Provide In Meter Capabilities with Near Real-time Centralised Analytics</v>
      </c>
      <c r="E302" s="560" t="s">
        <v>104</v>
      </c>
      <c r="F302" s="561"/>
      <c r="G302" s="579"/>
      <c r="H302" s="579"/>
      <c r="I302" s="579"/>
      <c r="J302" s="579"/>
      <c r="K302" s="579"/>
      <c r="L302" s="579"/>
      <c r="M302" s="579"/>
      <c r="N302" s="579"/>
      <c r="O302" s="579"/>
      <c r="P302" s="579"/>
      <c r="Q302" s="579"/>
      <c r="R302" s="579"/>
      <c r="S302" s="579"/>
      <c r="T302" s="579"/>
      <c r="U302" s="579"/>
      <c r="V302" s="579"/>
      <c r="W302" s="579"/>
      <c r="X302" s="579"/>
      <c r="Y302" s="579"/>
      <c r="Z302" s="579"/>
      <c r="AA302" s="446"/>
      <c r="AB302" s="447"/>
    </row>
    <row r="303" spans="2:28" x14ac:dyDescent="0.2">
      <c r="B303" s="445"/>
      <c r="C303" s="534"/>
      <c r="D303" s="544" t="str">
        <f>$D$111</f>
        <v xml:space="preserve">Option 3: </v>
      </c>
      <c r="E303" s="560" t="s">
        <v>104</v>
      </c>
      <c r="F303" s="561"/>
      <c r="G303" s="579"/>
      <c r="H303" s="579"/>
      <c r="I303" s="579"/>
      <c r="J303" s="579"/>
      <c r="K303" s="579"/>
      <c r="L303" s="579"/>
      <c r="M303" s="579"/>
      <c r="N303" s="579"/>
      <c r="O303" s="579"/>
      <c r="P303" s="579"/>
      <c r="Q303" s="579"/>
      <c r="R303" s="579"/>
      <c r="S303" s="579"/>
      <c r="T303" s="579"/>
      <c r="U303" s="579"/>
      <c r="V303" s="579"/>
      <c r="W303" s="579"/>
      <c r="X303" s="579"/>
      <c r="Y303" s="579"/>
      <c r="Z303" s="579"/>
      <c r="AA303" s="446"/>
      <c r="AB303" s="447"/>
    </row>
    <row r="304" spans="2:28" x14ac:dyDescent="0.2">
      <c r="B304" s="445"/>
      <c r="C304" s="534"/>
      <c r="D304" s="544" t="str">
        <f>$D$140</f>
        <v xml:space="preserve">Option 4: </v>
      </c>
      <c r="E304" s="560" t="s">
        <v>104</v>
      </c>
      <c r="F304" s="561"/>
      <c r="G304" s="579"/>
      <c r="H304" s="579"/>
      <c r="I304" s="579"/>
      <c r="J304" s="579"/>
      <c r="K304" s="579"/>
      <c r="L304" s="579"/>
      <c r="M304" s="579"/>
      <c r="N304" s="579"/>
      <c r="O304" s="579"/>
      <c r="P304" s="579"/>
      <c r="Q304" s="579"/>
      <c r="R304" s="579"/>
      <c r="S304" s="579"/>
      <c r="T304" s="579"/>
      <c r="U304" s="579"/>
      <c r="V304" s="579"/>
      <c r="W304" s="579"/>
      <c r="X304" s="579"/>
      <c r="Y304" s="579"/>
      <c r="Z304" s="579"/>
      <c r="AA304" s="446"/>
      <c r="AB304" s="447"/>
    </row>
    <row r="305" spans="2:28" x14ac:dyDescent="0.2">
      <c r="B305" s="445"/>
      <c r="C305" s="534"/>
      <c r="D305" s="544" t="str">
        <f>$D$169</f>
        <v xml:space="preserve">Option 5: </v>
      </c>
      <c r="E305" s="560" t="s">
        <v>104</v>
      </c>
      <c r="F305" s="561"/>
      <c r="G305" s="578"/>
      <c r="H305" s="578"/>
      <c r="I305" s="578"/>
      <c r="J305" s="578"/>
      <c r="K305" s="578"/>
      <c r="L305" s="578"/>
      <c r="M305" s="578"/>
      <c r="N305" s="578"/>
      <c r="O305" s="578"/>
      <c r="P305" s="578"/>
      <c r="Q305" s="578"/>
      <c r="R305" s="578"/>
      <c r="S305" s="578"/>
      <c r="T305" s="578"/>
      <c r="U305" s="578"/>
      <c r="V305" s="578"/>
      <c r="W305" s="578"/>
      <c r="X305" s="578"/>
      <c r="Y305" s="578"/>
      <c r="Z305" s="578"/>
      <c r="AA305" s="446"/>
      <c r="AB305" s="447"/>
    </row>
    <row r="306" spans="2:28" x14ac:dyDescent="0.2">
      <c r="B306" s="569"/>
      <c r="C306" s="534"/>
      <c r="D306" s="564"/>
      <c r="E306" s="570"/>
      <c r="F306" s="564"/>
      <c r="G306" s="564"/>
      <c r="H306" s="564"/>
      <c r="I306" s="564"/>
      <c r="J306" s="564"/>
      <c r="K306" s="564"/>
      <c r="L306" s="564"/>
      <c r="M306" s="564"/>
      <c r="N306" s="564"/>
      <c r="O306" s="564"/>
      <c r="P306" s="564"/>
      <c r="Q306" s="564"/>
      <c r="R306" s="564"/>
      <c r="S306" s="564"/>
      <c r="T306" s="564"/>
      <c r="U306" s="564"/>
      <c r="V306" s="564"/>
      <c r="W306" s="564"/>
      <c r="X306" s="564"/>
      <c r="Y306" s="564"/>
      <c r="Z306" s="564"/>
      <c r="AA306" s="564"/>
      <c r="AB306" s="565"/>
    </row>
    <row r="307" spans="2:28" x14ac:dyDescent="0.2">
      <c r="B307" s="445"/>
      <c r="C307" s="446"/>
      <c r="D307" s="487"/>
      <c r="E307" s="516"/>
      <c r="F307" s="446"/>
      <c r="G307" s="446"/>
      <c r="H307" s="446"/>
      <c r="I307" s="446"/>
      <c r="J307" s="446"/>
      <c r="K307" s="446"/>
      <c r="L307" s="446"/>
      <c r="M307" s="446"/>
      <c r="N307" s="446"/>
      <c r="O307" s="446"/>
      <c r="P307" s="446"/>
      <c r="Q307" s="446"/>
      <c r="R307" s="446"/>
      <c r="S307" s="446"/>
      <c r="T307" s="446"/>
      <c r="U307" s="446"/>
      <c r="V307" s="446"/>
      <c r="W307" s="446"/>
      <c r="X307" s="446"/>
      <c r="Y307" s="446"/>
      <c r="Z307" s="446"/>
      <c r="AA307" s="446"/>
      <c r="AB307" s="447"/>
    </row>
    <row r="308" spans="2:28" ht="13.5" thickBot="1" x14ac:dyDescent="0.25">
      <c r="B308" s="445"/>
      <c r="C308" s="446"/>
      <c r="D308" s="492" t="s">
        <v>116</v>
      </c>
      <c r="E308" s="516"/>
      <c r="F308" s="446"/>
      <c r="G308" s="446"/>
      <c r="H308" s="446"/>
      <c r="I308" s="446"/>
      <c r="J308" s="446"/>
      <c r="K308" s="446"/>
      <c r="L308" s="446"/>
      <c r="M308" s="446"/>
      <c r="N308" s="446"/>
      <c r="O308" s="446"/>
      <c r="P308" s="446"/>
      <c r="Q308" s="446"/>
      <c r="R308" s="446"/>
      <c r="S308" s="446"/>
      <c r="T308" s="446"/>
      <c r="U308" s="446"/>
      <c r="V308" s="446"/>
      <c r="W308" s="446"/>
      <c r="X308" s="446"/>
      <c r="Y308" s="446"/>
      <c r="Z308" s="446"/>
      <c r="AA308" s="446"/>
      <c r="AB308" s="447"/>
    </row>
    <row r="309" spans="2:28" x14ac:dyDescent="0.2">
      <c r="B309" s="445"/>
      <c r="C309" s="446"/>
      <c r="D309" s="446"/>
      <c r="E309" s="516"/>
      <c r="F309" s="446"/>
      <c r="G309" s="446"/>
      <c r="H309" s="446"/>
      <c r="I309" s="446"/>
      <c r="J309" s="446"/>
      <c r="K309" s="446"/>
      <c r="L309" s="446"/>
      <c r="M309" s="446"/>
      <c r="N309" s="446"/>
      <c r="O309" s="446"/>
      <c r="P309" s="446"/>
      <c r="Q309" s="446"/>
      <c r="R309" s="446"/>
      <c r="S309" s="446"/>
      <c r="T309" s="446"/>
      <c r="U309" s="446"/>
      <c r="V309" s="446"/>
      <c r="W309" s="446"/>
      <c r="X309" s="446"/>
      <c r="Y309" s="446"/>
      <c r="Z309" s="446"/>
      <c r="AA309" s="446"/>
      <c r="AB309" s="447"/>
    </row>
    <row r="310" spans="2:28" x14ac:dyDescent="0.2">
      <c r="B310" s="445"/>
      <c r="C310" s="534"/>
      <c r="D310" s="559" t="s">
        <v>181</v>
      </c>
      <c r="E310" s="562" t="s">
        <v>227</v>
      </c>
      <c r="F310" s="563">
        <f t="shared" ref="F310:K310" si="51">F12</f>
        <v>2019</v>
      </c>
      <c r="G310" s="563">
        <f t="shared" si="51"/>
        <v>2020</v>
      </c>
      <c r="H310" s="563">
        <f t="shared" si="51"/>
        <v>2021</v>
      </c>
      <c r="I310" s="563">
        <f t="shared" si="51"/>
        <v>2022</v>
      </c>
      <c r="J310" s="563">
        <f t="shared" si="51"/>
        <v>2023</v>
      </c>
      <c r="K310" s="563">
        <f t="shared" si="51"/>
        <v>2024</v>
      </c>
      <c r="L310" s="446"/>
      <c r="M310" s="446"/>
      <c r="N310" s="446"/>
      <c r="O310" s="446"/>
      <c r="P310" s="446"/>
      <c r="Q310" s="446"/>
      <c r="R310" s="446"/>
      <c r="S310" s="446"/>
      <c r="T310" s="446"/>
      <c r="U310" s="446"/>
      <c r="V310" s="446"/>
      <c r="W310" s="446"/>
      <c r="X310" s="446"/>
      <c r="Y310" s="446"/>
      <c r="Z310" s="446"/>
      <c r="AA310" s="446"/>
      <c r="AB310" s="447"/>
    </row>
    <row r="311" spans="2:28" x14ac:dyDescent="0.2">
      <c r="B311" s="445"/>
      <c r="C311" s="534"/>
      <c r="D311" s="544" t="str">
        <f>$D$24</f>
        <v>"Status Quo" Reference Case</v>
      </c>
      <c r="E311" s="560" t="s">
        <v>166</v>
      </c>
      <c r="F311" s="561"/>
      <c r="G311" s="578"/>
      <c r="H311" s="578"/>
      <c r="I311" s="578"/>
      <c r="J311" s="578"/>
      <c r="K311" s="578"/>
      <c r="L311" s="446"/>
      <c r="M311" s="446"/>
      <c r="N311" s="446"/>
      <c r="O311" s="446"/>
      <c r="P311" s="446"/>
      <c r="Q311" s="446"/>
      <c r="R311" s="446"/>
      <c r="S311" s="446"/>
      <c r="T311" s="446"/>
      <c r="U311" s="446"/>
      <c r="V311" s="446"/>
      <c r="W311" s="446"/>
      <c r="X311" s="446"/>
      <c r="Y311" s="446"/>
      <c r="Z311" s="446"/>
      <c r="AA311" s="446"/>
      <c r="AB311" s="447"/>
    </row>
    <row r="312" spans="2:28" x14ac:dyDescent="0.2">
      <c r="B312" s="445"/>
      <c r="C312" s="534"/>
      <c r="D312" s="544" t="str">
        <f>$D$53</f>
        <v>Option 1: Provide In Meter Capabilities</v>
      </c>
      <c r="E312" s="560" t="s">
        <v>166</v>
      </c>
      <c r="F312" s="561"/>
      <c r="G312" s="578"/>
      <c r="H312" s="578"/>
      <c r="I312" s="578"/>
      <c r="J312" s="578"/>
      <c r="K312" s="578"/>
      <c r="L312" s="446"/>
      <c r="M312" s="446"/>
      <c r="N312" s="446"/>
      <c r="O312" s="446"/>
      <c r="P312" s="446"/>
      <c r="Q312" s="446"/>
      <c r="R312" s="446"/>
      <c r="S312" s="446"/>
      <c r="T312" s="446"/>
      <c r="U312" s="446"/>
      <c r="V312" s="446"/>
      <c r="W312" s="446"/>
      <c r="X312" s="446"/>
      <c r="Y312" s="446"/>
      <c r="Z312" s="446"/>
      <c r="AA312" s="446"/>
      <c r="AB312" s="447"/>
    </row>
    <row r="313" spans="2:28" x14ac:dyDescent="0.2">
      <c r="B313" s="445"/>
      <c r="C313" s="534"/>
      <c r="D313" s="544" t="str">
        <f>$D$82</f>
        <v>Option 2: Provide In Meter Capabilities with Near Real-time Centralised Analytics</v>
      </c>
      <c r="E313" s="560" t="s">
        <v>166</v>
      </c>
      <c r="F313" s="561"/>
      <c r="G313" s="579"/>
      <c r="H313" s="579"/>
      <c r="I313" s="579"/>
      <c r="J313" s="579"/>
      <c r="K313" s="579"/>
      <c r="L313" s="446"/>
      <c r="M313" s="446"/>
      <c r="N313" s="446"/>
      <c r="O313" s="446"/>
      <c r="P313" s="446"/>
      <c r="Q313" s="446"/>
      <c r="R313" s="446"/>
      <c r="S313" s="446"/>
      <c r="T313" s="446"/>
      <c r="U313" s="446"/>
      <c r="V313" s="446"/>
      <c r="W313" s="446"/>
      <c r="X313" s="446"/>
      <c r="Y313" s="446"/>
      <c r="Z313" s="446"/>
      <c r="AA313" s="446"/>
      <c r="AB313" s="447"/>
    </row>
    <row r="314" spans="2:28" x14ac:dyDescent="0.2">
      <c r="B314" s="445"/>
      <c r="C314" s="534"/>
      <c r="D314" s="544" t="str">
        <f>$D$111</f>
        <v xml:space="preserve">Option 3: </v>
      </c>
      <c r="E314" s="560" t="s">
        <v>166</v>
      </c>
      <c r="F314" s="561"/>
      <c r="G314" s="579"/>
      <c r="H314" s="579"/>
      <c r="I314" s="579"/>
      <c r="J314" s="579"/>
      <c r="K314" s="579"/>
      <c r="L314" s="446"/>
      <c r="M314" s="446"/>
      <c r="N314" s="446"/>
      <c r="O314" s="446"/>
      <c r="P314" s="446"/>
      <c r="Q314" s="446"/>
      <c r="R314" s="446"/>
      <c r="S314" s="446"/>
      <c r="T314" s="446"/>
      <c r="U314" s="446"/>
      <c r="V314" s="446"/>
      <c r="W314" s="446"/>
      <c r="X314" s="446"/>
      <c r="Y314" s="446"/>
      <c r="Z314" s="446"/>
      <c r="AA314" s="446"/>
      <c r="AB314" s="447"/>
    </row>
    <row r="315" spans="2:28" x14ac:dyDescent="0.2">
      <c r="B315" s="445"/>
      <c r="C315" s="534"/>
      <c r="D315" s="544" t="str">
        <f>$D$140</f>
        <v xml:space="preserve">Option 4: </v>
      </c>
      <c r="E315" s="560" t="s">
        <v>166</v>
      </c>
      <c r="F315" s="561"/>
      <c r="G315" s="579"/>
      <c r="H315" s="579"/>
      <c r="I315" s="579"/>
      <c r="J315" s="579"/>
      <c r="K315" s="579"/>
      <c r="L315" s="446"/>
      <c r="M315" s="446"/>
      <c r="N315" s="446"/>
      <c r="O315" s="446"/>
      <c r="P315" s="446"/>
      <c r="Q315" s="446"/>
      <c r="R315" s="446"/>
      <c r="S315" s="446"/>
      <c r="T315" s="446"/>
      <c r="U315" s="446"/>
      <c r="V315" s="446"/>
      <c r="W315" s="446"/>
      <c r="X315" s="446"/>
      <c r="Y315" s="446"/>
      <c r="Z315" s="446"/>
      <c r="AA315" s="446"/>
      <c r="AB315" s="447"/>
    </row>
    <row r="316" spans="2:28" x14ac:dyDescent="0.2">
      <c r="B316" s="445"/>
      <c r="C316" s="534"/>
      <c r="D316" s="544" t="str">
        <f>$D$169</f>
        <v xml:space="preserve">Option 5: </v>
      </c>
      <c r="E316" s="560" t="s">
        <v>166</v>
      </c>
      <c r="F316" s="561"/>
      <c r="G316" s="578"/>
      <c r="H316" s="578"/>
      <c r="I316" s="578"/>
      <c r="J316" s="578"/>
      <c r="K316" s="578"/>
      <c r="L316" s="446"/>
      <c r="M316" s="446"/>
      <c r="N316" s="446"/>
      <c r="O316" s="446"/>
      <c r="P316" s="446"/>
      <c r="Q316" s="446"/>
      <c r="R316" s="446"/>
      <c r="S316" s="446"/>
      <c r="T316" s="446"/>
      <c r="U316" s="446"/>
      <c r="V316" s="446"/>
      <c r="W316" s="446"/>
      <c r="X316" s="446"/>
      <c r="Y316" s="446"/>
      <c r="Z316" s="446"/>
      <c r="AA316" s="446"/>
      <c r="AB316" s="447"/>
    </row>
    <row r="317" spans="2:28" x14ac:dyDescent="0.2">
      <c r="B317" s="445"/>
      <c r="C317" s="446"/>
      <c r="D317" s="516" t="s">
        <v>182</v>
      </c>
      <c r="E317" s="446"/>
      <c r="F317" s="446"/>
      <c r="G317" s="446"/>
      <c r="H317" s="446"/>
      <c r="I317" s="446"/>
      <c r="J317" s="446"/>
      <c r="K317" s="446"/>
      <c r="L317" s="446"/>
      <c r="M317" s="446"/>
      <c r="N317" s="446"/>
      <c r="O317" s="446"/>
      <c r="P317" s="446"/>
      <c r="Q317" s="446"/>
      <c r="R317" s="446"/>
      <c r="S317" s="446"/>
      <c r="T317" s="446"/>
      <c r="U317" s="446"/>
      <c r="V317" s="446"/>
      <c r="W317" s="446"/>
      <c r="X317" s="446"/>
      <c r="Y317" s="446"/>
      <c r="Z317" s="446"/>
      <c r="AA317" s="446"/>
      <c r="AB317" s="447"/>
    </row>
    <row r="318" spans="2:28" x14ac:dyDescent="0.2">
      <c r="B318" s="445"/>
      <c r="C318" s="446"/>
      <c r="D318" s="583" t="s">
        <v>180</v>
      </c>
      <c r="E318" s="446"/>
      <c r="F318" s="446"/>
      <c r="G318" s="446"/>
      <c r="H318" s="446"/>
      <c r="I318" s="446"/>
      <c r="J318" s="446"/>
      <c r="K318" s="446"/>
      <c r="L318" s="446"/>
      <c r="M318" s="446"/>
      <c r="N318" s="446"/>
      <c r="O318" s="446"/>
      <c r="P318" s="446"/>
      <c r="Q318" s="446"/>
      <c r="R318" s="446"/>
      <c r="S318" s="446"/>
      <c r="T318" s="446"/>
      <c r="U318" s="446"/>
      <c r="V318" s="446"/>
      <c r="W318" s="446"/>
      <c r="X318" s="446"/>
      <c r="Y318" s="446"/>
      <c r="Z318" s="446"/>
      <c r="AA318" s="446"/>
      <c r="AB318" s="447"/>
    </row>
    <row r="319" spans="2:28" x14ac:dyDescent="0.2">
      <c r="B319" s="445"/>
      <c r="C319" s="446"/>
      <c r="D319" s="583" t="s">
        <v>179</v>
      </c>
      <c r="E319" s="446"/>
      <c r="F319" s="446"/>
      <c r="G319" s="446"/>
      <c r="H319" s="446"/>
      <c r="I319" s="446"/>
      <c r="J319" s="446"/>
      <c r="K319" s="446"/>
      <c r="L319" s="446"/>
      <c r="M319" s="446"/>
      <c r="N319" s="446"/>
      <c r="O319" s="446"/>
      <c r="P319" s="446"/>
      <c r="Q319" s="446"/>
      <c r="R319" s="446"/>
      <c r="S319" s="446"/>
      <c r="T319" s="446"/>
      <c r="U319" s="446"/>
      <c r="V319" s="446"/>
      <c r="W319" s="446"/>
      <c r="X319" s="446"/>
      <c r="Y319" s="446"/>
      <c r="Z319" s="446"/>
      <c r="AA319" s="446"/>
      <c r="AB319" s="447"/>
    </row>
    <row r="320" spans="2:28" x14ac:dyDescent="0.2">
      <c r="B320" s="445"/>
      <c r="C320" s="446"/>
      <c r="D320" s="446"/>
      <c r="E320" s="446"/>
      <c r="F320" s="446"/>
      <c r="G320" s="446"/>
      <c r="H320" s="446"/>
      <c r="I320" s="446"/>
      <c r="J320" s="446"/>
      <c r="K320" s="446"/>
      <c r="L320" s="446"/>
      <c r="M320" s="446"/>
      <c r="N320" s="446"/>
      <c r="O320" s="446"/>
      <c r="P320" s="446"/>
      <c r="Q320" s="446"/>
      <c r="R320" s="446"/>
      <c r="S320" s="446"/>
      <c r="T320" s="446"/>
      <c r="U320" s="446"/>
      <c r="V320" s="446"/>
      <c r="W320" s="446"/>
      <c r="X320" s="446"/>
      <c r="Y320" s="446"/>
      <c r="Z320" s="446"/>
      <c r="AA320" s="446"/>
      <c r="AB320" s="447"/>
    </row>
    <row r="321" spans="2:28" x14ac:dyDescent="0.2">
      <c r="B321" s="445"/>
      <c r="C321" s="534"/>
      <c r="D321" s="559" t="s">
        <v>187</v>
      </c>
      <c r="E321" s="562" t="s">
        <v>228</v>
      </c>
      <c r="F321" s="563"/>
      <c r="G321" s="563">
        <f t="shared" ref="G321:Z321" si="52">G12</f>
        <v>2020</v>
      </c>
      <c r="H321" s="563">
        <f t="shared" si="52"/>
        <v>2021</v>
      </c>
      <c r="I321" s="563">
        <f t="shared" si="52"/>
        <v>2022</v>
      </c>
      <c r="J321" s="563">
        <f t="shared" si="52"/>
        <v>2023</v>
      </c>
      <c r="K321" s="563">
        <f t="shared" si="52"/>
        <v>2024</v>
      </c>
      <c r="L321" s="563">
        <f t="shared" si="52"/>
        <v>2025</v>
      </c>
      <c r="M321" s="563">
        <f t="shared" si="52"/>
        <v>2026</v>
      </c>
      <c r="N321" s="563">
        <f t="shared" si="52"/>
        <v>2027</v>
      </c>
      <c r="O321" s="563">
        <f t="shared" si="52"/>
        <v>2028</v>
      </c>
      <c r="P321" s="563">
        <f t="shared" si="52"/>
        <v>2029</v>
      </c>
      <c r="Q321" s="563">
        <f t="shared" si="52"/>
        <v>2030</v>
      </c>
      <c r="R321" s="563">
        <f t="shared" si="52"/>
        <v>2031</v>
      </c>
      <c r="S321" s="563">
        <f t="shared" si="52"/>
        <v>2032</v>
      </c>
      <c r="T321" s="563">
        <f t="shared" si="52"/>
        <v>2033</v>
      </c>
      <c r="U321" s="563">
        <f t="shared" si="52"/>
        <v>2034</v>
      </c>
      <c r="V321" s="563">
        <f t="shared" si="52"/>
        <v>2035</v>
      </c>
      <c r="W321" s="563">
        <f t="shared" si="52"/>
        <v>2036</v>
      </c>
      <c r="X321" s="563">
        <f t="shared" si="52"/>
        <v>2037</v>
      </c>
      <c r="Y321" s="563">
        <f t="shared" si="52"/>
        <v>2038</v>
      </c>
      <c r="Z321" s="563">
        <f t="shared" si="52"/>
        <v>2039</v>
      </c>
      <c r="AA321" s="446"/>
      <c r="AB321" s="447"/>
    </row>
    <row r="322" spans="2:28" x14ac:dyDescent="0.2">
      <c r="B322" s="445"/>
      <c r="C322" s="534"/>
      <c r="D322" s="544" t="str">
        <f>$D$24</f>
        <v>"Status Quo" Reference Case</v>
      </c>
      <c r="E322" s="560" t="s">
        <v>188</v>
      </c>
      <c r="F322" s="580"/>
      <c r="G322" s="578"/>
      <c r="H322" s="578"/>
      <c r="I322" s="578"/>
      <c r="J322" s="578"/>
      <c r="K322" s="578"/>
      <c r="L322" s="578"/>
      <c r="M322" s="578"/>
      <c r="N322" s="578"/>
      <c r="O322" s="578"/>
      <c r="P322" s="578"/>
      <c r="Q322" s="578"/>
      <c r="R322" s="578"/>
      <c r="S322" s="578"/>
      <c r="T322" s="578"/>
      <c r="U322" s="578"/>
      <c r="V322" s="578"/>
      <c r="W322" s="578"/>
      <c r="X322" s="578"/>
      <c r="Y322" s="578"/>
      <c r="Z322" s="578"/>
      <c r="AA322" s="446"/>
      <c r="AB322" s="447"/>
    </row>
    <row r="323" spans="2:28" x14ac:dyDescent="0.2">
      <c r="B323" s="445"/>
      <c r="C323" s="534"/>
      <c r="D323" s="544" t="str">
        <f>$D$53</f>
        <v>Option 1: Provide In Meter Capabilities</v>
      </c>
      <c r="E323" s="560" t="s">
        <v>188</v>
      </c>
      <c r="F323" s="580"/>
      <c r="G323" s="578"/>
      <c r="H323" s="578"/>
      <c r="I323" s="578"/>
      <c r="J323" s="578"/>
      <c r="K323" s="578"/>
      <c r="L323" s="578"/>
      <c r="M323" s="578"/>
      <c r="N323" s="578"/>
      <c r="O323" s="578"/>
      <c r="P323" s="578"/>
      <c r="Q323" s="578"/>
      <c r="R323" s="578"/>
      <c r="S323" s="578"/>
      <c r="T323" s="578"/>
      <c r="U323" s="578"/>
      <c r="V323" s="578"/>
      <c r="W323" s="578"/>
      <c r="X323" s="578"/>
      <c r="Y323" s="578"/>
      <c r="Z323" s="578"/>
      <c r="AA323" s="446"/>
      <c r="AB323" s="447"/>
    </row>
    <row r="324" spans="2:28" x14ac:dyDescent="0.2">
      <c r="B324" s="445"/>
      <c r="C324" s="534"/>
      <c r="D324" s="544" t="str">
        <f>$D$82</f>
        <v>Option 2: Provide In Meter Capabilities with Near Real-time Centralised Analytics</v>
      </c>
      <c r="E324" s="560" t="s">
        <v>188</v>
      </c>
      <c r="F324" s="580"/>
      <c r="G324" s="579"/>
      <c r="H324" s="579"/>
      <c r="I324" s="579"/>
      <c r="J324" s="579"/>
      <c r="K324" s="579"/>
      <c r="L324" s="579"/>
      <c r="M324" s="579"/>
      <c r="N324" s="579"/>
      <c r="O324" s="579"/>
      <c r="P324" s="579"/>
      <c r="Q324" s="579"/>
      <c r="R324" s="579"/>
      <c r="S324" s="579"/>
      <c r="T324" s="579"/>
      <c r="U324" s="579"/>
      <c r="V324" s="579"/>
      <c r="W324" s="579"/>
      <c r="X324" s="579"/>
      <c r="Y324" s="579"/>
      <c r="Z324" s="579"/>
      <c r="AA324" s="446"/>
      <c r="AB324" s="447"/>
    </row>
    <row r="325" spans="2:28" x14ac:dyDescent="0.2">
      <c r="B325" s="445"/>
      <c r="C325" s="534"/>
      <c r="D325" s="544" t="str">
        <f>$D$111</f>
        <v xml:space="preserve">Option 3: </v>
      </c>
      <c r="E325" s="560" t="s">
        <v>188</v>
      </c>
      <c r="F325" s="580"/>
      <c r="G325" s="579"/>
      <c r="H325" s="579"/>
      <c r="I325" s="579"/>
      <c r="J325" s="579"/>
      <c r="K325" s="579"/>
      <c r="L325" s="579"/>
      <c r="M325" s="579"/>
      <c r="N325" s="579"/>
      <c r="O325" s="579"/>
      <c r="P325" s="579"/>
      <c r="Q325" s="579"/>
      <c r="R325" s="579"/>
      <c r="S325" s="579"/>
      <c r="T325" s="579"/>
      <c r="U325" s="579"/>
      <c r="V325" s="579"/>
      <c r="W325" s="579"/>
      <c r="X325" s="579"/>
      <c r="Y325" s="579"/>
      <c r="Z325" s="579"/>
      <c r="AA325" s="446"/>
      <c r="AB325" s="447"/>
    </row>
    <row r="326" spans="2:28" x14ac:dyDescent="0.2">
      <c r="B326" s="445"/>
      <c r="C326" s="534"/>
      <c r="D326" s="544" t="str">
        <f>$D$140</f>
        <v xml:space="preserve">Option 4: </v>
      </c>
      <c r="E326" s="560" t="s">
        <v>188</v>
      </c>
      <c r="F326" s="580"/>
      <c r="G326" s="579"/>
      <c r="H326" s="579"/>
      <c r="I326" s="579"/>
      <c r="J326" s="579"/>
      <c r="K326" s="579"/>
      <c r="L326" s="579"/>
      <c r="M326" s="579"/>
      <c r="N326" s="579"/>
      <c r="O326" s="579"/>
      <c r="P326" s="579"/>
      <c r="Q326" s="579"/>
      <c r="R326" s="579"/>
      <c r="S326" s="579"/>
      <c r="T326" s="579"/>
      <c r="U326" s="579"/>
      <c r="V326" s="579"/>
      <c r="W326" s="579"/>
      <c r="X326" s="579"/>
      <c r="Y326" s="579"/>
      <c r="Z326" s="579"/>
      <c r="AA326" s="446"/>
      <c r="AB326" s="447"/>
    </row>
    <row r="327" spans="2:28" x14ac:dyDescent="0.2">
      <c r="B327" s="445"/>
      <c r="C327" s="534"/>
      <c r="D327" s="544" t="str">
        <f>$D$169</f>
        <v xml:space="preserve">Option 5: </v>
      </c>
      <c r="E327" s="560" t="s">
        <v>188</v>
      </c>
      <c r="F327" s="580"/>
      <c r="G327" s="578"/>
      <c r="H327" s="578"/>
      <c r="I327" s="578"/>
      <c r="J327" s="578"/>
      <c r="K327" s="578"/>
      <c r="L327" s="578"/>
      <c r="M327" s="578"/>
      <c r="N327" s="578"/>
      <c r="O327" s="578"/>
      <c r="P327" s="578"/>
      <c r="Q327" s="578"/>
      <c r="R327" s="578"/>
      <c r="S327" s="578"/>
      <c r="T327" s="578"/>
      <c r="U327" s="578"/>
      <c r="V327" s="578"/>
      <c r="W327" s="578"/>
      <c r="X327" s="578"/>
      <c r="Y327" s="578"/>
      <c r="Z327" s="578"/>
      <c r="AA327" s="446"/>
      <c r="AB327" s="447"/>
    </row>
    <row r="328" spans="2:28" x14ac:dyDescent="0.2">
      <c r="B328" s="445"/>
      <c r="C328" s="446"/>
      <c r="D328" s="446"/>
      <c r="E328" s="446"/>
      <c r="F328" s="446"/>
      <c r="G328" s="446"/>
      <c r="H328" s="446"/>
      <c r="I328" s="446"/>
      <c r="J328" s="446"/>
      <c r="K328" s="446"/>
      <c r="L328" s="446"/>
      <c r="M328" s="446"/>
      <c r="N328" s="446"/>
      <c r="O328" s="446"/>
      <c r="P328" s="446"/>
      <c r="Q328" s="446"/>
      <c r="R328" s="446"/>
      <c r="S328" s="446"/>
      <c r="T328" s="446"/>
      <c r="U328" s="446"/>
      <c r="V328" s="446"/>
      <c r="W328" s="446"/>
      <c r="X328" s="446"/>
      <c r="Y328" s="446"/>
      <c r="Z328" s="446"/>
      <c r="AA328" s="446"/>
      <c r="AB328" s="447"/>
    </row>
    <row r="329" spans="2:28" x14ac:dyDescent="0.2">
      <c r="B329" s="445"/>
      <c r="C329" s="534"/>
      <c r="D329" s="559" t="s">
        <v>189</v>
      </c>
      <c r="E329" s="562" t="s">
        <v>229</v>
      </c>
      <c r="F329" s="563"/>
      <c r="G329" s="563"/>
      <c r="H329" s="563"/>
      <c r="I329" s="563"/>
      <c r="J329" s="563"/>
      <c r="K329" s="563"/>
      <c r="L329" s="563"/>
      <c r="M329" s="563"/>
      <c r="N329" s="563"/>
      <c r="O329" s="563"/>
      <c r="P329" s="563"/>
      <c r="Q329" s="563"/>
      <c r="R329" s="563"/>
      <c r="S329" s="563"/>
      <c r="T329" s="563"/>
      <c r="U329" s="563"/>
      <c r="V329" s="563"/>
      <c r="W329" s="563"/>
      <c r="X329" s="563"/>
      <c r="Y329" s="563"/>
      <c r="Z329" s="563"/>
      <c r="AA329" s="446"/>
      <c r="AB329" s="447"/>
    </row>
    <row r="330" spans="2:28" x14ac:dyDescent="0.2">
      <c r="B330" s="445"/>
      <c r="C330" s="534"/>
      <c r="D330" s="544" t="str">
        <f>$D$24</f>
        <v>"Status Quo" Reference Case</v>
      </c>
      <c r="E330" s="560" t="s">
        <v>104</v>
      </c>
      <c r="F330" s="580"/>
      <c r="G330" s="578"/>
      <c r="H330" s="578"/>
      <c r="I330" s="578"/>
      <c r="J330" s="578"/>
      <c r="K330" s="578"/>
      <c r="L330" s="578"/>
      <c r="M330" s="578"/>
      <c r="N330" s="578"/>
      <c r="O330" s="578"/>
      <c r="P330" s="578"/>
      <c r="Q330" s="578"/>
      <c r="R330" s="578"/>
      <c r="S330" s="578"/>
      <c r="T330" s="578"/>
      <c r="U330" s="578"/>
      <c r="V330" s="578"/>
      <c r="W330" s="578"/>
      <c r="X330" s="578"/>
      <c r="Y330" s="578"/>
      <c r="Z330" s="578"/>
      <c r="AA330" s="446"/>
      <c r="AB330" s="447"/>
    </row>
    <row r="331" spans="2:28" x14ac:dyDescent="0.2">
      <c r="B331" s="445"/>
      <c r="C331" s="534"/>
      <c r="D331" s="544" t="str">
        <f>$D$53</f>
        <v>Option 1: Provide In Meter Capabilities</v>
      </c>
      <c r="E331" s="560" t="s">
        <v>104</v>
      </c>
      <c r="F331" s="580"/>
      <c r="G331" s="578"/>
      <c r="H331" s="578"/>
      <c r="I331" s="578"/>
      <c r="J331" s="578"/>
      <c r="K331" s="578"/>
      <c r="L331" s="578"/>
      <c r="M331" s="578"/>
      <c r="N331" s="578"/>
      <c r="O331" s="578"/>
      <c r="P331" s="578"/>
      <c r="Q331" s="578"/>
      <c r="R331" s="578"/>
      <c r="S331" s="578"/>
      <c r="T331" s="578"/>
      <c r="U331" s="578"/>
      <c r="V331" s="578"/>
      <c r="W331" s="578"/>
      <c r="X331" s="578"/>
      <c r="Y331" s="578"/>
      <c r="Z331" s="578"/>
      <c r="AA331" s="446"/>
      <c r="AB331" s="447"/>
    </row>
    <row r="332" spans="2:28" x14ac:dyDescent="0.2">
      <c r="B332" s="445"/>
      <c r="C332" s="534"/>
      <c r="D332" s="544" t="str">
        <f>$D$82</f>
        <v>Option 2: Provide In Meter Capabilities with Near Real-time Centralised Analytics</v>
      </c>
      <c r="E332" s="560" t="s">
        <v>104</v>
      </c>
      <c r="F332" s="580"/>
      <c r="G332" s="579"/>
      <c r="H332" s="579"/>
      <c r="I332" s="579"/>
      <c r="J332" s="579"/>
      <c r="K332" s="579"/>
      <c r="L332" s="579"/>
      <c r="M332" s="579"/>
      <c r="N332" s="579"/>
      <c r="O332" s="579"/>
      <c r="P332" s="579"/>
      <c r="Q332" s="579"/>
      <c r="R332" s="579"/>
      <c r="S332" s="579"/>
      <c r="T332" s="579"/>
      <c r="U332" s="579"/>
      <c r="V332" s="579"/>
      <c r="W332" s="579"/>
      <c r="X332" s="579"/>
      <c r="Y332" s="579"/>
      <c r="Z332" s="579"/>
      <c r="AA332" s="446"/>
      <c r="AB332" s="447"/>
    </row>
    <row r="333" spans="2:28" x14ac:dyDescent="0.2">
      <c r="B333" s="445"/>
      <c r="C333" s="534"/>
      <c r="D333" s="544" t="str">
        <f>$D$111</f>
        <v xml:space="preserve">Option 3: </v>
      </c>
      <c r="E333" s="560" t="s">
        <v>104</v>
      </c>
      <c r="F333" s="580"/>
      <c r="G333" s="579"/>
      <c r="H333" s="579"/>
      <c r="I333" s="579"/>
      <c r="J333" s="579"/>
      <c r="K333" s="579"/>
      <c r="L333" s="579"/>
      <c r="M333" s="579"/>
      <c r="N333" s="579"/>
      <c r="O333" s="579"/>
      <c r="P333" s="579"/>
      <c r="Q333" s="579"/>
      <c r="R333" s="579"/>
      <c r="S333" s="579"/>
      <c r="T333" s="579"/>
      <c r="U333" s="579"/>
      <c r="V333" s="579"/>
      <c r="W333" s="579"/>
      <c r="X333" s="579"/>
      <c r="Y333" s="579"/>
      <c r="Z333" s="579"/>
      <c r="AA333" s="446"/>
      <c r="AB333" s="447"/>
    </row>
    <row r="334" spans="2:28" x14ac:dyDescent="0.2">
      <c r="B334" s="445"/>
      <c r="C334" s="534"/>
      <c r="D334" s="544" t="str">
        <f>$D$140</f>
        <v xml:space="preserve">Option 4: </v>
      </c>
      <c r="E334" s="560" t="s">
        <v>104</v>
      </c>
      <c r="F334" s="580"/>
      <c r="G334" s="579"/>
      <c r="H334" s="579"/>
      <c r="I334" s="579"/>
      <c r="J334" s="579"/>
      <c r="K334" s="579"/>
      <c r="L334" s="579"/>
      <c r="M334" s="579"/>
      <c r="N334" s="579"/>
      <c r="O334" s="579"/>
      <c r="P334" s="579"/>
      <c r="Q334" s="579"/>
      <c r="R334" s="579"/>
      <c r="S334" s="579"/>
      <c r="T334" s="579"/>
      <c r="U334" s="579"/>
      <c r="V334" s="579"/>
      <c r="W334" s="579"/>
      <c r="X334" s="579"/>
      <c r="Y334" s="579"/>
      <c r="Z334" s="579"/>
      <c r="AA334" s="446"/>
      <c r="AB334" s="447"/>
    </row>
    <row r="335" spans="2:28" x14ac:dyDescent="0.2">
      <c r="B335" s="445"/>
      <c r="C335" s="534"/>
      <c r="D335" s="544" t="str">
        <f>$D$169</f>
        <v xml:space="preserve">Option 5: </v>
      </c>
      <c r="E335" s="560" t="s">
        <v>104</v>
      </c>
      <c r="F335" s="580"/>
      <c r="G335" s="578"/>
      <c r="H335" s="578"/>
      <c r="I335" s="578"/>
      <c r="J335" s="578"/>
      <c r="K335" s="578"/>
      <c r="L335" s="578"/>
      <c r="M335" s="578"/>
      <c r="N335" s="578"/>
      <c r="O335" s="578"/>
      <c r="P335" s="578"/>
      <c r="Q335" s="578"/>
      <c r="R335" s="578"/>
      <c r="S335" s="578"/>
      <c r="T335" s="578"/>
      <c r="U335" s="578"/>
      <c r="V335" s="578"/>
      <c r="W335" s="578"/>
      <c r="X335" s="578"/>
      <c r="Y335" s="578"/>
      <c r="Z335" s="578"/>
      <c r="AA335" s="446"/>
      <c r="AB335" s="447"/>
    </row>
    <row r="336" spans="2:28" x14ac:dyDescent="0.2">
      <c r="B336" s="445"/>
      <c r="C336" s="446"/>
      <c r="D336" s="446"/>
      <c r="E336" s="446"/>
      <c r="F336" s="446"/>
      <c r="G336" s="446"/>
      <c r="H336" s="446"/>
      <c r="I336" s="446"/>
      <c r="J336" s="446"/>
      <c r="K336" s="446"/>
      <c r="L336" s="446"/>
      <c r="M336" s="446"/>
      <c r="N336" s="446"/>
      <c r="O336" s="446"/>
      <c r="P336" s="446"/>
      <c r="Q336" s="446"/>
      <c r="R336" s="446"/>
      <c r="S336" s="446"/>
      <c r="T336" s="446"/>
      <c r="U336" s="446"/>
      <c r="V336" s="446"/>
      <c r="W336" s="446"/>
      <c r="X336" s="446"/>
      <c r="Y336" s="446"/>
      <c r="Z336" s="446"/>
      <c r="AA336" s="446"/>
      <c r="AB336" s="447"/>
    </row>
    <row r="337" spans="2:257" x14ac:dyDescent="0.2">
      <c r="B337" s="445"/>
      <c r="C337" s="534"/>
      <c r="D337" s="559" t="s">
        <v>190</v>
      </c>
      <c r="E337" s="562" t="s">
        <v>230</v>
      </c>
      <c r="F337" s="563"/>
      <c r="G337" s="563"/>
      <c r="H337" s="563"/>
      <c r="I337" s="563"/>
      <c r="J337" s="563"/>
      <c r="K337" s="563"/>
      <c r="L337" s="563"/>
      <c r="M337" s="563"/>
      <c r="N337" s="563"/>
      <c r="O337" s="563"/>
      <c r="P337" s="563"/>
      <c r="Q337" s="563"/>
      <c r="R337" s="563"/>
      <c r="S337" s="563"/>
      <c r="T337" s="563"/>
      <c r="U337" s="563"/>
      <c r="V337" s="563"/>
      <c r="W337" s="563"/>
      <c r="X337" s="563"/>
      <c r="Y337" s="563"/>
      <c r="Z337" s="563"/>
      <c r="AA337" s="446"/>
      <c r="AB337" s="447"/>
    </row>
    <row r="338" spans="2:257" x14ac:dyDescent="0.2">
      <c r="B338" s="445"/>
      <c r="C338" s="534"/>
      <c r="D338" s="544" t="str">
        <f>$D$24</f>
        <v>"Status Quo" Reference Case</v>
      </c>
      <c r="E338" s="560" t="s">
        <v>226</v>
      </c>
      <c r="F338" s="580"/>
      <c r="G338" s="581"/>
      <c r="H338" s="581"/>
      <c r="I338" s="581"/>
      <c r="J338" s="581"/>
      <c r="K338" s="581"/>
      <c r="L338" s="581"/>
      <c r="M338" s="581"/>
      <c r="N338" s="581"/>
      <c r="O338" s="581"/>
      <c r="P338" s="581"/>
      <c r="Q338" s="581"/>
      <c r="R338" s="581"/>
      <c r="S338" s="581"/>
      <c r="T338" s="581"/>
      <c r="U338" s="581"/>
      <c r="V338" s="581"/>
      <c r="W338" s="581"/>
      <c r="X338" s="581"/>
      <c r="Y338" s="581"/>
      <c r="Z338" s="581"/>
      <c r="AA338" s="446"/>
      <c r="AB338" s="447"/>
      <c r="AC338" s="515"/>
      <c r="AD338" s="515"/>
      <c r="AE338" s="515"/>
      <c r="AF338" s="515"/>
      <c r="AG338" s="515"/>
      <c r="AH338" s="515"/>
      <c r="AI338" s="515"/>
      <c r="AJ338" s="515"/>
      <c r="AK338" s="515"/>
      <c r="AL338" s="515"/>
      <c r="AM338" s="515"/>
      <c r="AN338" s="515"/>
      <c r="AO338" s="515"/>
      <c r="AP338" s="515"/>
      <c r="AQ338" s="515"/>
      <c r="AR338" s="515"/>
      <c r="AS338" s="515"/>
      <c r="AT338" s="515"/>
      <c r="AU338" s="515"/>
      <c r="AV338" s="515"/>
      <c r="AW338" s="515"/>
      <c r="AX338" s="515"/>
      <c r="AY338" s="515"/>
      <c r="AZ338" s="515"/>
      <c r="BA338" s="515"/>
      <c r="BB338" s="515"/>
      <c r="BC338" s="515"/>
      <c r="BD338" s="515"/>
      <c r="BE338" s="515"/>
      <c r="BF338" s="515"/>
      <c r="BG338" s="515"/>
      <c r="BH338" s="515"/>
      <c r="BI338" s="515"/>
      <c r="BJ338" s="515"/>
      <c r="BK338" s="515"/>
      <c r="BL338" s="515"/>
      <c r="BM338" s="515"/>
      <c r="BN338" s="515"/>
      <c r="BO338" s="515"/>
      <c r="BP338" s="515"/>
      <c r="BQ338" s="515"/>
      <c r="BR338" s="515"/>
      <c r="BS338" s="515"/>
      <c r="BT338" s="515"/>
      <c r="BU338" s="515"/>
      <c r="BV338" s="515"/>
      <c r="BW338" s="515"/>
      <c r="BX338" s="515"/>
      <c r="BY338" s="515"/>
      <c r="BZ338" s="515"/>
      <c r="CA338" s="515"/>
      <c r="CB338" s="515"/>
      <c r="CC338" s="515"/>
      <c r="CD338" s="515"/>
      <c r="CE338" s="515"/>
      <c r="CF338" s="515"/>
      <c r="CG338" s="515"/>
      <c r="CH338" s="515"/>
      <c r="CI338" s="515"/>
      <c r="CJ338" s="515"/>
      <c r="CK338" s="515"/>
      <c r="CL338" s="515"/>
      <c r="CM338" s="515"/>
      <c r="CN338" s="515"/>
      <c r="CO338" s="515"/>
      <c r="CP338" s="515"/>
      <c r="CQ338" s="515"/>
      <c r="CR338" s="515"/>
      <c r="CS338" s="515"/>
      <c r="CT338" s="515"/>
      <c r="CU338" s="515"/>
      <c r="CV338" s="515"/>
      <c r="CW338" s="515"/>
      <c r="CX338" s="515"/>
      <c r="CY338" s="515"/>
      <c r="CZ338" s="515"/>
      <c r="DA338" s="515"/>
      <c r="DB338" s="515"/>
      <c r="DC338" s="515"/>
      <c r="DD338" s="515"/>
      <c r="DE338" s="515"/>
      <c r="DF338" s="515"/>
      <c r="DG338" s="515"/>
      <c r="DH338" s="515"/>
      <c r="DI338" s="515"/>
      <c r="DJ338" s="515"/>
      <c r="DK338" s="515"/>
      <c r="DL338" s="515"/>
      <c r="DM338" s="515"/>
      <c r="DN338" s="515"/>
      <c r="DO338" s="515"/>
      <c r="DP338" s="515"/>
      <c r="DQ338" s="515"/>
      <c r="DR338" s="515"/>
      <c r="DS338" s="515"/>
      <c r="DT338" s="515"/>
      <c r="DU338" s="515"/>
      <c r="DV338" s="515"/>
      <c r="DW338" s="515"/>
      <c r="DX338" s="343"/>
      <c r="DY338" s="343"/>
      <c r="DZ338" s="343"/>
      <c r="EA338" s="343"/>
      <c r="EB338" s="343"/>
      <c r="EC338" s="343"/>
      <c r="ED338" s="343"/>
      <c r="EE338" s="343"/>
      <c r="EF338" s="343"/>
      <c r="EG338" s="343"/>
      <c r="EH338" s="343"/>
      <c r="EI338" s="343"/>
      <c r="EJ338" s="343"/>
      <c r="EK338" s="343"/>
      <c r="EL338" s="343"/>
      <c r="EM338" s="343"/>
      <c r="EN338" s="343"/>
      <c r="EO338" s="343"/>
      <c r="EP338" s="343"/>
      <c r="EQ338" s="343"/>
      <c r="ER338" s="343"/>
      <c r="ES338" s="343"/>
      <c r="ET338" s="343"/>
      <c r="EU338" s="343"/>
      <c r="EV338" s="343"/>
      <c r="EW338" s="343"/>
      <c r="EX338" s="343"/>
      <c r="EY338" s="343"/>
      <c r="EZ338" s="343"/>
      <c r="FA338" s="343"/>
      <c r="FB338" s="343"/>
      <c r="FC338" s="343"/>
      <c r="FD338" s="343"/>
      <c r="FE338" s="343"/>
      <c r="FF338" s="343"/>
      <c r="FG338" s="343"/>
      <c r="FH338" s="343"/>
      <c r="FI338" s="343"/>
      <c r="FJ338" s="343"/>
      <c r="FK338" s="343"/>
      <c r="FL338" s="343"/>
      <c r="FM338" s="343"/>
      <c r="FN338" s="343"/>
      <c r="FO338" s="343"/>
      <c r="FP338" s="343"/>
      <c r="FQ338" s="343"/>
      <c r="FR338" s="343"/>
      <c r="FS338" s="343"/>
      <c r="FT338" s="343"/>
      <c r="FU338" s="343"/>
      <c r="FV338" s="343"/>
      <c r="FW338" s="343"/>
      <c r="FX338" s="343"/>
      <c r="FY338" s="343"/>
      <c r="FZ338" s="343"/>
      <c r="GA338" s="343"/>
      <c r="GB338" s="343"/>
      <c r="GC338" s="343"/>
      <c r="GD338" s="343"/>
      <c r="GE338" s="343"/>
      <c r="GF338" s="343"/>
      <c r="GG338" s="343"/>
      <c r="GH338" s="343"/>
      <c r="GI338" s="343"/>
      <c r="GJ338" s="343"/>
      <c r="GK338" s="343"/>
      <c r="GL338" s="343"/>
      <c r="GM338" s="343"/>
      <c r="GN338" s="343"/>
      <c r="GO338" s="343"/>
      <c r="GP338" s="343"/>
      <c r="GQ338" s="343"/>
      <c r="GR338" s="343"/>
      <c r="GS338" s="343"/>
      <c r="GT338" s="343"/>
      <c r="GU338" s="343"/>
      <c r="GV338" s="343"/>
      <c r="GW338" s="343"/>
      <c r="GX338" s="343"/>
      <c r="GY338" s="343"/>
      <c r="GZ338" s="343"/>
      <c r="HA338" s="343"/>
      <c r="HB338" s="343"/>
      <c r="HC338" s="343"/>
      <c r="HD338" s="343"/>
      <c r="HE338" s="343"/>
      <c r="HF338" s="343"/>
      <c r="HG338" s="343"/>
      <c r="HH338" s="343"/>
      <c r="HI338" s="343"/>
      <c r="HJ338" s="343"/>
      <c r="HK338" s="343"/>
      <c r="HL338" s="343"/>
      <c r="HM338" s="343"/>
      <c r="HN338" s="343"/>
      <c r="HO338" s="343"/>
      <c r="HP338" s="343"/>
      <c r="HQ338" s="343"/>
      <c r="HR338" s="343"/>
      <c r="HS338" s="343"/>
      <c r="HT338" s="343"/>
      <c r="HU338" s="343"/>
      <c r="HV338" s="343"/>
      <c r="HW338" s="343"/>
      <c r="HX338" s="343"/>
      <c r="HY338" s="343"/>
      <c r="HZ338" s="343"/>
      <c r="IA338" s="343"/>
      <c r="IB338" s="343"/>
      <c r="IC338" s="343"/>
      <c r="ID338" s="343"/>
      <c r="IE338" s="343"/>
      <c r="IF338" s="343"/>
      <c r="IG338" s="343"/>
      <c r="IH338" s="343"/>
      <c r="II338" s="343"/>
      <c r="IJ338" s="343"/>
      <c r="IK338" s="343"/>
      <c r="IL338" s="343"/>
      <c r="IM338" s="343"/>
      <c r="IN338" s="343"/>
      <c r="IO338" s="343"/>
      <c r="IP338" s="343"/>
      <c r="IQ338" s="343"/>
      <c r="IR338" s="343"/>
      <c r="IS338" s="343"/>
      <c r="IT338" s="343"/>
      <c r="IU338" s="343"/>
      <c r="IV338" s="343"/>
      <c r="IW338" s="343"/>
    </row>
    <row r="339" spans="2:257" x14ac:dyDescent="0.2">
      <c r="B339" s="445"/>
      <c r="C339" s="534"/>
      <c r="D339" s="544" t="str">
        <f>$D$53</f>
        <v>Option 1: Provide In Meter Capabilities</v>
      </c>
      <c r="E339" s="560" t="str">
        <f>E338</f>
        <v>To be determined by the AER</v>
      </c>
      <c r="F339" s="580"/>
      <c r="G339" s="581"/>
      <c r="H339" s="581"/>
      <c r="I339" s="581"/>
      <c r="J339" s="581"/>
      <c r="K339" s="581"/>
      <c r="L339" s="581"/>
      <c r="M339" s="581"/>
      <c r="N339" s="581"/>
      <c r="O339" s="581"/>
      <c r="P339" s="581"/>
      <c r="Q339" s="581"/>
      <c r="R339" s="581"/>
      <c r="S339" s="581"/>
      <c r="T339" s="581"/>
      <c r="U339" s="581"/>
      <c r="V339" s="581"/>
      <c r="W339" s="581"/>
      <c r="X339" s="581"/>
      <c r="Y339" s="581"/>
      <c r="Z339" s="581"/>
      <c r="AA339" s="446"/>
      <c r="AB339" s="447"/>
      <c r="AC339" s="515"/>
      <c r="AD339" s="515"/>
      <c r="AE339" s="515"/>
      <c r="AF339" s="515"/>
      <c r="AG339" s="515"/>
      <c r="AH339" s="515"/>
      <c r="AI339" s="515"/>
      <c r="AJ339" s="515"/>
      <c r="AK339" s="515"/>
      <c r="AL339" s="515"/>
      <c r="AM339" s="515"/>
      <c r="AN339" s="515"/>
      <c r="AO339" s="515"/>
      <c r="AP339" s="515"/>
      <c r="AQ339" s="515"/>
      <c r="AR339" s="515"/>
      <c r="AS339" s="515"/>
      <c r="AT339" s="515"/>
      <c r="AU339" s="515"/>
      <c r="AV339" s="515"/>
      <c r="AW339" s="515"/>
      <c r="AX339" s="515"/>
      <c r="AY339" s="515"/>
      <c r="AZ339" s="515"/>
      <c r="BA339" s="515"/>
      <c r="BB339" s="515"/>
      <c r="BC339" s="515"/>
      <c r="BD339" s="515"/>
      <c r="BE339" s="515"/>
      <c r="BF339" s="515"/>
      <c r="BG339" s="515"/>
      <c r="BH339" s="515"/>
      <c r="BI339" s="515"/>
      <c r="BJ339" s="515"/>
      <c r="BK339" s="515"/>
      <c r="BL339" s="515"/>
      <c r="BM339" s="515"/>
      <c r="BN339" s="515"/>
      <c r="BO339" s="515"/>
      <c r="BP339" s="515"/>
      <c r="BQ339" s="515"/>
      <c r="BR339" s="515"/>
      <c r="BS339" s="515"/>
      <c r="BT339" s="515"/>
      <c r="BU339" s="515"/>
      <c r="BV339" s="515"/>
      <c r="BW339" s="515"/>
      <c r="BX339" s="515"/>
      <c r="BY339" s="515"/>
      <c r="BZ339" s="515"/>
      <c r="CA339" s="515"/>
      <c r="CB339" s="515"/>
      <c r="CC339" s="515"/>
      <c r="CD339" s="515"/>
      <c r="CE339" s="515"/>
      <c r="CF339" s="515"/>
      <c r="CG339" s="515"/>
      <c r="CH339" s="515"/>
      <c r="CI339" s="515"/>
      <c r="CJ339" s="515"/>
      <c r="CK339" s="515"/>
      <c r="CL339" s="515"/>
      <c r="CM339" s="515"/>
      <c r="CN339" s="515"/>
      <c r="CO339" s="515"/>
      <c r="CP339" s="515"/>
      <c r="CQ339" s="515"/>
      <c r="CR339" s="515"/>
      <c r="CS339" s="515"/>
      <c r="CT339" s="515"/>
      <c r="CU339" s="515"/>
      <c r="CV339" s="515"/>
      <c r="CW339" s="515"/>
      <c r="CX339" s="515"/>
      <c r="CY339" s="515"/>
      <c r="CZ339" s="515"/>
      <c r="DA339" s="515"/>
      <c r="DB339" s="515"/>
      <c r="DC339" s="515"/>
      <c r="DD339" s="515"/>
      <c r="DE339" s="515"/>
      <c r="DF339" s="515"/>
      <c r="DG339" s="515"/>
      <c r="DH339" s="515"/>
      <c r="DI339" s="515"/>
      <c r="DJ339" s="515"/>
      <c r="DK339" s="515"/>
      <c r="DL339" s="515"/>
      <c r="DM339" s="515"/>
      <c r="DN339" s="515"/>
      <c r="DO339" s="515"/>
      <c r="DP339" s="515"/>
      <c r="DQ339" s="515"/>
      <c r="DR339" s="515"/>
      <c r="DS339" s="515"/>
      <c r="DT339" s="515"/>
      <c r="DU339" s="515"/>
      <c r="DV339" s="515"/>
      <c r="DW339" s="515"/>
      <c r="DX339" s="343"/>
      <c r="DY339" s="343"/>
      <c r="DZ339" s="343"/>
      <c r="EA339" s="343"/>
      <c r="EB339" s="343"/>
      <c r="EC339" s="343"/>
      <c r="ED339" s="343"/>
      <c r="EE339" s="343"/>
      <c r="EF339" s="343"/>
      <c r="EG339" s="343"/>
      <c r="EH339" s="343"/>
      <c r="EI339" s="343"/>
      <c r="EJ339" s="343"/>
      <c r="EK339" s="343"/>
      <c r="EL339" s="343"/>
      <c r="EM339" s="343"/>
      <c r="EN339" s="343"/>
      <c r="EO339" s="343"/>
      <c r="EP339" s="343"/>
      <c r="EQ339" s="343"/>
      <c r="ER339" s="343"/>
      <c r="ES339" s="343"/>
      <c r="ET339" s="343"/>
      <c r="EU339" s="343"/>
      <c r="EV339" s="343"/>
      <c r="EW339" s="343"/>
      <c r="EX339" s="343"/>
      <c r="EY339" s="343"/>
      <c r="EZ339" s="343"/>
      <c r="FA339" s="343"/>
      <c r="FB339" s="343"/>
      <c r="FC339" s="343"/>
      <c r="FD339" s="343"/>
      <c r="FE339" s="343"/>
      <c r="FF339" s="343"/>
      <c r="FG339" s="343"/>
      <c r="FH339" s="343"/>
      <c r="FI339" s="343"/>
      <c r="FJ339" s="343"/>
      <c r="FK339" s="343"/>
      <c r="FL339" s="343"/>
      <c r="FM339" s="343"/>
      <c r="FN339" s="343"/>
      <c r="FO339" s="343"/>
      <c r="FP339" s="343"/>
      <c r="FQ339" s="343"/>
      <c r="FR339" s="343"/>
      <c r="FS339" s="343"/>
      <c r="FT339" s="343"/>
      <c r="FU339" s="343"/>
      <c r="FV339" s="343"/>
      <c r="FW339" s="343"/>
      <c r="FX339" s="343"/>
      <c r="FY339" s="343"/>
      <c r="FZ339" s="343"/>
      <c r="GA339" s="343"/>
      <c r="GB339" s="343"/>
      <c r="GC339" s="343"/>
      <c r="GD339" s="343"/>
      <c r="GE339" s="343"/>
      <c r="GF339" s="343"/>
      <c r="GG339" s="343"/>
      <c r="GH339" s="343"/>
      <c r="GI339" s="343"/>
      <c r="GJ339" s="343"/>
      <c r="GK339" s="343"/>
      <c r="GL339" s="343"/>
      <c r="GM339" s="343"/>
      <c r="GN339" s="343"/>
      <c r="GO339" s="343"/>
      <c r="GP339" s="343"/>
      <c r="GQ339" s="343"/>
      <c r="GR339" s="343"/>
      <c r="GS339" s="343"/>
      <c r="GT339" s="343"/>
      <c r="GU339" s="343"/>
      <c r="GV339" s="343"/>
      <c r="GW339" s="343"/>
      <c r="GX339" s="343"/>
      <c r="GY339" s="343"/>
      <c r="GZ339" s="343"/>
      <c r="HA339" s="343"/>
      <c r="HB339" s="343"/>
      <c r="HC339" s="343"/>
      <c r="HD339" s="343"/>
      <c r="HE339" s="343"/>
      <c r="HF339" s="343"/>
      <c r="HG339" s="343"/>
      <c r="HH339" s="343"/>
      <c r="HI339" s="343"/>
      <c r="HJ339" s="343"/>
      <c r="HK339" s="343"/>
      <c r="HL339" s="343"/>
      <c r="HM339" s="343"/>
      <c r="HN339" s="343"/>
      <c r="HO339" s="343"/>
      <c r="HP339" s="343"/>
      <c r="HQ339" s="343"/>
      <c r="HR339" s="343"/>
      <c r="HS339" s="343"/>
      <c r="HT339" s="343"/>
      <c r="HU339" s="343"/>
      <c r="HV339" s="343"/>
      <c r="HW339" s="343"/>
      <c r="HX339" s="343"/>
      <c r="HY339" s="343"/>
      <c r="HZ339" s="343"/>
      <c r="IA339" s="343"/>
      <c r="IB339" s="343"/>
      <c r="IC339" s="343"/>
      <c r="ID339" s="343"/>
      <c r="IE339" s="343"/>
      <c r="IF339" s="343"/>
      <c r="IG339" s="343"/>
      <c r="IH339" s="343"/>
      <c r="II339" s="343"/>
      <c r="IJ339" s="343"/>
      <c r="IK339" s="343"/>
      <c r="IL339" s="343"/>
      <c r="IM339" s="343"/>
      <c r="IN339" s="343"/>
      <c r="IO339" s="343"/>
      <c r="IP339" s="343"/>
      <c r="IQ339" s="343"/>
      <c r="IR339" s="343"/>
      <c r="IS339" s="343"/>
      <c r="IT339" s="343"/>
      <c r="IU339" s="343"/>
      <c r="IV339" s="343"/>
      <c r="IW339" s="343"/>
    </row>
    <row r="340" spans="2:257" x14ac:dyDescent="0.2">
      <c r="B340" s="445"/>
      <c r="C340" s="534"/>
      <c r="D340" s="544" t="str">
        <f>$D$82</f>
        <v>Option 2: Provide In Meter Capabilities with Near Real-time Centralised Analytics</v>
      </c>
      <c r="E340" s="560" t="str">
        <f>E339</f>
        <v>To be determined by the AER</v>
      </c>
      <c r="F340" s="580"/>
      <c r="G340" s="582"/>
      <c r="H340" s="582"/>
      <c r="I340" s="582"/>
      <c r="J340" s="582"/>
      <c r="K340" s="582"/>
      <c r="L340" s="582"/>
      <c r="M340" s="582"/>
      <c r="N340" s="582"/>
      <c r="O340" s="582"/>
      <c r="P340" s="582"/>
      <c r="Q340" s="582"/>
      <c r="R340" s="582"/>
      <c r="S340" s="582"/>
      <c r="T340" s="582"/>
      <c r="U340" s="582"/>
      <c r="V340" s="582"/>
      <c r="W340" s="582"/>
      <c r="X340" s="582"/>
      <c r="Y340" s="582"/>
      <c r="Z340" s="582"/>
      <c r="AA340" s="446"/>
      <c r="AB340" s="447"/>
      <c r="AC340" s="515"/>
      <c r="AD340" s="515"/>
      <c r="AE340" s="515"/>
      <c r="AF340" s="515"/>
      <c r="AG340" s="515"/>
      <c r="AH340" s="515"/>
      <c r="AI340" s="515"/>
      <c r="AJ340" s="515"/>
      <c r="AK340" s="515"/>
      <c r="AL340" s="515"/>
      <c r="AM340" s="515"/>
      <c r="AN340" s="515"/>
      <c r="AO340" s="515"/>
      <c r="AP340" s="515"/>
      <c r="AQ340" s="515"/>
      <c r="AR340" s="515"/>
      <c r="AS340" s="515"/>
      <c r="AT340" s="515"/>
      <c r="AU340" s="515"/>
      <c r="AV340" s="515"/>
      <c r="AW340" s="515"/>
      <c r="AX340" s="515"/>
      <c r="AY340" s="515"/>
      <c r="AZ340" s="515"/>
      <c r="BA340" s="515"/>
      <c r="BB340" s="515"/>
      <c r="BC340" s="515"/>
      <c r="BD340" s="515"/>
      <c r="BE340" s="515"/>
      <c r="BF340" s="515"/>
      <c r="BG340" s="515"/>
      <c r="BH340" s="515"/>
      <c r="BI340" s="515"/>
      <c r="BJ340" s="515"/>
      <c r="BK340" s="515"/>
      <c r="BL340" s="515"/>
      <c r="BM340" s="515"/>
      <c r="BN340" s="515"/>
      <c r="BO340" s="515"/>
      <c r="BP340" s="515"/>
      <c r="BQ340" s="515"/>
      <c r="BR340" s="515"/>
      <c r="BS340" s="515"/>
      <c r="BT340" s="515"/>
      <c r="BU340" s="515"/>
      <c r="BV340" s="515"/>
      <c r="BW340" s="515"/>
      <c r="BX340" s="515"/>
      <c r="BY340" s="515"/>
      <c r="BZ340" s="515"/>
      <c r="CA340" s="515"/>
      <c r="CB340" s="515"/>
      <c r="CC340" s="515"/>
      <c r="CD340" s="515"/>
      <c r="CE340" s="515"/>
      <c r="CF340" s="515"/>
      <c r="CG340" s="515"/>
      <c r="CH340" s="515"/>
      <c r="CI340" s="515"/>
      <c r="CJ340" s="515"/>
      <c r="CK340" s="515"/>
      <c r="CL340" s="515"/>
      <c r="CM340" s="515"/>
      <c r="CN340" s="515"/>
      <c r="CO340" s="515"/>
      <c r="CP340" s="515"/>
      <c r="CQ340" s="515"/>
      <c r="CR340" s="515"/>
      <c r="CS340" s="515"/>
      <c r="CT340" s="515"/>
      <c r="CU340" s="515"/>
      <c r="CV340" s="515"/>
      <c r="CW340" s="515"/>
      <c r="CX340" s="515"/>
      <c r="CY340" s="515"/>
      <c r="CZ340" s="515"/>
      <c r="DA340" s="515"/>
      <c r="DB340" s="515"/>
      <c r="DC340" s="515"/>
      <c r="DD340" s="515"/>
      <c r="DE340" s="515"/>
      <c r="DF340" s="515"/>
      <c r="DG340" s="515"/>
      <c r="DH340" s="515"/>
      <c r="DI340" s="515"/>
      <c r="DJ340" s="515"/>
      <c r="DK340" s="515"/>
      <c r="DL340" s="515"/>
      <c r="DM340" s="515"/>
      <c r="DN340" s="515"/>
      <c r="DO340" s="515"/>
      <c r="DP340" s="515"/>
      <c r="DQ340" s="515"/>
      <c r="DR340" s="515"/>
      <c r="DS340" s="515"/>
      <c r="DT340" s="515"/>
      <c r="DU340" s="515"/>
      <c r="DV340" s="515"/>
      <c r="DW340" s="515"/>
      <c r="DX340" s="343"/>
      <c r="DY340" s="343"/>
      <c r="DZ340" s="343"/>
      <c r="EA340" s="343"/>
      <c r="EB340" s="343"/>
      <c r="EC340" s="343"/>
      <c r="ED340" s="343"/>
      <c r="EE340" s="343"/>
      <c r="EF340" s="343"/>
      <c r="EG340" s="343"/>
      <c r="EH340" s="343"/>
      <c r="EI340" s="343"/>
      <c r="EJ340" s="343"/>
      <c r="EK340" s="343"/>
      <c r="EL340" s="343"/>
      <c r="EM340" s="343"/>
      <c r="EN340" s="343"/>
      <c r="EO340" s="343"/>
      <c r="EP340" s="343"/>
      <c r="EQ340" s="343"/>
      <c r="ER340" s="343"/>
      <c r="ES340" s="343"/>
      <c r="ET340" s="343"/>
      <c r="EU340" s="343"/>
      <c r="EV340" s="343"/>
      <c r="EW340" s="343"/>
      <c r="EX340" s="343"/>
      <c r="EY340" s="343"/>
      <c r="EZ340" s="343"/>
      <c r="FA340" s="343"/>
      <c r="FB340" s="343"/>
      <c r="FC340" s="343"/>
      <c r="FD340" s="343"/>
      <c r="FE340" s="343"/>
      <c r="FF340" s="343"/>
      <c r="FG340" s="343"/>
      <c r="FH340" s="343"/>
      <c r="FI340" s="343"/>
      <c r="FJ340" s="343"/>
      <c r="FK340" s="343"/>
      <c r="FL340" s="343"/>
      <c r="FM340" s="343"/>
      <c r="FN340" s="343"/>
      <c r="FO340" s="343"/>
      <c r="FP340" s="343"/>
      <c r="FQ340" s="343"/>
      <c r="FR340" s="343"/>
      <c r="FS340" s="343"/>
      <c r="FT340" s="343"/>
      <c r="FU340" s="343"/>
      <c r="FV340" s="343"/>
      <c r="FW340" s="343"/>
      <c r="FX340" s="343"/>
      <c r="FY340" s="343"/>
      <c r="FZ340" s="343"/>
      <c r="GA340" s="343"/>
      <c r="GB340" s="343"/>
      <c r="GC340" s="343"/>
      <c r="GD340" s="343"/>
      <c r="GE340" s="343"/>
      <c r="GF340" s="343"/>
      <c r="GG340" s="343"/>
      <c r="GH340" s="343"/>
      <c r="GI340" s="343"/>
      <c r="GJ340" s="343"/>
      <c r="GK340" s="343"/>
      <c r="GL340" s="343"/>
      <c r="GM340" s="343"/>
      <c r="GN340" s="343"/>
      <c r="GO340" s="343"/>
      <c r="GP340" s="343"/>
      <c r="GQ340" s="343"/>
      <c r="GR340" s="343"/>
      <c r="GS340" s="343"/>
      <c r="GT340" s="343"/>
      <c r="GU340" s="343"/>
      <c r="GV340" s="343"/>
      <c r="GW340" s="343"/>
      <c r="GX340" s="343"/>
      <c r="GY340" s="343"/>
      <c r="GZ340" s="343"/>
      <c r="HA340" s="343"/>
      <c r="HB340" s="343"/>
      <c r="HC340" s="343"/>
      <c r="HD340" s="343"/>
      <c r="HE340" s="343"/>
      <c r="HF340" s="343"/>
      <c r="HG340" s="343"/>
      <c r="HH340" s="343"/>
      <c r="HI340" s="343"/>
      <c r="HJ340" s="343"/>
      <c r="HK340" s="343"/>
      <c r="HL340" s="343"/>
      <c r="HM340" s="343"/>
      <c r="HN340" s="343"/>
      <c r="HO340" s="343"/>
      <c r="HP340" s="343"/>
      <c r="HQ340" s="343"/>
      <c r="HR340" s="343"/>
      <c r="HS340" s="343"/>
      <c r="HT340" s="343"/>
      <c r="HU340" s="343"/>
      <c r="HV340" s="343"/>
      <c r="HW340" s="343"/>
      <c r="HX340" s="343"/>
      <c r="HY340" s="343"/>
      <c r="HZ340" s="343"/>
      <c r="IA340" s="343"/>
      <c r="IB340" s="343"/>
      <c r="IC340" s="343"/>
      <c r="ID340" s="343"/>
      <c r="IE340" s="343"/>
      <c r="IF340" s="343"/>
      <c r="IG340" s="343"/>
      <c r="IH340" s="343"/>
      <c r="II340" s="343"/>
      <c r="IJ340" s="343"/>
      <c r="IK340" s="343"/>
      <c r="IL340" s="343"/>
      <c r="IM340" s="343"/>
      <c r="IN340" s="343"/>
      <c r="IO340" s="343"/>
      <c r="IP340" s="343"/>
      <c r="IQ340" s="343"/>
      <c r="IR340" s="343"/>
      <c r="IS340" s="343"/>
      <c r="IT340" s="343"/>
      <c r="IU340" s="343"/>
      <c r="IV340" s="343"/>
      <c r="IW340" s="343"/>
    </row>
    <row r="341" spans="2:257" x14ac:dyDescent="0.2">
      <c r="B341" s="445"/>
      <c r="C341" s="534"/>
      <c r="D341" s="544" t="str">
        <f>$D$111</f>
        <v xml:space="preserve">Option 3: </v>
      </c>
      <c r="E341" s="560" t="str">
        <f>E340</f>
        <v>To be determined by the AER</v>
      </c>
      <c r="F341" s="580"/>
      <c r="G341" s="582"/>
      <c r="H341" s="582"/>
      <c r="I341" s="582"/>
      <c r="J341" s="582"/>
      <c r="K341" s="582"/>
      <c r="L341" s="582"/>
      <c r="M341" s="582"/>
      <c r="N341" s="582"/>
      <c r="O341" s="582"/>
      <c r="P341" s="582"/>
      <c r="Q341" s="582"/>
      <c r="R341" s="582"/>
      <c r="S341" s="582"/>
      <c r="T341" s="582"/>
      <c r="U341" s="582"/>
      <c r="V341" s="582"/>
      <c r="W341" s="582"/>
      <c r="X341" s="582"/>
      <c r="Y341" s="582"/>
      <c r="Z341" s="582"/>
      <c r="AA341" s="446"/>
      <c r="AB341" s="447"/>
      <c r="AC341" s="515"/>
      <c r="AD341" s="515"/>
      <c r="AE341" s="515"/>
      <c r="AF341" s="515"/>
      <c r="AG341" s="515"/>
      <c r="AH341" s="515"/>
      <c r="AI341" s="515"/>
      <c r="AJ341" s="515"/>
      <c r="AK341" s="515"/>
      <c r="AL341" s="515"/>
      <c r="AM341" s="515"/>
      <c r="AN341" s="515"/>
      <c r="AO341" s="515"/>
      <c r="AP341" s="515"/>
      <c r="AQ341" s="515"/>
      <c r="AR341" s="515"/>
      <c r="AS341" s="515"/>
      <c r="AT341" s="515"/>
      <c r="AU341" s="515"/>
      <c r="AV341" s="515"/>
      <c r="AW341" s="515"/>
      <c r="AX341" s="515"/>
      <c r="AY341" s="515"/>
      <c r="AZ341" s="515"/>
      <c r="BA341" s="515"/>
      <c r="BB341" s="515"/>
      <c r="BC341" s="515"/>
      <c r="BD341" s="515"/>
      <c r="BE341" s="515"/>
      <c r="BF341" s="515"/>
      <c r="BG341" s="515"/>
      <c r="BH341" s="515"/>
      <c r="BI341" s="515"/>
      <c r="BJ341" s="515"/>
      <c r="BK341" s="515"/>
      <c r="BL341" s="515"/>
      <c r="BM341" s="515"/>
      <c r="BN341" s="515"/>
      <c r="BO341" s="515"/>
      <c r="BP341" s="515"/>
      <c r="BQ341" s="515"/>
      <c r="BR341" s="515"/>
      <c r="BS341" s="515"/>
      <c r="BT341" s="515"/>
      <c r="BU341" s="515"/>
      <c r="BV341" s="515"/>
      <c r="BW341" s="515"/>
      <c r="BX341" s="515"/>
      <c r="BY341" s="515"/>
      <c r="BZ341" s="515"/>
      <c r="CA341" s="515"/>
      <c r="CB341" s="515"/>
      <c r="CC341" s="515"/>
      <c r="CD341" s="515"/>
      <c r="CE341" s="515"/>
      <c r="CF341" s="515"/>
      <c r="CG341" s="515"/>
      <c r="CH341" s="515"/>
      <c r="CI341" s="515"/>
      <c r="CJ341" s="515"/>
      <c r="CK341" s="515"/>
      <c r="CL341" s="515"/>
      <c r="CM341" s="515"/>
      <c r="CN341" s="515"/>
      <c r="CO341" s="515"/>
      <c r="CP341" s="515"/>
      <c r="CQ341" s="515"/>
      <c r="CR341" s="515"/>
      <c r="CS341" s="515"/>
      <c r="CT341" s="515"/>
      <c r="CU341" s="515"/>
      <c r="CV341" s="515"/>
      <c r="CW341" s="515"/>
      <c r="CX341" s="515"/>
      <c r="CY341" s="515"/>
      <c r="CZ341" s="515"/>
      <c r="DA341" s="515"/>
      <c r="DB341" s="515"/>
      <c r="DC341" s="515"/>
      <c r="DD341" s="515"/>
      <c r="DE341" s="515"/>
      <c r="DF341" s="515"/>
      <c r="DG341" s="515"/>
      <c r="DH341" s="515"/>
      <c r="DI341" s="515"/>
      <c r="DJ341" s="515"/>
      <c r="DK341" s="515"/>
      <c r="DL341" s="515"/>
      <c r="DM341" s="515"/>
      <c r="DN341" s="515"/>
      <c r="DO341" s="515"/>
      <c r="DP341" s="515"/>
      <c r="DQ341" s="515"/>
      <c r="DR341" s="515"/>
      <c r="DS341" s="515"/>
      <c r="DT341" s="515"/>
      <c r="DU341" s="515"/>
      <c r="DV341" s="515"/>
      <c r="DW341" s="515"/>
      <c r="DX341" s="343"/>
      <c r="DY341" s="343"/>
      <c r="DZ341" s="343"/>
      <c r="EA341" s="343"/>
      <c r="EB341" s="343"/>
      <c r="EC341" s="343"/>
      <c r="ED341" s="343"/>
      <c r="EE341" s="343"/>
      <c r="EF341" s="343"/>
      <c r="EG341" s="343"/>
      <c r="EH341" s="343"/>
      <c r="EI341" s="343"/>
      <c r="EJ341" s="343"/>
      <c r="EK341" s="343"/>
      <c r="EL341" s="343"/>
      <c r="EM341" s="343"/>
      <c r="EN341" s="343"/>
      <c r="EO341" s="343"/>
      <c r="EP341" s="343"/>
      <c r="EQ341" s="343"/>
      <c r="ER341" s="343"/>
      <c r="ES341" s="343"/>
      <c r="ET341" s="343"/>
      <c r="EU341" s="343"/>
      <c r="EV341" s="343"/>
      <c r="EW341" s="343"/>
      <c r="EX341" s="343"/>
      <c r="EY341" s="343"/>
      <c r="EZ341" s="343"/>
      <c r="FA341" s="343"/>
      <c r="FB341" s="343"/>
      <c r="FC341" s="343"/>
      <c r="FD341" s="343"/>
      <c r="FE341" s="343"/>
      <c r="FF341" s="343"/>
      <c r="FG341" s="343"/>
      <c r="FH341" s="343"/>
      <c r="FI341" s="343"/>
      <c r="FJ341" s="343"/>
      <c r="FK341" s="343"/>
      <c r="FL341" s="343"/>
      <c r="FM341" s="343"/>
      <c r="FN341" s="343"/>
      <c r="FO341" s="343"/>
      <c r="FP341" s="343"/>
      <c r="FQ341" s="343"/>
      <c r="FR341" s="343"/>
      <c r="FS341" s="343"/>
      <c r="FT341" s="343"/>
      <c r="FU341" s="343"/>
      <c r="FV341" s="343"/>
      <c r="FW341" s="343"/>
      <c r="FX341" s="343"/>
      <c r="FY341" s="343"/>
      <c r="FZ341" s="343"/>
      <c r="GA341" s="343"/>
      <c r="GB341" s="343"/>
      <c r="GC341" s="343"/>
      <c r="GD341" s="343"/>
      <c r="GE341" s="343"/>
      <c r="GF341" s="343"/>
      <c r="GG341" s="343"/>
      <c r="GH341" s="343"/>
      <c r="GI341" s="343"/>
      <c r="GJ341" s="343"/>
      <c r="GK341" s="343"/>
      <c r="GL341" s="343"/>
      <c r="GM341" s="343"/>
      <c r="GN341" s="343"/>
      <c r="GO341" s="343"/>
      <c r="GP341" s="343"/>
      <c r="GQ341" s="343"/>
      <c r="GR341" s="343"/>
      <c r="GS341" s="343"/>
      <c r="GT341" s="343"/>
      <c r="GU341" s="343"/>
      <c r="GV341" s="343"/>
      <c r="GW341" s="343"/>
      <c r="GX341" s="343"/>
      <c r="GY341" s="343"/>
      <c r="GZ341" s="343"/>
      <c r="HA341" s="343"/>
      <c r="HB341" s="343"/>
      <c r="HC341" s="343"/>
      <c r="HD341" s="343"/>
      <c r="HE341" s="343"/>
      <c r="HF341" s="343"/>
      <c r="HG341" s="343"/>
      <c r="HH341" s="343"/>
      <c r="HI341" s="343"/>
      <c r="HJ341" s="343"/>
      <c r="HK341" s="343"/>
      <c r="HL341" s="343"/>
      <c r="HM341" s="343"/>
      <c r="HN341" s="343"/>
      <c r="HO341" s="343"/>
      <c r="HP341" s="343"/>
      <c r="HQ341" s="343"/>
      <c r="HR341" s="343"/>
      <c r="HS341" s="343"/>
      <c r="HT341" s="343"/>
      <c r="HU341" s="343"/>
      <c r="HV341" s="343"/>
      <c r="HW341" s="343"/>
      <c r="HX341" s="343"/>
      <c r="HY341" s="343"/>
      <c r="HZ341" s="343"/>
      <c r="IA341" s="343"/>
      <c r="IB341" s="343"/>
      <c r="IC341" s="343"/>
      <c r="ID341" s="343"/>
      <c r="IE341" s="343"/>
      <c r="IF341" s="343"/>
      <c r="IG341" s="343"/>
      <c r="IH341" s="343"/>
      <c r="II341" s="343"/>
      <c r="IJ341" s="343"/>
      <c r="IK341" s="343"/>
      <c r="IL341" s="343"/>
      <c r="IM341" s="343"/>
      <c r="IN341" s="343"/>
      <c r="IO341" s="343"/>
      <c r="IP341" s="343"/>
      <c r="IQ341" s="343"/>
      <c r="IR341" s="343"/>
      <c r="IS341" s="343"/>
      <c r="IT341" s="343"/>
      <c r="IU341" s="343"/>
      <c r="IV341" s="343"/>
      <c r="IW341" s="343"/>
    </row>
    <row r="342" spans="2:257" x14ac:dyDescent="0.2">
      <c r="B342" s="445"/>
      <c r="C342" s="534"/>
      <c r="D342" s="544" t="str">
        <f>$D$140</f>
        <v xml:space="preserve">Option 4: </v>
      </c>
      <c r="E342" s="560" t="str">
        <f>E341</f>
        <v>To be determined by the AER</v>
      </c>
      <c r="F342" s="580"/>
      <c r="G342" s="582"/>
      <c r="H342" s="582"/>
      <c r="I342" s="582"/>
      <c r="J342" s="582"/>
      <c r="K342" s="582"/>
      <c r="L342" s="582"/>
      <c r="M342" s="582"/>
      <c r="N342" s="582"/>
      <c r="O342" s="582"/>
      <c r="P342" s="582"/>
      <c r="Q342" s="582"/>
      <c r="R342" s="582"/>
      <c r="S342" s="582"/>
      <c r="T342" s="582"/>
      <c r="U342" s="582"/>
      <c r="V342" s="582"/>
      <c r="W342" s="582"/>
      <c r="X342" s="582"/>
      <c r="Y342" s="582"/>
      <c r="Z342" s="582"/>
      <c r="AA342" s="446"/>
      <c r="AB342" s="447"/>
      <c r="AC342" s="515"/>
      <c r="AD342" s="515"/>
      <c r="AE342" s="515"/>
      <c r="AF342" s="515"/>
      <c r="AG342" s="515"/>
      <c r="AH342" s="515"/>
      <c r="AI342" s="515"/>
      <c r="AJ342" s="515"/>
      <c r="AK342" s="515"/>
      <c r="AL342" s="515"/>
      <c r="AM342" s="515"/>
      <c r="AN342" s="515"/>
      <c r="AO342" s="515"/>
      <c r="AP342" s="515"/>
      <c r="AQ342" s="515"/>
      <c r="AR342" s="515"/>
      <c r="AS342" s="515"/>
      <c r="AT342" s="515"/>
      <c r="AU342" s="515"/>
      <c r="AV342" s="515"/>
      <c r="AW342" s="515"/>
      <c r="AX342" s="515"/>
      <c r="AY342" s="515"/>
      <c r="AZ342" s="515"/>
      <c r="BA342" s="515"/>
      <c r="BB342" s="515"/>
      <c r="BC342" s="515"/>
      <c r="BD342" s="515"/>
      <c r="BE342" s="515"/>
      <c r="BF342" s="515"/>
      <c r="BG342" s="515"/>
      <c r="BH342" s="515"/>
      <c r="BI342" s="515"/>
      <c r="BJ342" s="515"/>
      <c r="BK342" s="515"/>
      <c r="BL342" s="515"/>
      <c r="BM342" s="515"/>
      <c r="BN342" s="515"/>
      <c r="BO342" s="515"/>
      <c r="BP342" s="515"/>
      <c r="BQ342" s="515"/>
      <c r="BR342" s="515"/>
      <c r="BS342" s="515"/>
      <c r="BT342" s="515"/>
      <c r="BU342" s="515"/>
      <c r="BV342" s="515"/>
      <c r="BW342" s="515"/>
      <c r="BX342" s="515"/>
      <c r="BY342" s="515"/>
      <c r="BZ342" s="515"/>
      <c r="CA342" s="515"/>
      <c r="CB342" s="515"/>
      <c r="CC342" s="515"/>
      <c r="CD342" s="515"/>
      <c r="CE342" s="515"/>
      <c r="CF342" s="515"/>
      <c r="CG342" s="515"/>
      <c r="CH342" s="515"/>
      <c r="CI342" s="515"/>
      <c r="CJ342" s="515"/>
      <c r="CK342" s="515"/>
      <c r="CL342" s="515"/>
      <c r="CM342" s="515"/>
      <c r="CN342" s="515"/>
      <c r="CO342" s="515"/>
      <c r="CP342" s="515"/>
      <c r="CQ342" s="515"/>
      <c r="CR342" s="515"/>
      <c r="CS342" s="515"/>
      <c r="CT342" s="515"/>
      <c r="CU342" s="515"/>
      <c r="CV342" s="515"/>
      <c r="CW342" s="515"/>
      <c r="CX342" s="515"/>
      <c r="CY342" s="515"/>
      <c r="CZ342" s="515"/>
      <c r="DA342" s="515"/>
      <c r="DB342" s="515"/>
      <c r="DC342" s="515"/>
      <c r="DD342" s="515"/>
      <c r="DE342" s="515"/>
      <c r="DF342" s="515"/>
      <c r="DG342" s="515"/>
      <c r="DH342" s="515"/>
      <c r="DI342" s="515"/>
      <c r="DJ342" s="515"/>
      <c r="DK342" s="515"/>
      <c r="DL342" s="515"/>
      <c r="DM342" s="515"/>
      <c r="DN342" s="515"/>
      <c r="DO342" s="515"/>
      <c r="DP342" s="515"/>
      <c r="DQ342" s="515"/>
      <c r="DR342" s="515"/>
      <c r="DS342" s="515"/>
      <c r="DT342" s="515"/>
      <c r="DU342" s="515"/>
      <c r="DV342" s="515"/>
      <c r="DW342" s="515"/>
      <c r="DX342" s="343"/>
      <c r="DY342" s="343"/>
      <c r="DZ342" s="343"/>
      <c r="EA342" s="343"/>
      <c r="EB342" s="343"/>
      <c r="EC342" s="343"/>
      <c r="ED342" s="343"/>
      <c r="EE342" s="343"/>
      <c r="EF342" s="343"/>
      <c r="EG342" s="343"/>
      <c r="EH342" s="343"/>
      <c r="EI342" s="343"/>
      <c r="EJ342" s="343"/>
      <c r="EK342" s="343"/>
      <c r="EL342" s="343"/>
      <c r="EM342" s="343"/>
      <c r="EN342" s="343"/>
      <c r="EO342" s="343"/>
      <c r="EP342" s="343"/>
      <c r="EQ342" s="343"/>
      <c r="ER342" s="343"/>
      <c r="ES342" s="343"/>
      <c r="ET342" s="343"/>
      <c r="EU342" s="343"/>
      <c r="EV342" s="343"/>
      <c r="EW342" s="343"/>
      <c r="EX342" s="343"/>
      <c r="EY342" s="343"/>
      <c r="EZ342" s="343"/>
      <c r="FA342" s="343"/>
      <c r="FB342" s="343"/>
      <c r="FC342" s="343"/>
      <c r="FD342" s="343"/>
      <c r="FE342" s="343"/>
      <c r="FF342" s="343"/>
      <c r="FG342" s="343"/>
      <c r="FH342" s="343"/>
      <c r="FI342" s="343"/>
      <c r="FJ342" s="343"/>
      <c r="FK342" s="343"/>
      <c r="FL342" s="343"/>
      <c r="FM342" s="343"/>
      <c r="FN342" s="343"/>
      <c r="FO342" s="343"/>
      <c r="FP342" s="343"/>
      <c r="FQ342" s="343"/>
      <c r="FR342" s="343"/>
      <c r="FS342" s="343"/>
      <c r="FT342" s="343"/>
      <c r="FU342" s="343"/>
      <c r="FV342" s="343"/>
      <c r="FW342" s="343"/>
      <c r="FX342" s="343"/>
      <c r="FY342" s="343"/>
      <c r="FZ342" s="343"/>
      <c r="GA342" s="343"/>
      <c r="GB342" s="343"/>
      <c r="GC342" s="343"/>
      <c r="GD342" s="343"/>
      <c r="GE342" s="343"/>
      <c r="GF342" s="343"/>
      <c r="GG342" s="343"/>
      <c r="GH342" s="343"/>
      <c r="GI342" s="343"/>
      <c r="GJ342" s="343"/>
      <c r="GK342" s="343"/>
      <c r="GL342" s="343"/>
      <c r="GM342" s="343"/>
      <c r="GN342" s="343"/>
      <c r="GO342" s="343"/>
      <c r="GP342" s="343"/>
      <c r="GQ342" s="343"/>
      <c r="GR342" s="343"/>
      <c r="GS342" s="343"/>
      <c r="GT342" s="343"/>
      <c r="GU342" s="343"/>
      <c r="GV342" s="343"/>
      <c r="GW342" s="343"/>
      <c r="GX342" s="343"/>
      <c r="GY342" s="343"/>
      <c r="GZ342" s="343"/>
      <c r="HA342" s="343"/>
      <c r="HB342" s="343"/>
      <c r="HC342" s="343"/>
      <c r="HD342" s="343"/>
      <c r="HE342" s="343"/>
      <c r="HF342" s="343"/>
      <c r="HG342" s="343"/>
      <c r="HH342" s="343"/>
      <c r="HI342" s="343"/>
      <c r="HJ342" s="343"/>
      <c r="HK342" s="343"/>
      <c r="HL342" s="343"/>
      <c r="HM342" s="343"/>
      <c r="HN342" s="343"/>
      <c r="HO342" s="343"/>
      <c r="HP342" s="343"/>
      <c r="HQ342" s="343"/>
      <c r="HR342" s="343"/>
      <c r="HS342" s="343"/>
      <c r="HT342" s="343"/>
      <c r="HU342" s="343"/>
      <c r="HV342" s="343"/>
      <c r="HW342" s="343"/>
      <c r="HX342" s="343"/>
      <c r="HY342" s="343"/>
      <c r="HZ342" s="343"/>
      <c r="IA342" s="343"/>
      <c r="IB342" s="343"/>
      <c r="IC342" s="343"/>
      <c r="ID342" s="343"/>
      <c r="IE342" s="343"/>
      <c r="IF342" s="343"/>
      <c r="IG342" s="343"/>
      <c r="IH342" s="343"/>
      <c r="II342" s="343"/>
      <c r="IJ342" s="343"/>
      <c r="IK342" s="343"/>
      <c r="IL342" s="343"/>
      <c r="IM342" s="343"/>
      <c r="IN342" s="343"/>
      <c r="IO342" s="343"/>
      <c r="IP342" s="343"/>
      <c r="IQ342" s="343"/>
      <c r="IR342" s="343"/>
      <c r="IS342" s="343"/>
      <c r="IT342" s="343"/>
      <c r="IU342" s="343"/>
      <c r="IV342" s="343"/>
      <c r="IW342" s="343"/>
    </row>
    <row r="343" spans="2:257" x14ac:dyDescent="0.2">
      <c r="B343" s="445"/>
      <c r="C343" s="534"/>
      <c r="D343" s="544" t="str">
        <f>$D$169</f>
        <v xml:space="preserve">Option 5: </v>
      </c>
      <c r="E343" s="560" t="str">
        <f>E342</f>
        <v>To be determined by the AER</v>
      </c>
      <c r="F343" s="580"/>
      <c r="G343" s="581"/>
      <c r="H343" s="581"/>
      <c r="I343" s="581"/>
      <c r="J343" s="581"/>
      <c r="K343" s="581"/>
      <c r="L343" s="581"/>
      <c r="M343" s="581"/>
      <c r="N343" s="581"/>
      <c r="O343" s="581"/>
      <c r="P343" s="581"/>
      <c r="Q343" s="581"/>
      <c r="R343" s="581"/>
      <c r="S343" s="581"/>
      <c r="T343" s="581"/>
      <c r="U343" s="581"/>
      <c r="V343" s="581"/>
      <c r="W343" s="581"/>
      <c r="X343" s="581"/>
      <c r="Y343" s="581"/>
      <c r="Z343" s="581"/>
      <c r="AA343" s="446"/>
      <c r="AB343" s="447"/>
      <c r="AC343" s="515"/>
      <c r="AD343" s="515"/>
      <c r="AE343" s="515"/>
      <c r="AF343" s="515"/>
      <c r="AG343" s="515"/>
      <c r="AH343" s="515"/>
      <c r="AI343" s="515"/>
      <c r="AJ343" s="515"/>
      <c r="AK343" s="515"/>
      <c r="AL343" s="515"/>
      <c r="AM343" s="515"/>
      <c r="AN343" s="515"/>
      <c r="AO343" s="515"/>
      <c r="AP343" s="515"/>
      <c r="AQ343" s="515"/>
      <c r="AR343" s="515"/>
      <c r="AS343" s="515"/>
      <c r="AT343" s="515"/>
      <c r="AU343" s="515"/>
      <c r="AV343" s="515"/>
      <c r="AW343" s="515"/>
      <c r="AX343" s="515"/>
      <c r="AY343" s="515"/>
      <c r="AZ343" s="515"/>
      <c r="BA343" s="515"/>
      <c r="BB343" s="515"/>
      <c r="BC343" s="515"/>
      <c r="BD343" s="515"/>
      <c r="BE343" s="515"/>
      <c r="BF343" s="515"/>
      <c r="BG343" s="515"/>
      <c r="BH343" s="515"/>
      <c r="BI343" s="515"/>
      <c r="BJ343" s="515"/>
      <c r="BK343" s="515"/>
      <c r="BL343" s="515"/>
      <c r="BM343" s="515"/>
      <c r="BN343" s="515"/>
      <c r="BO343" s="515"/>
      <c r="BP343" s="515"/>
      <c r="BQ343" s="515"/>
      <c r="BR343" s="515"/>
      <c r="BS343" s="515"/>
      <c r="BT343" s="515"/>
      <c r="BU343" s="515"/>
      <c r="BV343" s="515"/>
      <c r="BW343" s="515"/>
      <c r="BX343" s="515"/>
      <c r="BY343" s="515"/>
      <c r="BZ343" s="515"/>
      <c r="CA343" s="515"/>
      <c r="CB343" s="515"/>
      <c r="CC343" s="515"/>
      <c r="CD343" s="515"/>
      <c r="CE343" s="515"/>
      <c r="CF343" s="515"/>
      <c r="CG343" s="515"/>
      <c r="CH343" s="515"/>
      <c r="CI343" s="515"/>
      <c r="CJ343" s="515"/>
      <c r="CK343" s="515"/>
      <c r="CL343" s="515"/>
      <c r="CM343" s="515"/>
      <c r="CN343" s="515"/>
      <c r="CO343" s="515"/>
      <c r="CP343" s="515"/>
      <c r="CQ343" s="515"/>
      <c r="CR343" s="515"/>
      <c r="CS343" s="515"/>
      <c r="CT343" s="515"/>
      <c r="CU343" s="515"/>
      <c r="CV343" s="515"/>
      <c r="CW343" s="515"/>
      <c r="CX343" s="515"/>
      <c r="CY343" s="515"/>
      <c r="CZ343" s="515"/>
      <c r="DA343" s="515"/>
      <c r="DB343" s="515"/>
      <c r="DC343" s="515"/>
      <c r="DD343" s="515"/>
      <c r="DE343" s="515"/>
      <c r="DF343" s="515"/>
      <c r="DG343" s="515"/>
      <c r="DH343" s="515"/>
      <c r="DI343" s="515"/>
      <c r="DJ343" s="515"/>
      <c r="DK343" s="515"/>
      <c r="DL343" s="515"/>
      <c r="DM343" s="515"/>
      <c r="DN343" s="515"/>
      <c r="DO343" s="515"/>
      <c r="DP343" s="515"/>
      <c r="DQ343" s="515"/>
      <c r="DR343" s="515"/>
      <c r="DS343" s="515"/>
      <c r="DT343" s="515"/>
      <c r="DU343" s="515"/>
      <c r="DV343" s="515"/>
      <c r="DW343" s="515"/>
      <c r="DX343" s="343"/>
      <c r="DY343" s="343"/>
      <c r="DZ343" s="343"/>
      <c r="EA343" s="343"/>
      <c r="EB343" s="343"/>
      <c r="EC343" s="343"/>
      <c r="ED343" s="343"/>
      <c r="EE343" s="343"/>
      <c r="EF343" s="343"/>
      <c r="EG343" s="343"/>
      <c r="EH343" s="343"/>
      <c r="EI343" s="343"/>
      <c r="EJ343" s="343"/>
      <c r="EK343" s="343"/>
      <c r="EL343" s="343"/>
      <c r="EM343" s="343"/>
      <c r="EN343" s="343"/>
      <c r="EO343" s="343"/>
      <c r="EP343" s="343"/>
      <c r="EQ343" s="343"/>
      <c r="ER343" s="343"/>
      <c r="ES343" s="343"/>
      <c r="ET343" s="343"/>
      <c r="EU343" s="343"/>
      <c r="EV343" s="343"/>
      <c r="EW343" s="343"/>
      <c r="EX343" s="343"/>
      <c r="EY343" s="343"/>
      <c r="EZ343" s="343"/>
      <c r="FA343" s="343"/>
      <c r="FB343" s="343"/>
      <c r="FC343" s="343"/>
      <c r="FD343" s="343"/>
      <c r="FE343" s="343"/>
      <c r="FF343" s="343"/>
      <c r="FG343" s="343"/>
      <c r="FH343" s="343"/>
      <c r="FI343" s="343"/>
      <c r="FJ343" s="343"/>
      <c r="FK343" s="343"/>
      <c r="FL343" s="343"/>
      <c r="FM343" s="343"/>
      <c r="FN343" s="343"/>
      <c r="FO343" s="343"/>
      <c r="FP343" s="343"/>
      <c r="FQ343" s="343"/>
      <c r="FR343" s="343"/>
      <c r="FS343" s="343"/>
      <c r="FT343" s="343"/>
      <c r="FU343" s="343"/>
      <c r="FV343" s="343"/>
      <c r="FW343" s="343"/>
      <c r="FX343" s="343"/>
      <c r="FY343" s="343"/>
      <c r="FZ343" s="343"/>
      <c r="GA343" s="343"/>
      <c r="GB343" s="343"/>
      <c r="GC343" s="343"/>
      <c r="GD343" s="343"/>
      <c r="GE343" s="343"/>
      <c r="GF343" s="343"/>
      <c r="GG343" s="343"/>
      <c r="GH343" s="343"/>
      <c r="GI343" s="343"/>
      <c r="GJ343" s="343"/>
      <c r="GK343" s="343"/>
      <c r="GL343" s="343"/>
      <c r="GM343" s="343"/>
      <c r="GN343" s="343"/>
      <c r="GO343" s="343"/>
      <c r="GP343" s="343"/>
      <c r="GQ343" s="343"/>
      <c r="GR343" s="343"/>
      <c r="GS343" s="343"/>
      <c r="GT343" s="343"/>
      <c r="GU343" s="343"/>
      <c r="GV343" s="343"/>
      <c r="GW343" s="343"/>
      <c r="GX343" s="343"/>
      <c r="GY343" s="343"/>
      <c r="GZ343" s="343"/>
      <c r="HA343" s="343"/>
      <c r="HB343" s="343"/>
      <c r="HC343" s="343"/>
      <c r="HD343" s="343"/>
      <c r="HE343" s="343"/>
      <c r="HF343" s="343"/>
      <c r="HG343" s="343"/>
      <c r="HH343" s="343"/>
      <c r="HI343" s="343"/>
      <c r="HJ343" s="343"/>
      <c r="HK343" s="343"/>
      <c r="HL343" s="343"/>
      <c r="HM343" s="343"/>
      <c r="HN343" s="343"/>
      <c r="HO343" s="343"/>
      <c r="HP343" s="343"/>
      <c r="HQ343" s="343"/>
      <c r="HR343" s="343"/>
      <c r="HS343" s="343"/>
      <c r="HT343" s="343"/>
      <c r="HU343" s="343"/>
      <c r="HV343" s="343"/>
      <c r="HW343" s="343"/>
      <c r="HX343" s="343"/>
      <c r="HY343" s="343"/>
      <c r="HZ343" s="343"/>
      <c r="IA343" s="343"/>
      <c r="IB343" s="343"/>
      <c r="IC343" s="343"/>
      <c r="ID343" s="343"/>
      <c r="IE343" s="343"/>
      <c r="IF343" s="343"/>
      <c r="IG343" s="343"/>
      <c r="IH343" s="343"/>
      <c r="II343" s="343"/>
      <c r="IJ343" s="343"/>
      <c r="IK343" s="343"/>
      <c r="IL343" s="343"/>
      <c r="IM343" s="343"/>
      <c r="IN343" s="343"/>
      <c r="IO343" s="343"/>
      <c r="IP343" s="343"/>
      <c r="IQ343" s="343"/>
      <c r="IR343" s="343"/>
      <c r="IS343" s="343"/>
      <c r="IT343" s="343"/>
      <c r="IU343" s="343"/>
      <c r="IV343" s="343"/>
      <c r="IW343" s="343"/>
    </row>
    <row r="344" spans="2:257" x14ac:dyDescent="0.2">
      <c r="B344" s="445"/>
      <c r="C344" s="446"/>
      <c r="D344" s="446"/>
      <c r="E344" s="446"/>
      <c r="F344" s="446"/>
      <c r="G344" s="446"/>
      <c r="H344" s="446"/>
      <c r="I344" s="446"/>
      <c r="J344" s="446"/>
      <c r="K344" s="446"/>
      <c r="L344" s="446"/>
      <c r="M344" s="446"/>
      <c r="N344" s="446"/>
      <c r="O344" s="446"/>
      <c r="P344" s="446"/>
      <c r="Q344" s="446"/>
      <c r="R344" s="446"/>
      <c r="S344" s="446"/>
      <c r="T344" s="446"/>
      <c r="U344" s="446"/>
      <c r="V344" s="446"/>
      <c r="W344" s="446"/>
      <c r="X344" s="446"/>
      <c r="Y344" s="446"/>
      <c r="Z344" s="446"/>
      <c r="AA344" s="446"/>
      <c r="AB344" s="447"/>
    </row>
    <row r="345" spans="2:257" x14ac:dyDescent="0.2">
      <c r="B345" s="445"/>
      <c r="C345" s="446"/>
      <c r="D345" s="446"/>
      <c r="E345" s="446"/>
      <c r="F345" s="566"/>
      <c r="G345" s="566"/>
      <c r="H345" s="566"/>
      <c r="I345" s="566"/>
      <c r="J345" s="566"/>
      <c r="K345" s="566"/>
      <c r="L345" s="566"/>
      <c r="M345" s="566"/>
      <c r="N345" s="566"/>
      <c r="O345" s="566"/>
      <c r="P345" s="566"/>
      <c r="Q345" s="566"/>
      <c r="R345" s="566"/>
      <c r="S345" s="566"/>
      <c r="T345" s="566"/>
      <c r="U345" s="566"/>
      <c r="V345" s="566"/>
      <c r="W345" s="566"/>
      <c r="X345" s="566"/>
      <c r="Y345" s="566"/>
      <c r="Z345" s="446"/>
      <c r="AA345" s="446"/>
      <c r="AB345" s="447"/>
    </row>
    <row r="346" spans="2:257" ht="16.5" thickBot="1" x14ac:dyDescent="0.3">
      <c r="B346" s="445"/>
      <c r="C346" s="500" t="s">
        <v>136</v>
      </c>
      <c r="D346" s="479"/>
      <c r="E346" s="479"/>
      <c r="F346" s="479"/>
      <c r="G346" s="479"/>
      <c r="H346" s="479"/>
      <c r="I346" s="479"/>
      <c r="J346" s="479"/>
      <c r="K346" s="479"/>
      <c r="L346" s="479"/>
      <c r="M346" s="479"/>
      <c r="N346" s="479"/>
      <c r="O346" s="479"/>
      <c r="P346" s="479"/>
      <c r="Q346" s="479"/>
      <c r="R346" s="479"/>
      <c r="S346" s="479"/>
      <c r="T346" s="479"/>
      <c r="U346" s="479"/>
      <c r="V346" s="479"/>
      <c r="W346" s="479"/>
      <c r="X346" s="479"/>
      <c r="Y346" s="479"/>
      <c r="Z346" s="479"/>
      <c r="AA346" s="479"/>
      <c r="AB346" s="447"/>
    </row>
    <row r="347" spans="2:257" ht="13.5" thickTop="1" x14ac:dyDescent="0.2">
      <c r="B347" s="445"/>
      <c r="C347" s="446"/>
      <c r="D347" s="446"/>
      <c r="E347" s="446"/>
      <c r="F347" s="566"/>
      <c r="G347" s="566"/>
      <c r="H347" s="566"/>
      <c r="I347" s="566"/>
      <c r="J347" s="566"/>
      <c r="K347" s="566"/>
      <c r="L347" s="566"/>
      <c r="M347" s="566"/>
      <c r="N347" s="566"/>
      <c r="O347" s="566"/>
      <c r="P347" s="566"/>
      <c r="Q347" s="566"/>
      <c r="R347" s="566"/>
      <c r="S347" s="566"/>
      <c r="T347" s="566"/>
      <c r="U347" s="566"/>
      <c r="V347" s="566"/>
      <c r="W347" s="566"/>
      <c r="X347" s="566"/>
      <c r="Y347" s="566"/>
      <c r="Z347" s="446"/>
      <c r="AA347" s="446"/>
      <c r="AB347" s="447"/>
    </row>
    <row r="348" spans="2:257" ht="13.5" thickBot="1" x14ac:dyDescent="0.25">
      <c r="B348" s="445"/>
      <c r="C348" s="446"/>
      <c r="D348" s="494" t="s">
        <v>203</v>
      </c>
      <c r="E348" s="494">
        <v>2</v>
      </c>
      <c r="F348" s="566"/>
      <c r="G348" s="566"/>
      <c r="H348" s="566"/>
      <c r="I348" s="566"/>
      <c r="J348" s="566"/>
      <c r="K348" s="566"/>
      <c r="L348" s="681"/>
      <c r="M348" s="566"/>
      <c r="N348" s="566"/>
      <c r="O348" s="566"/>
      <c r="P348" s="566"/>
      <c r="Q348" s="566"/>
      <c r="R348" s="566"/>
      <c r="S348" s="566"/>
      <c r="T348" s="566"/>
      <c r="U348" s="566"/>
      <c r="V348" s="566"/>
      <c r="W348" s="566"/>
      <c r="X348" s="566"/>
      <c r="Y348" s="566"/>
      <c r="Z348" s="446"/>
      <c r="AA348" s="446"/>
      <c r="AB348" s="447"/>
    </row>
    <row r="349" spans="2:257" x14ac:dyDescent="0.2">
      <c r="B349" s="445"/>
      <c r="C349" s="446"/>
      <c r="D349" s="446"/>
      <c r="E349" s="487"/>
      <c r="F349" s="566"/>
      <c r="G349" s="566"/>
      <c r="H349" s="566"/>
      <c r="I349" s="566"/>
      <c r="J349" s="566"/>
      <c r="K349" s="566"/>
      <c r="L349" s="566"/>
      <c r="M349" s="566"/>
      <c r="N349" s="566"/>
      <c r="O349" s="566"/>
      <c r="P349" s="566"/>
      <c r="Q349" s="566"/>
      <c r="R349" s="566"/>
      <c r="S349" s="566"/>
      <c r="T349" s="566"/>
      <c r="U349" s="566"/>
      <c r="V349" s="566"/>
      <c r="W349" s="566"/>
      <c r="X349" s="566"/>
      <c r="Y349" s="566"/>
      <c r="Z349" s="446"/>
      <c r="AA349" s="446"/>
      <c r="AB349" s="447"/>
    </row>
    <row r="350" spans="2:257" x14ac:dyDescent="0.2">
      <c r="B350" s="445"/>
      <c r="C350" s="446"/>
      <c r="D350" s="446"/>
      <c r="E350" s="487"/>
      <c r="F350" s="566"/>
      <c r="G350" s="584" t="str">
        <f>'Administrator Input'!F69</f>
        <v>Capex</v>
      </c>
      <c r="H350" s="584" t="str">
        <f>'Administrator Input'!G69</f>
        <v>Opex</v>
      </c>
      <c r="I350" s="584" t="str">
        <f>'Administrator Input'!H69</f>
        <v>Discount Rate</v>
      </c>
      <c r="J350" s="584" t="s">
        <v>284</v>
      </c>
      <c r="K350" s="584" t="s">
        <v>285</v>
      </c>
      <c r="L350" s="584" t="s">
        <v>286</v>
      </c>
      <c r="M350" s="566"/>
      <c r="N350" s="566"/>
      <c r="O350" s="566"/>
      <c r="P350" s="566"/>
      <c r="Q350" s="566"/>
      <c r="R350" s="566"/>
      <c r="S350" s="566"/>
      <c r="T350" s="566"/>
      <c r="U350" s="566"/>
      <c r="V350" s="566"/>
      <c r="W350" s="566"/>
      <c r="X350" s="566"/>
      <c r="Y350" s="566"/>
      <c r="Z350" s="446"/>
      <c r="AA350" s="446"/>
      <c r="AB350" s="447"/>
    </row>
    <row r="351" spans="2:257" x14ac:dyDescent="0.2">
      <c r="B351" s="445"/>
      <c r="C351" s="446"/>
      <c r="D351" s="446"/>
      <c r="E351" s="487"/>
      <c r="F351" s="585" t="str">
        <f>'Administrator Input'!D68</f>
        <v>Best Case Scenario</v>
      </c>
      <c r="G351" s="586">
        <f>IF($E$348=1,'Administrator Input'!F70,IF($E$348=2,'Administrator Input'!F71,IF($E$348=3,'Administrator Input'!F72,0)))</f>
        <v>-0.1</v>
      </c>
      <c r="H351" s="586">
        <f>IF($E$348=1,'Administrator Input'!G70,IF($E$348=2,'Administrator Input'!G71,IF($E$348=3,'Administrator Input'!G72,0)))</f>
        <v>-0.1</v>
      </c>
      <c r="I351" s="586">
        <f>IF($E$348=1,'Administrator Input'!H70,IF($E$348=2,'Administrator Input'!H71,IF($E$348=3,'Administrator Input'!H72,0)))</f>
        <v>-0.01</v>
      </c>
      <c r="J351" s="586">
        <f>IF($E$348=1,'Administrator Input'!I70,IF($E$348=2,'Administrator Input'!I71,IF($E$348=3,'Administrator Input'!I72,0)))</f>
        <v>-0.1</v>
      </c>
      <c r="K351" s="586">
        <f>IF($E$348=1,'Administrator Input'!J70,IF($E$348=2,'Administrator Input'!J71,IF($E$348=3,'Administrator Input'!J72,0)))</f>
        <v>-0.1</v>
      </c>
      <c r="L351" s="586">
        <f>IF($E$348=1,'Administrator Input'!K70,IF($E$348=2,'Administrator Input'!K71,IF($E$348=3,'Administrator Input'!K72,0)))</f>
        <v>-0.1</v>
      </c>
      <c r="M351" s="566"/>
      <c r="O351" s="566"/>
      <c r="P351" s="566"/>
      <c r="Q351" s="566"/>
      <c r="R351" s="566"/>
      <c r="S351" s="566"/>
      <c r="T351" s="566"/>
      <c r="U351" s="566"/>
      <c r="V351" s="566"/>
      <c r="W351" s="566"/>
      <c r="X351" s="566"/>
      <c r="Y351" s="566"/>
      <c r="Z351" s="446"/>
      <c r="AA351" s="446"/>
      <c r="AB351" s="447"/>
    </row>
    <row r="352" spans="2:257" x14ac:dyDescent="0.2">
      <c r="B352" s="445"/>
      <c r="C352" s="446"/>
      <c r="D352" s="446"/>
      <c r="E352" s="487"/>
      <c r="F352" s="587" t="str">
        <f>'Administrator Input'!D73</f>
        <v>Worst Case Scenario</v>
      </c>
      <c r="G352" s="586">
        <f>IF($E$348=1,'Administrator Input'!F75,IF($E$348=2,'Administrator Input'!F76,IF($E$348=3,'Administrator Input'!F77,0)))</f>
        <v>0.1</v>
      </c>
      <c r="H352" s="586">
        <f>IF($E$348=1,'Administrator Input'!G75,IF($E$348=2,'Administrator Input'!G76,IF($E$348=3,'Administrator Input'!G77,0)))</f>
        <v>0.1</v>
      </c>
      <c r="I352" s="586">
        <f>IF($E$348=1,'Administrator Input'!H75,IF($E$348=2,'Administrator Input'!H76,IF($E$348=3,'Administrator Input'!H77,0)))</f>
        <v>0.01</v>
      </c>
      <c r="J352" s="586">
        <f>IF($E$348=1,'Administrator Input'!I75,IF($E$348=2,'Administrator Input'!I76,IF($E$348=3,'Administrator Input'!I77,0)))</f>
        <v>-0.1</v>
      </c>
      <c r="K352" s="586">
        <f>IF($E$348=1,'Administrator Input'!J75,IF($E$348=2,'Administrator Input'!J76,IF($E$348=3,'Administrator Input'!J77,0)))</f>
        <v>-0.1</v>
      </c>
      <c r="L352" s="586">
        <f>IF($E$348=1,'Administrator Input'!K75,IF($E$348=2,'Administrator Input'!K76,IF($E$348=3,'Administrator Input'!K77,0)))</f>
        <v>-0.1</v>
      </c>
      <c r="M352" s="566"/>
      <c r="N352" s="566"/>
      <c r="O352" s="566"/>
      <c r="P352" s="566"/>
      <c r="Q352" s="566"/>
      <c r="R352" s="566"/>
      <c r="S352" s="566"/>
      <c r="T352" s="566"/>
      <c r="U352" s="566"/>
      <c r="V352" s="566"/>
      <c r="W352" s="566"/>
      <c r="X352" s="566"/>
      <c r="Y352" s="566"/>
      <c r="Z352" s="446"/>
      <c r="AA352" s="446"/>
      <c r="AB352" s="447"/>
    </row>
    <row r="353" spans="1:127" x14ac:dyDescent="0.2">
      <c r="B353" s="445"/>
      <c r="C353" s="446"/>
      <c r="D353" s="446"/>
      <c r="E353" s="487"/>
      <c r="F353" s="587"/>
      <c r="G353" s="586"/>
      <c r="H353" s="586"/>
      <c r="I353" s="586"/>
      <c r="J353" s="586"/>
      <c r="K353" s="586"/>
      <c r="L353" s="586"/>
      <c r="M353" s="566"/>
      <c r="N353" s="566"/>
      <c r="O353" s="566"/>
      <c r="P353" s="566"/>
      <c r="Q353" s="566"/>
      <c r="R353" s="566"/>
      <c r="S353" s="566"/>
      <c r="T353" s="566"/>
      <c r="U353" s="566"/>
      <c r="V353" s="566"/>
      <c r="W353" s="566"/>
      <c r="X353" s="566"/>
      <c r="Y353" s="566"/>
      <c r="Z353" s="446"/>
      <c r="AA353" s="446"/>
      <c r="AB353" s="447"/>
    </row>
    <row r="354" spans="1:127" x14ac:dyDescent="0.2">
      <c r="B354" s="445"/>
      <c r="C354" s="446"/>
      <c r="D354" s="446"/>
      <c r="E354" s="487"/>
      <c r="F354" s="538" t="s">
        <v>303</v>
      </c>
      <c r="G354" s="566"/>
      <c r="H354" s="566"/>
      <c r="I354" s="566"/>
      <c r="J354" s="566"/>
      <c r="K354" s="566"/>
      <c r="L354" s="566"/>
      <c r="M354" s="566"/>
      <c r="N354" s="566"/>
      <c r="O354" s="566"/>
      <c r="P354" s="566"/>
      <c r="Q354" s="566"/>
      <c r="R354" s="566"/>
      <c r="S354" s="566"/>
      <c r="T354" s="566"/>
      <c r="U354" s="566"/>
      <c r="V354" s="566"/>
      <c r="W354" s="566"/>
      <c r="X354" s="566"/>
      <c r="Y354" s="566"/>
      <c r="Z354" s="446"/>
      <c r="AA354" s="446"/>
      <c r="AB354" s="447"/>
    </row>
    <row r="355" spans="1:127" x14ac:dyDescent="0.2">
      <c r="B355" s="445"/>
      <c r="C355" s="446"/>
      <c r="D355" s="446"/>
      <c r="F355" s="538" t="s">
        <v>304</v>
      </c>
      <c r="G355" s="566"/>
      <c r="H355" s="566"/>
      <c r="I355" s="566"/>
      <c r="J355" s="566"/>
      <c r="K355" s="566"/>
      <c r="L355" s="566"/>
      <c r="M355" s="566"/>
      <c r="N355" s="566"/>
      <c r="O355" s="566"/>
      <c r="P355" s="566"/>
      <c r="Q355" s="566"/>
      <c r="R355" s="566"/>
      <c r="S355" s="566"/>
      <c r="T355" s="566"/>
      <c r="U355" s="566"/>
      <c r="V355" s="566"/>
      <c r="W355" s="566"/>
      <c r="X355" s="566"/>
      <c r="Y355" s="566"/>
      <c r="Z355" s="446"/>
      <c r="AA355" s="446"/>
      <c r="AB355" s="447"/>
    </row>
    <row r="356" spans="1:127" ht="13.5" thickBot="1" x14ac:dyDescent="0.25">
      <c r="B356" s="445"/>
      <c r="C356" s="479"/>
      <c r="D356" s="479"/>
      <c r="E356" s="479"/>
      <c r="F356" s="479"/>
      <c r="G356" s="479"/>
      <c r="H356" s="479"/>
      <c r="I356" s="479"/>
      <c r="J356" s="479"/>
      <c r="K356" s="479"/>
      <c r="L356" s="479"/>
      <c r="M356" s="479"/>
      <c r="N356" s="479"/>
      <c r="O356" s="479"/>
      <c r="P356" s="479"/>
      <c r="Q356" s="479"/>
      <c r="R356" s="479"/>
      <c r="S356" s="479"/>
      <c r="T356" s="479"/>
      <c r="U356" s="479"/>
      <c r="V356" s="479"/>
      <c r="W356" s="479"/>
      <c r="X356" s="479"/>
      <c r="Y356" s="479"/>
      <c r="Z356" s="479"/>
      <c r="AA356" s="479"/>
      <c r="AB356" s="447"/>
    </row>
    <row r="357" spans="1:127" s="26" customFormat="1" ht="17.25" thickTop="1" thickBot="1" x14ac:dyDescent="0.3">
      <c r="A357" s="436"/>
      <c r="B357" s="458"/>
      <c r="C357" s="588" t="str">
        <f>"Version "&amp;+'Version Control'!B14</f>
        <v>Version 1.3</v>
      </c>
      <c r="D357" s="459"/>
      <c r="E357" s="589" t="str">
        <f>"Date Issued"</f>
        <v>Date Issued</v>
      </c>
      <c r="F357" s="590">
        <f>'Version Control'!E3</f>
        <v>41956</v>
      </c>
      <c r="G357" s="588"/>
      <c r="H357" s="459"/>
      <c r="I357" s="589" t="s">
        <v>246</v>
      </c>
      <c r="J357" s="590">
        <f>F357+365</f>
        <v>42321</v>
      </c>
      <c r="K357" s="459"/>
      <c r="L357" s="591" t="str">
        <f ca="1">"Printed on "&amp;DAY(TODAY())&amp;"/"&amp;MONTH(TODAY())&amp;"/"&amp;YEAR(TODAY())</f>
        <v>Printed on 4/1/2016</v>
      </c>
      <c r="M357" s="459"/>
      <c r="N357" s="459"/>
      <c r="O357" s="459"/>
      <c r="P357" s="459"/>
      <c r="Q357" s="459"/>
      <c r="R357" s="459"/>
      <c r="S357" s="459"/>
      <c r="T357" s="459"/>
      <c r="U357" s="459"/>
      <c r="V357" s="459"/>
      <c r="W357" s="459"/>
      <c r="X357" s="459"/>
      <c r="Y357" s="459"/>
      <c r="Z357" s="459"/>
      <c r="AA357" s="459"/>
      <c r="AB357" s="467"/>
      <c r="AC357" s="436"/>
      <c r="AD357" s="436"/>
      <c r="AE357" s="436"/>
      <c r="AF357" s="436"/>
      <c r="AG357" s="436"/>
      <c r="AH357" s="436"/>
      <c r="AI357" s="436"/>
      <c r="AJ357" s="436"/>
      <c r="AK357" s="436"/>
      <c r="AL357" s="436"/>
      <c r="AM357" s="436"/>
      <c r="AN357" s="436"/>
      <c r="AO357" s="436"/>
      <c r="AP357" s="436"/>
      <c r="AQ357" s="436"/>
      <c r="AR357" s="436"/>
      <c r="AS357" s="436"/>
      <c r="AT357" s="436"/>
      <c r="AU357" s="436"/>
      <c r="AV357" s="436"/>
      <c r="AW357" s="436"/>
      <c r="AX357" s="436"/>
      <c r="AY357" s="436"/>
      <c r="AZ357" s="436"/>
      <c r="BA357" s="436"/>
      <c r="BB357" s="436"/>
      <c r="BC357" s="436"/>
      <c r="BD357" s="436"/>
      <c r="BE357" s="436"/>
      <c r="BF357" s="436"/>
      <c r="BG357" s="436"/>
      <c r="BH357" s="436"/>
      <c r="BI357" s="436"/>
      <c r="BJ357" s="436"/>
      <c r="BK357" s="436"/>
      <c r="BL357" s="436"/>
      <c r="BM357" s="436"/>
      <c r="BN357" s="436"/>
      <c r="BO357" s="436"/>
      <c r="BP357" s="436"/>
      <c r="BQ357" s="436"/>
      <c r="BR357" s="436"/>
      <c r="BS357" s="436"/>
      <c r="BT357" s="436"/>
      <c r="BU357" s="436"/>
      <c r="BV357" s="436"/>
      <c r="BW357" s="436"/>
      <c r="BX357" s="436"/>
      <c r="BY357" s="436"/>
      <c r="BZ357" s="436"/>
      <c r="CA357" s="436"/>
      <c r="CB357" s="436"/>
      <c r="CC357" s="436"/>
      <c r="CD357" s="436"/>
      <c r="CE357" s="436"/>
      <c r="CF357" s="436"/>
      <c r="CG357" s="436"/>
      <c r="CH357" s="436"/>
      <c r="CI357" s="436"/>
      <c r="CJ357" s="436"/>
      <c r="CK357" s="436"/>
      <c r="CL357" s="436"/>
      <c r="CM357" s="436"/>
      <c r="CN357" s="436"/>
      <c r="CO357" s="436"/>
      <c r="CP357" s="436"/>
      <c r="CQ357" s="436"/>
      <c r="CR357" s="436"/>
      <c r="CS357" s="436"/>
      <c r="CT357" s="436"/>
      <c r="CU357" s="436"/>
      <c r="CV357" s="436"/>
      <c r="CW357" s="436"/>
      <c r="CX357" s="436"/>
      <c r="CY357" s="436"/>
      <c r="CZ357" s="436"/>
      <c r="DA357" s="436"/>
      <c r="DB357" s="436"/>
      <c r="DC357" s="436"/>
      <c r="DD357" s="436"/>
      <c r="DE357" s="436"/>
      <c r="DF357" s="436"/>
      <c r="DG357" s="436"/>
      <c r="DH357" s="436"/>
      <c r="DI357" s="436"/>
      <c r="DJ357" s="436"/>
      <c r="DK357" s="436"/>
      <c r="DL357" s="436"/>
      <c r="DM357" s="436"/>
      <c r="DN357" s="436"/>
      <c r="DO357" s="436"/>
      <c r="DP357" s="436"/>
      <c r="DQ357" s="436"/>
      <c r="DR357" s="436"/>
      <c r="DS357" s="436"/>
      <c r="DT357" s="436"/>
      <c r="DU357" s="436"/>
      <c r="DV357" s="436"/>
      <c r="DW357" s="436"/>
    </row>
    <row r="358" spans="1:127" s="433" customFormat="1" x14ac:dyDescent="0.2"/>
    <row r="359" spans="1:127" s="433" customFormat="1" x14ac:dyDescent="0.2"/>
    <row r="360" spans="1:127" s="433" customFormat="1" x14ac:dyDescent="0.2"/>
    <row r="361" spans="1:127" s="433" customFormat="1" x14ac:dyDescent="0.2"/>
    <row r="362" spans="1:127" s="433" customFormat="1" x14ac:dyDescent="0.2"/>
    <row r="363" spans="1:127" s="433" customFormat="1" x14ac:dyDescent="0.2"/>
    <row r="364" spans="1:127" s="433" customFormat="1" x14ac:dyDescent="0.2"/>
    <row r="365" spans="1:127" s="433" customFormat="1" x14ac:dyDescent="0.2"/>
    <row r="366" spans="1:127" s="433" customFormat="1" x14ac:dyDescent="0.2"/>
    <row r="367" spans="1:127" s="433" customFormat="1" x14ac:dyDescent="0.2"/>
    <row r="368" spans="1:127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  <row r="620" s="433" customFormat="1" x14ac:dyDescent="0.2"/>
    <row r="621" s="433" customFormat="1" x14ac:dyDescent="0.2"/>
    <row r="622" s="433" customFormat="1" x14ac:dyDescent="0.2"/>
    <row r="623" s="433" customFormat="1" x14ac:dyDescent="0.2"/>
    <row r="624" s="433" customFormat="1" x14ac:dyDescent="0.2"/>
    <row r="625" s="433" customFormat="1" x14ac:dyDescent="0.2"/>
    <row r="626" s="433" customFormat="1" x14ac:dyDescent="0.2"/>
    <row r="627" s="433" customFormat="1" x14ac:dyDescent="0.2"/>
    <row r="628" s="433" customFormat="1" x14ac:dyDescent="0.2"/>
    <row r="629" s="433" customFormat="1" x14ac:dyDescent="0.2"/>
    <row r="630" s="433" customFormat="1" x14ac:dyDescent="0.2"/>
    <row r="631" s="433" customFormat="1" x14ac:dyDescent="0.2"/>
    <row r="632" s="433" customFormat="1" x14ac:dyDescent="0.2"/>
    <row r="633" s="433" customFormat="1" x14ac:dyDescent="0.2"/>
    <row r="634" s="433" customFormat="1" x14ac:dyDescent="0.2"/>
    <row r="635" s="433" customFormat="1" x14ac:dyDescent="0.2"/>
    <row r="636" s="433" customFormat="1" x14ac:dyDescent="0.2"/>
    <row r="637" s="433" customFormat="1" x14ac:dyDescent="0.2"/>
    <row r="638" s="433" customFormat="1" x14ac:dyDescent="0.2"/>
    <row r="639" s="433" customFormat="1" x14ac:dyDescent="0.2"/>
    <row r="640" s="433" customFormat="1" x14ac:dyDescent="0.2"/>
    <row r="641" s="433" customFormat="1" x14ac:dyDescent="0.2"/>
    <row r="642" s="433" customFormat="1" x14ac:dyDescent="0.2"/>
    <row r="643" s="433" customFormat="1" x14ac:dyDescent="0.2"/>
    <row r="644" s="433" customFormat="1" x14ac:dyDescent="0.2"/>
    <row r="645" s="433" customFormat="1" x14ac:dyDescent="0.2"/>
    <row r="646" s="433" customFormat="1" x14ac:dyDescent="0.2"/>
    <row r="647" s="433" customFormat="1" x14ac:dyDescent="0.2"/>
    <row r="648" s="433" customFormat="1" x14ac:dyDescent="0.2"/>
    <row r="649" s="433" customFormat="1" x14ac:dyDescent="0.2"/>
    <row r="650" s="433" customFormat="1" x14ac:dyDescent="0.2"/>
    <row r="651" s="433" customFormat="1" x14ac:dyDescent="0.2"/>
    <row r="652" s="433" customFormat="1" x14ac:dyDescent="0.2"/>
    <row r="653" s="433" customFormat="1" x14ac:dyDescent="0.2"/>
    <row r="654" s="433" customFormat="1" x14ac:dyDescent="0.2"/>
    <row r="655" s="433" customFormat="1" x14ac:dyDescent="0.2"/>
    <row r="656" s="433" customFormat="1" x14ac:dyDescent="0.2"/>
    <row r="657" s="433" customFormat="1" x14ac:dyDescent="0.2"/>
    <row r="658" s="433" customFormat="1" x14ac:dyDescent="0.2"/>
    <row r="659" s="433" customFormat="1" x14ac:dyDescent="0.2"/>
    <row r="660" s="433" customFormat="1" x14ac:dyDescent="0.2"/>
    <row r="661" s="433" customFormat="1" x14ac:dyDescent="0.2"/>
    <row r="662" s="433" customFormat="1" x14ac:dyDescent="0.2"/>
    <row r="663" s="433" customFormat="1" x14ac:dyDescent="0.2"/>
    <row r="664" s="433" customFormat="1" x14ac:dyDescent="0.2"/>
    <row r="665" s="433" customFormat="1" x14ac:dyDescent="0.2"/>
    <row r="666" s="433" customFormat="1" x14ac:dyDescent="0.2"/>
    <row r="667" s="433" customFormat="1" x14ac:dyDescent="0.2"/>
    <row r="668" s="433" customFormat="1" x14ac:dyDescent="0.2"/>
    <row r="669" s="433" customFormat="1" x14ac:dyDescent="0.2"/>
    <row r="670" s="433" customFormat="1" x14ac:dyDescent="0.2"/>
    <row r="671" s="433" customFormat="1" x14ac:dyDescent="0.2"/>
    <row r="672" s="433" customFormat="1" x14ac:dyDescent="0.2"/>
    <row r="673" s="433" customFormat="1" x14ac:dyDescent="0.2"/>
    <row r="674" s="433" customFormat="1" x14ac:dyDescent="0.2"/>
    <row r="675" s="433" customFormat="1" x14ac:dyDescent="0.2"/>
    <row r="676" s="433" customFormat="1" x14ac:dyDescent="0.2"/>
    <row r="677" s="433" customFormat="1" x14ac:dyDescent="0.2"/>
    <row r="678" s="433" customFormat="1" x14ac:dyDescent="0.2"/>
    <row r="679" s="433" customFormat="1" x14ac:dyDescent="0.2"/>
    <row r="680" s="433" customFormat="1" x14ac:dyDescent="0.2"/>
    <row r="681" s="433" customFormat="1" x14ac:dyDescent="0.2"/>
    <row r="682" s="433" customFormat="1" x14ac:dyDescent="0.2"/>
    <row r="683" s="433" customFormat="1" x14ac:dyDescent="0.2"/>
    <row r="684" s="433" customFormat="1" x14ac:dyDescent="0.2"/>
    <row r="685" s="433" customFormat="1" x14ac:dyDescent="0.2"/>
    <row r="686" s="433" customFormat="1" x14ac:dyDescent="0.2"/>
    <row r="687" s="433" customFormat="1" x14ac:dyDescent="0.2"/>
    <row r="688" s="433" customFormat="1" x14ac:dyDescent="0.2"/>
    <row r="689" s="433" customFormat="1" x14ac:dyDescent="0.2"/>
    <row r="690" s="433" customFormat="1" x14ac:dyDescent="0.2"/>
    <row r="691" s="433" customFormat="1" x14ac:dyDescent="0.2"/>
    <row r="692" s="433" customFormat="1" x14ac:dyDescent="0.2"/>
    <row r="693" s="433" customFormat="1" x14ac:dyDescent="0.2"/>
    <row r="694" s="433" customFormat="1" x14ac:dyDescent="0.2"/>
    <row r="695" s="433" customFormat="1" x14ac:dyDescent="0.2"/>
    <row r="696" s="433" customFormat="1" x14ac:dyDescent="0.2"/>
    <row r="697" s="433" customFormat="1" x14ac:dyDescent="0.2"/>
    <row r="698" s="433" customFormat="1" x14ac:dyDescent="0.2"/>
    <row r="699" s="433" customFormat="1" x14ac:dyDescent="0.2"/>
    <row r="700" s="433" customFormat="1" x14ac:dyDescent="0.2"/>
    <row r="701" s="433" customFormat="1" x14ac:dyDescent="0.2"/>
    <row r="702" s="433" customFormat="1" x14ac:dyDescent="0.2"/>
    <row r="703" s="433" customFormat="1" x14ac:dyDescent="0.2"/>
    <row r="704" s="433" customFormat="1" x14ac:dyDescent="0.2"/>
    <row r="705" s="433" customFormat="1" x14ac:dyDescent="0.2"/>
    <row r="706" s="433" customFormat="1" x14ac:dyDescent="0.2"/>
    <row r="707" s="433" customFormat="1" x14ac:dyDescent="0.2"/>
    <row r="708" s="433" customFormat="1" x14ac:dyDescent="0.2"/>
    <row r="709" s="433" customFormat="1" x14ac:dyDescent="0.2"/>
    <row r="710" s="433" customFormat="1" x14ac:dyDescent="0.2"/>
    <row r="711" s="433" customFormat="1" x14ac:dyDescent="0.2"/>
    <row r="712" s="433" customFormat="1" x14ac:dyDescent="0.2"/>
    <row r="713" s="433" customFormat="1" x14ac:dyDescent="0.2"/>
    <row r="714" s="433" customFormat="1" x14ac:dyDescent="0.2"/>
    <row r="715" s="433" customFormat="1" x14ac:dyDescent="0.2"/>
    <row r="716" s="433" customFormat="1" x14ac:dyDescent="0.2"/>
    <row r="717" s="433" customFormat="1" x14ac:dyDescent="0.2"/>
    <row r="718" s="433" customFormat="1" x14ac:dyDescent="0.2"/>
    <row r="719" s="433" customFormat="1" x14ac:dyDescent="0.2"/>
    <row r="720" s="433" customFormat="1" x14ac:dyDescent="0.2"/>
    <row r="721" s="433" customFormat="1" x14ac:dyDescent="0.2"/>
    <row r="722" s="433" customFormat="1" x14ac:dyDescent="0.2"/>
    <row r="723" s="433" customFormat="1" x14ac:dyDescent="0.2"/>
    <row r="724" s="433" customFormat="1" x14ac:dyDescent="0.2"/>
    <row r="725" s="433" customFormat="1" x14ac:dyDescent="0.2"/>
    <row r="726" s="433" customFormat="1" x14ac:dyDescent="0.2"/>
    <row r="727" s="433" customFormat="1" x14ac:dyDescent="0.2"/>
    <row r="728" s="433" customFormat="1" x14ac:dyDescent="0.2"/>
    <row r="729" s="433" customFormat="1" x14ac:dyDescent="0.2"/>
    <row r="730" s="433" customFormat="1" x14ac:dyDescent="0.2"/>
    <row r="731" s="433" customFormat="1" x14ac:dyDescent="0.2"/>
    <row r="732" s="433" customFormat="1" x14ac:dyDescent="0.2"/>
    <row r="733" s="433" customFormat="1" x14ac:dyDescent="0.2"/>
    <row r="734" s="433" customFormat="1" x14ac:dyDescent="0.2"/>
    <row r="735" s="433" customFormat="1" x14ac:dyDescent="0.2"/>
    <row r="736" s="433" customFormat="1" x14ac:dyDescent="0.2"/>
    <row r="737" s="433" customFormat="1" x14ac:dyDescent="0.2"/>
    <row r="738" s="433" customFormat="1" x14ac:dyDescent="0.2"/>
    <row r="739" s="433" customFormat="1" x14ac:dyDescent="0.2"/>
    <row r="740" s="433" customFormat="1" x14ac:dyDescent="0.2"/>
    <row r="741" s="433" customFormat="1" x14ac:dyDescent="0.2"/>
    <row r="742" s="433" customFormat="1" x14ac:dyDescent="0.2"/>
    <row r="743" s="433" customFormat="1" x14ac:dyDescent="0.2"/>
    <row r="744" s="433" customFormat="1" x14ac:dyDescent="0.2"/>
    <row r="745" s="433" customFormat="1" x14ac:dyDescent="0.2"/>
    <row r="746" s="433" customFormat="1" x14ac:dyDescent="0.2"/>
    <row r="747" s="433" customFormat="1" x14ac:dyDescent="0.2"/>
    <row r="748" s="433" customFormat="1" x14ac:dyDescent="0.2"/>
    <row r="749" s="433" customFormat="1" x14ac:dyDescent="0.2"/>
    <row r="750" s="433" customFormat="1" x14ac:dyDescent="0.2"/>
    <row r="751" s="433" customFormat="1" x14ac:dyDescent="0.2"/>
    <row r="752" s="433" customFormat="1" x14ac:dyDescent="0.2"/>
    <row r="753" s="433" customFormat="1" x14ac:dyDescent="0.2"/>
    <row r="754" s="433" customFormat="1" x14ac:dyDescent="0.2"/>
    <row r="755" s="433" customFormat="1" x14ac:dyDescent="0.2"/>
    <row r="756" s="433" customFormat="1" x14ac:dyDescent="0.2"/>
    <row r="757" s="433" customFormat="1" x14ac:dyDescent="0.2"/>
    <row r="758" s="433" customFormat="1" x14ac:dyDescent="0.2"/>
    <row r="759" s="433" customFormat="1" x14ac:dyDescent="0.2"/>
    <row r="760" s="433" customFormat="1" x14ac:dyDescent="0.2"/>
    <row r="761" s="433" customFormat="1" x14ac:dyDescent="0.2"/>
    <row r="762" s="433" customFormat="1" x14ac:dyDescent="0.2"/>
    <row r="763" s="433" customFormat="1" x14ac:dyDescent="0.2"/>
    <row r="764" s="433" customFormat="1" x14ac:dyDescent="0.2"/>
    <row r="765" s="433" customFormat="1" x14ac:dyDescent="0.2"/>
    <row r="766" s="433" customFormat="1" x14ac:dyDescent="0.2"/>
    <row r="767" s="433" customFormat="1" x14ac:dyDescent="0.2"/>
    <row r="768" s="433" customFormat="1" x14ac:dyDescent="0.2"/>
    <row r="769" s="433" customFormat="1" x14ac:dyDescent="0.2"/>
    <row r="770" s="433" customFormat="1" x14ac:dyDescent="0.2"/>
    <row r="771" s="433" customFormat="1" x14ac:dyDescent="0.2"/>
    <row r="772" s="433" customFormat="1" x14ac:dyDescent="0.2"/>
    <row r="773" s="433" customFormat="1" x14ac:dyDescent="0.2"/>
    <row r="774" s="433" customFormat="1" x14ac:dyDescent="0.2"/>
    <row r="775" s="433" customFormat="1" x14ac:dyDescent="0.2"/>
    <row r="776" s="433" customFormat="1" x14ac:dyDescent="0.2"/>
    <row r="777" s="433" customFormat="1" x14ac:dyDescent="0.2"/>
    <row r="778" s="433" customFormat="1" x14ac:dyDescent="0.2"/>
    <row r="779" s="433" customFormat="1" x14ac:dyDescent="0.2"/>
    <row r="780" s="433" customFormat="1" x14ac:dyDescent="0.2"/>
    <row r="781" s="433" customFormat="1" x14ac:dyDescent="0.2"/>
    <row r="782" s="433" customFormat="1" x14ac:dyDescent="0.2"/>
    <row r="783" s="433" customFormat="1" x14ac:dyDescent="0.2"/>
    <row r="784" s="433" customFormat="1" x14ac:dyDescent="0.2"/>
    <row r="785" s="433" customFormat="1" x14ac:dyDescent="0.2"/>
    <row r="786" s="433" customFormat="1" x14ac:dyDescent="0.2"/>
    <row r="787" s="433" customFormat="1" x14ac:dyDescent="0.2"/>
    <row r="788" s="433" customFormat="1" x14ac:dyDescent="0.2"/>
    <row r="789" s="433" customFormat="1" x14ac:dyDescent="0.2"/>
    <row r="790" s="433" customFormat="1" x14ac:dyDescent="0.2"/>
    <row r="791" s="433" customFormat="1" x14ac:dyDescent="0.2"/>
    <row r="792" s="433" customFormat="1" x14ac:dyDescent="0.2"/>
    <row r="793" s="433" customFormat="1" x14ac:dyDescent="0.2"/>
    <row r="794" s="433" customFormat="1" x14ac:dyDescent="0.2"/>
    <row r="795" s="433" customFormat="1" x14ac:dyDescent="0.2"/>
    <row r="796" s="433" customFormat="1" x14ac:dyDescent="0.2"/>
    <row r="797" s="433" customFormat="1" x14ac:dyDescent="0.2"/>
    <row r="798" s="433" customFormat="1" x14ac:dyDescent="0.2"/>
    <row r="799" s="433" customFormat="1" x14ac:dyDescent="0.2"/>
    <row r="800" s="433" customFormat="1" x14ac:dyDescent="0.2"/>
    <row r="801" s="433" customFormat="1" x14ac:dyDescent="0.2"/>
    <row r="802" s="433" customFormat="1" x14ac:dyDescent="0.2"/>
    <row r="803" s="433" customFormat="1" x14ac:dyDescent="0.2"/>
    <row r="804" s="433" customFormat="1" x14ac:dyDescent="0.2"/>
    <row r="805" s="433" customFormat="1" x14ac:dyDescent="0.2"/>
    <row r="806" s="433" customFormat="1" x14ac:dyDescent="0.2"/>
    <row r="807" s="433" customFormat="1" x14ac:dyDescent="0.2"/>
    <row r="808" s="433" customFormat="1" x14ac:dyDescent="0.2"/>
    <row r="809" s="433" customFormat="1" x14ac:dyDescent="0.2"/>
    <row r="810" s="433" customFormat="1" x14ac:dyDescent="0.2"/>
    <row r="811" s="433" customFormat="1" x14ac:dyDescent="0.2"/>
    <row r="812" s="433" customFormat="1" x14ac:dyDescent="0.2"/>
    <row r="813" s="433" customFormat="1" x14ac:dyDescent="0.2"/>
    <row r="814" s="433" customFormat="1" x14ac:dyDescent="0.2"/>
    <row r="815" s="433" customFormat="1" x14ac:dyDescent="0.2"/>
    <row r="816" s="433" customFormat="1" x14ac:dyDescent="0.2"/>
    <row r="817" s="433" customFormat="1" x14ac:dyDescent="0.2"/>
    <row r="818" s="433" customFormat="1" x14ac:dyDescent="0.2"/>
    <row r="819" s="433" customFormat="1" x14ac:dyDescent="0.2"/>
    <row r="820" s="433" customFormat="1" x14ac:dyDescent="0.2"/>
    <row r="821" s="433" customFormat="1" x14ac:dyDescent="0.2"/>
    <row r="822" s="433" customFormat="1" x14ac:dyDescent="0.2"/>
    <row r="823" s="433" customFormat="1" x14ac:dyDescent="0.2"/>
    <row r="824" s="433" customFormat="1" x14ac:dyDescent="0.2"/>
    <row r="825" s="433" customFormat="1" x14ac:dyDescent="0.2"/>
    <row r="826" s="433" customFormat="1" x14ac:dyDescent="0.2"/>
    <row r="827" s="433" customFormat="1" x14ac:dyDescent="0.2"/>
    <row r="828" s="433" customFormat="1" x14ac:dyDescent="0.2"/>
    <row r="829" s="433" customFormat="1" x14ac:dyDescent="0.2"/>
    <row r="830" s="433" customFormat="1" x14ac:dyDescent="0.2"/>
    <row r="831" s="433" customFormat="1" x14ac:dyDescent="0.2"/>
    <row r="832" s="433" customFormat="1" x14ac:dyDescent="0.2"/>
    <row r="833" s="433" customFormat="1" x14ac:dyDescent="0.2"/>
    <row r="834" s="433" customFormat="1" x14ac:dyDescent="0.2"/>
    <row r="835" s="433" customFormat="1" x14ac:dyDescent="0.2"/>
    <row r="836" s="433" customFormat="1" x14ac:dyDescent="0.2"/>
    <row r="837" s="433" customFormat="1" x14ac:dyDescent="0.2"/>
    <row r="838" s="433" customFormat="1" x14ac:dyDescent="0.2"/>
    <row r="839" s="433" customFormat="1" x14ac:dyDescent="0.2"/>
    <row r="840" s="433" customFormat="1" x14ac:dyDescent="0.2"/>
    <row r="841" s="433" customFormat="1" x14ac:dyDescent="0.2"/>
    <row r="842" s="433" customFormat="1" x14ac:dyDescent="0.2"/>
    <row r="843" s="433" customFormat="1" x14ac:dyDescent="0.2"/>
    <row r="844" s="433" customFormat="1" x14ac:dyDescent="0.2"/>
    <row r="845" s="433" customFormat="1" x14ac:dyDescent="0.2"/>
    <row r="846" s="433" customFormat="1" x14ac:dyDescent="0.2"/>
    <row r="847" s="433" customFormat="1" x14ac:dyDescent="0.2"/>
    <row r="848" s="433" customFormat="1" x14ac:dyDescent="0.2"/>
    <row r="849" s="433" customFormat="1" x14ac:dyDescent="0.2"/>
    <row r="850" s="433" customFormat="1" x14ac:dyDescent="0.2"/>
    <row r="851" s="433" customFormat="1" x14ac:dyDescent="0.2"/>
    <row r="852" s="433" customFormat="1" x14ac:dyDescent="0.2"/>
    <row r="853" s="433" customFormat="1" x14ac:dyDescent="0.2"/>
    <row r="854" s="433" customFormat="1" x14ac:dyDescent="0.2"/>
    <row r="855" s="433" customFormat="1" x14ac:dyDescent="0.2"/>
    <row r="856" s="433" customFormat="1" x14ac:dyDescent="0.2"/>
    <row r="857" s="433" customFormat="1" x14ac:dyDescent="0.2"/>
    <row r="858" s="433" customFormat="1" x14ac:dyDescent="0.2"/>
    <row r="859" s="433" customFormat="1" x14ac:dyDescent="0.2"/>
    <row r="860" s="433" customFormat="1" x14ac:dyDescent="0.2"/>
    <row r="861" s="433" customFormat="1" x14ac:dyDescent="0.2"/>
    <row r="862" s="433" customFormat="1" x14ac:dyDescent="0.2"/>
    <row r="863" s="433" customFormat="1" x14ac:dyDescent="0.2"/>
    <row r="864" s="433" customFormat="1" x14ac:dyDescent="0.2"/>
    <row r="865" s="433" customFormat="1" x14ac:dyDescent="0.2"/>
    <row r="866" s="433" customFormat="1" x14ac:dyDescent="0.2"/>
    <row r="867" s="433" customFormat="1" x14ac:dyDescent="0.2"/>
    <row r="868" s="433" customFormat="1" x14ac:dyDescent="0.2"/>
    <row r="869" s="433" customFormat="1" x14ac:dyDescent="0.2"/>
    <row r="870" s="433" customFormat="1" x14ac:dyDescent="0.2"/>
    <row r="871" s="433" customFormat="1" x14ac:dyDescent="0.2"/>
    <row r="872" s="433" customFormat="1" x14ac:dyDescent="0.2"/>
    <row r="873" s="433" customFormat="1" x14ac:dyDescent="0.2"/>
    <row r="874" s="433" customFormat="1" x14ac:dyDescent="0.2"/>
    <row r="875" s="433" customFormat="1" x14ac:dyDescent="0.2"/>
    <row r="876" s="433" customFormat="1" x14ac:dyDescent="0.2"/>
    <row r="877" s="433" customFormat="1" x14ac:dyDescent="0.2"/>
    <row r="878" s="433" customFormat="1" x14ac:dyDescent="0.2"/>
    <row r="879" s="433" customFormat="1" x14ac:dyDescent="0.2"/>
    <row r="880" s="433" customFormat="1" x14ac:dyDescent="0.2"/>
    <row r="881" s="433" customFormat="1" x14ac:dyDescent="0.2"/>
    <row r="882" s="433" customFormat="1" x14ac:dyDescent="0.2"/>
    <row r="883" s="433" customFormat="1" x14ac:dyDescent="0.2"/>
    <row r="884" s="433" customFormat="1" x14ac:dyDescent="0.2"/>
    <row r="885" s="433" customFormat="1" x14ac:dyDescent="0.2"/>
    <row r="886" s="433" customFormat="1" x14ac:dyDescent="0.2"/>
    <row r="887" s="433" customFormat="1" x14ac:dyDescent="0.2"/>
    <row r="888" s="433" customFormat="1" x14ac:dyDescent="0.2"/>
    <row r="889" s="433" customFormat="1" x14ac:dyDescent="0.2"/>
    <row r="890" s="433" customFormat="1" x14ac:dyDescent="0.2"/>
    <row r="891" s="433" customFormat="1" x14ac:dyDescent="0.2"/>
    <row r="892" s="433" customFormat="1" x14ac:dyDescent="0.2"/>
    <row r="893" s="433" customFormat="1" x14ac:dyDescent="0.2"/>
    <row r="894" s="433" customFormat="1" x14ac:dyDescent="0.2"/>
    <row r="895" s="433" customFormat="1" x14ac:dyDescent="0.2"/>
    <row r="896" s="433" customFormat="1" x14ac:dyDescent="0.2"/>
    <row r="897" s="433" customFormat="1" x14ac:dyDescent="0.2"/>
    <row r="898" s="433" customFormat="1" x14ac:dyDescent="0.2"/>
    <row r="899" s="433" customFormat="1" x14ac:dyDescent="0.2"/>
    <row r="900" s="433" customFormat="1" x14ac:dyDescent="0.2"/>
    <row r="901" s="433" customFormat="1" x14ac:dyDescent="0.2"/>
    <row r="902" s="433" customFormat="1" x14ac:dyDescent="0.2"/>
    <row r="903" s="433" customFormat="1" x14ac:dyDescent="0.2"/>
    <row r="904" s="433" customFormat="1" x14ac:dyDescent="0.2"/>
    <row r="905" s="433" customFormat="1" x14ac:dyDescent="0.2"/>
    <row r="906" s="433" customFormat="1" x14ac:dyDescent="0.2"/>
    <row r="907" s="433" customFormat="1" x14ac:dyDescent="0.2"/>
    <row r="908" s="433" customFormat="1" x14ac:dyDescent="0.2"/>
    <row r="909" s="433" customFormat="1" x14ac:dyDescent="0.2"/>
    <row r="910" s="433" customFormat="1" x14ac:dyDescent="0.2"/>
    <row r="911" s="433" customFormat="1" x14ac:dyDescent="0.2"/>
    <row r="912" s="433" customFormat="1" x14ac:dyDescent="0.2"/>
    <row r="913" s="433" customFormat="1" x14ac:dyDescent="0.2"/>
    <row r="914" s="433" customFormat="1" x14ac:dyDescent="0.2"/>
    <row r="915" s="433" customFormat="1" x14ac:dyDescent="0.2"/>
    <row r="916" s="433" customFormat="1" x14ac:dyDescent="0.2"/>
    <row r="917" s="433" customFormat="1" x14ac:dyDescent="0.2"/>
    <row r="918" s="433" customFormat="1" x14ac:dyDescent="0.2"/>
    <row r="919" s="433" customFormat="1" x14ac:dyDescent="0.2"/>
    <row r="920" s="433" customFormat="1" x14ac:dyDescent="0.2"/>
    <row r="921" s="433" customFormat="1" x14ac:dyDescent="0.2"/>
    <row r="922" s="433" customFormat="1" x14ac:dyDescent="0.2"/>
    <row r="923" s="433" customFormat="1" x14ac:dyDescent="0.2"/>
    <row r="924" s="433" customFormat="1" x14ac:dyDescent="0.2"/>
    <row r="925" s="433" customFormat="1" x14ac:dyDescent="0.2"/>
    <row r="926" s="433" customFormat="1" x14ac:dyDescent="0.2"/>
    <row r="927" s="433" customFormat="1" x14ac:dyDescent="0.2"/>
    <row r="928" s="433" customFormat="1" x14ac:dyDescent="0.2"/>
    <row r="929" s="433" customFormat="1" x14ac:dyDescent="0.2"/>
    <row r="930" s="433" customFormat="1" x14ac:dyDescent="0.2"/>
    <row r="931" s="433" customFormat="1" x14ac:dyDescent="0.2"/>
    <row r="932" s="433" customFormat="1" x14ac:dyDescent="0.2"/>
    <row r="933" s="433" customFormat="1" x14ac:dyDescent="0.2"/>
    <row r="934" s="433" customFormat="1" x14ac:dyDescent="0.2"/>
    <row r="935" s="433" customFormat="1" x14ac:dyDescent="0.2"/>
    <row r="936" s="433" customFormat="1" x14ac:dyDescent="0.2"/>
    <row r="937" s="433" customFormat="1" x14ac:dyDescent="0.2"/>
    <row r="938" s="433" customFormat="1" x14ac:dyDescent="0.2"/>
    <row r="939" s="433" customFormat="1" x14ac:dyDescent="0.2"/>
    <row r="940" s="433" customFormat="1" x14ac:dyDescent="0.2"/>
    <row r="941" s="433" customFormat="1" x14ac:dyDescent="0.2"/>
    <row r="942" s="433" customFormat="1" x14ac:dyDescent="0.2"/>
    <row r="943" s="433" customFormat="1" x14ac:dyDescent="0.2"/>
    <row r="944" s="433" customFormat="1" x14ac:dyDescent="0.2"/>
    <row r="945" s="433" customFormat="1" x14ac:dyDescent="0.2"/>
    <row r="946" s="433" customFormat="1" x14ac:dyDescent="0.2"/>
    <row r="947" s="433" customFormat="1" x14ac:dyDescent="0.2"/>
    <row r="948" s="433" customFormat="1" x14ac:dyDescent="0.2"/>
    <row r="949" s="433" customFormat="1" x14ac:dyDescent="0.2"/>
    <row r="950" s="433" customFormat="1" x14ac:dyDescent="0.2"/>
    <row r="951" s="433" customFormat="1" x14ac:dyDescent="0.2"/>
    <row r="952" s="433" customFormat="1" x14ac:dyDescent="0.2"/>
    <row r="953" s="433" customFormat="1" x14ac:dyDescent="0.2"/>
    <row r="954" s="433" customFormat="1" x14ac:dyDescent="0.2"/>
    <row r="955" s="433" customFormat="1" x14ac:dyDescent="0.2"/>
    <row r="956" s="433" customFormat="1" x14ac:dyDescent="0.2"/>
    <row r="957" s="433" customFormat="1" x14ac:dyDescent="0.2"/>
    <row r="958" s="433" customFormat="1" x14ac:dyDescent="0.2"/>
    <row r="959" s="433" customFormat="1" x14ac:dyDescent="0.2"/>
    <row r="960" s="433" customFormat="1" x14ac:dyDescent="0.2"/>
    <row r="961" s="433" customFormat="1" x14ac:dyDescent="0.2"/>
    <row r="962" s="433" customFormat="1" x14ac:dyDescent="0.2"/>
    <row r="963" s="433" customFormat="1" x14ac:dyDescent="0.2"/>
    <row r="964" s="433" customFormat="1" x14ac:dyDescent="0.2"/>
    <row r="965" s="433" customFormat="1" x14ac:dyDescent="0.2"/>
    <row r="966" s="433" customFormat="1" x14ac:dyDescent="0.2"/>
    <row r="967" s="433" customFormat="1" x14ac:dyDescent="0.2"/>
    <row r="968" s="433" customFormat="1" x14ac:dyDescent="0.2"/>
    <row r="969" s="433" customFormat="1" x14ac:dyDescent="0.2"/>
    <row r="970" s="433" customFormat="1" x14ac:dyDescent="0.2"/>
    <row r="971" s="433" customFormat="1" x14ac:dyDescent="0.2"/>
    <row r="972" s="433" customFormat="1" x14ac:dyDescent="0.2"/>
    <row r="973" s="433" customFormat="1" x14ac:dyDescent="0.2"/>
    <row r="974" s="433" customFormat="1" x14ac:dyDescent="0.2"/>
    <row r="975" s="433" customFormat="1" x14ac:dyDescent="0.2"/>
    <row r="976" s="433" customFormat="1" x14ac:dyDescent="0.2"/>
    <row r="977" s="433" customFormat="1" x14ac:dyDescent="0.2"/>
    <row r="978" s="433" customFormat="1" x14ac:dyDescent="0.2"/>
    <row r="979" s="433" customFormat="1" x14ac:dyDescent="0.2"/>
    <row r="980" s="433" customFormat="1" x14ac:dyDescent="0.2"/>
    <row r="981" s="433" customFormat="1" x14ac:dyDescent="0.2"/>
    <row r="982" s="433" customFormat="1" x14ac:dyDescent="0.2"/>
    <row r="983" s="433" customFormat="1" x14ac:dyDescent="0.2"/>
    <row r="984" s="433" customFormat="1" x14ac:dyDescent="0.2"/>
    <row r="985" s="433" customFormat="1" x14ac:dyDescent="0.2"/>
    <row r="986" s="433" customFormat="1" x14ac:dyDescent="0.2"/>
    <row r="987" s="433" customFormat="1" x14ac:dyDescent="0.2"/>
    <row r="988" s="433" customFormat="1" x14ac:dyDescent="0.2"/>
    <row r="989" s="433" customFormat="1" x14ac:dyDescent="0.2"/>
    <row r="990" s="433" customFormat="1" x14ac:dyDescent="0.2"/>
    <row r="991" s="433" customFormat="1" x14ac:dyDescent="0.2"/>
    <row r="992" s="433" customFormat="1" x14ac:dyDescent="0.2"/>
    <row r="993" s="433" customFormat="1" x14ac:dyDescent="0.2"/>
    <row r="994" s="433" customFormat="1" x14ac:dyDescent="0.2"/>
    <row r="995" s="433" customFormat="1" x14ac:dyDescent="0.2"/>
    <row r="996" s="433" customFormat="1" x14ac:dyDescent="0.2"/>
    <row r="997" s="433" customFormat="1" x14ac:dyDescent="0.2"/>
    <row r="998" s="433" customFormat="1" x14ac:dyDescent="0.2"/>
    <row r="999" s="433" customFormat="1" x14ac:dyDescent="0.2"/>
    <row r="1000" s="433" customFormat="1" x14ac:dyDescent="0.2"/>
    <row r="1001" s="433" customFormat="1" x14ac:dyDescent="0.2"/>
    <row r="1002" s="433" customFormat="1" x14ac:dyDescent="0.2"/>
    <row r="1003" s="433" customFormat="1" x14ac:dyDescent="0.2"/>
    <row r="1004" s="433" customFormat="1" x14ac:dyDescent="0.2"/>
    <row r="1005" s="433" customFormat="1" x14ac:dyDescent="0.2"/>
    <row r="1006" s="433" customFormat="1" x14ac:dyDescent="0.2"/>
    <row r="1007" s="433" customFormat="1" x14ac:dyDescent="0.2"/>
    <row r="1008" s="433" customFormat="1" x14ac:dyDescent="0.2"/>
    <row r="1009" s="433" customFormat="1" x14ac:dyDescent="0.2"/>
    <row r="1010" s="433" customFormat="1" x14ac:dyDescent="0.2"/>
    <row r="1011" s="433" customFormat="1" x14ac:dyDescent="0.2"/>
    <row r="1012" s="433" customFormat="1" x14ac:dyDescent="0.2"/>
    <row r="1013" s="433" customFormat="1" x14ac:dyDescent="0.2"/>
    <row r="1014" s="433" customFormat="1" x14ac:dyDescent="0.2"/>
    <row r="1015" s="433" customFormat="1" x14ac:dyDescent="0.2"/>
    <row r="1016" s="433" customFormat="1" x14ac:dyDescent="0.2"/>
    <row r="1017" s="433" customFormat="1" x14ac:dyDescent="0.2"/>
    <row r="1018" s="433" customFormat="1" x14ac:dyDescent="0.2"/>
    <row r="1019" s="433" customFormat="1" x14ac:dyDescent="0.2"/>
    <row r="1020" s="433" customFormat="1" x14ac:dyDescent="0.2"/>
    <row r="1021" s="433" customFormat="1" x14ac:dyDescent="0.2"/>
    <row r="1022" s="433" customFormat="1" x14ac:dyDescent="0.2"/>
    <row r="1023" s="433" customFormat="1" x14ac:dyDescent="0.2"/>
    <row r="1024" s="433" customFormat="1" x14ac:dyDescent="0.2"/>
    <row r="1025" s="433" customFormat="1" x14ac:dyDescent="0.2"/>
    <row r="1026" s="433" customFormat="1" x14ac:dyDescent="0.2"/>
    <row r="1027" s="433" customFormat="1" x14ac:dyDescent="0.2"/>
    <row r="1028" s="433" customFormat="1" x14ac:dyDescent="0.2"/>
    <row r="1029" s="433" customFormat="1" x14ac:dyDescent="0.2"/>
    <row r="1030" s="433" customFormat="1" x14ac:dyDescent="0.2"/>
    <row r="1031" s="433" customFormat="1" x14ac:dyDescent="0.2"/>
    <row r="1032" s="433" customFormat="1" x14ac:dyDescent="0.2"/>
    <row r="1033" s="433" customFormat="1" x14ac:dyDescent="0.2"/>
    <row r="1034" s="433" customFormat="1" x14ac:dyDescent="0.2"/>
    <row r="1035" s="433" customFormat="1" x14ac:dyDescent="0.2"/>
    <row r="1036" s="433" customFormat="1" x14ac:dyDescent="0.2"/>
    <row r="1037" s="433" customFormat="1" x14ac:dyDescent="0.2"/>
    <row r="1038" s="433" customFormat="1" x14ac:dyDescent="0.2"/>
    <row r="1039" s="433" customFormat="1" x14ac:dyDescent="0.2"/>
    <row r="1040" s="433" customFormat="1" x14ac:dyDescent="0.2"/>
    <row r="1041" s="433" customFormat="1" x14ac:dyDescent="0.2"/>
    <row r="1042" s="433" customFormat="1" x14ac:dyDescent="0.2"/>
    <row r="1043" s="433" customFormat="1" x14ac:dyDescent="0.2"/>
  </sheetData>
  <phoneticPr fontId="11" type="noConversion"/>
  <dataValidations disablePrompts="1" count="1">
    <dataValidation type="list" allowBlank="1" showInputMessage="1" showErrorMessage="1" sqref="I6">
      <formula1>RegCategories</formula1>
    </dataValidation>
  </dataValidations>
  <pageMargins left="0.39370078740157483" right="0.39370078740157483" top="0.39370078740157483" bottom="0.39370078740157483" header="0.23622047244094491" footer="0.23622047244094491"/>
  <pageSetup paperSize="8" scale="61" fitToHeight="8" orientation="landscape" verticalDpi="4" copies="2" r:id="rId1"/>
  <headerFooter alignWithMargins="0">
    <oddFooter>&amp;L&amp;D&amp;CPage &amp;P of &amp;N&amp;R&amp;Z&amp;F</oddFooter>
  </headerFooter>
  <ignoredErrors>
    <ignoredError sqref="E42:E5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1895475</xdr:colOff>
                    <xdr:row>6</xdr:row>
                    <xdr:rowOff>114300</xdr:rowOff>
                  </from>
                  <to>
                    <xdr:col>4</xdr:col>
                    <xdr:colOff>533400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104775</xdr:rowOff>
                  </from>
                  <to>
                    <xdr:col>9</xdr:col>
                    <xdr:colOff>238125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" name="Drop Down 172">
              <controlPr defaultSize="0" autoLine="0" autoPict="0">
                <anchor moveWithCells="1">
                  <from>
                    <xdr:col>4</xdr:col>
                    <xdr:colOff>19050</xdr:colOff>
                    <xdr:row>28</xdr:row>
                    <xdr:rowOff>9525</xdr:rowOff>
                  </from>
                  <to>
                    <xdr:col>4</xdr:col>
                    <xdr:colOff>1895475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" name="Drop Down 176">
              <controlPr defaultSize="0" autoLine="0" autoPict="0">
                <anchor moveWithCells="1">
                  <from>
                    <xdr:col>4</xdr:col>
                    <xdr:colOff>19050</xdr:colOff>
                    <xdr:row>57</xdr:row>
                    <xdr:rowOff>9525</xdr:rowOff>
                  </from>
                  <to>
                    <xdr:col>4</xdr:col>
                    <xdr:colOff>1895475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" name="Drop Down 184">
              <controlPr defaultSize="0" autoLine="0" autoPict="0">
                <anchor moveWithCells="1">
                  <from>
                    <xdr:col>4</xdr:col>
                    <xdr:colOff>9525</xdr:colOff>
                    <xdr:row>86</xdr:row>
                    <xdr:rowOff>9525</xdr:rowOff>
                  </from>
                  <to>
                    <xdr:col>4</xdr:col>
                    <xdr:colOff>1895475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" name="Drop Down 187">
              <controlPr defaultSize="0" autoLine="0" autoPict="0">
                <anchor moveWithCells="1">
                  <from>
                    <xdr:col>4</xdr:col>
                    <xdr:colOff>9525</xdr:colOff>
                    <xdr:row>115</xdr:row>
                    <xdr:rowOff>9525</xdr:rowOff>
                  </from>
                  <to>
                    <xdr:col>4</xdr:col>
                    <xdr:colOff>1895475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" name="Drop Down 188">
              <controlPr defaultSize="0" autoLine="0" autoPict="0">
                <anchor moveWithCells="1">
                  <from>
                    <xdr:col>4</xdr:col>
                    <xdr:colOff>9525</xdr:colOff>
                    <xdr:row>144</xdr:row>
                    <xdr:rowOff>9525</xdr:rowOff>
                  </from>
                  <to>
                    <xdr:col>4</xdr:col>
                    <xdr:colOff>1895475</xdr:colOff>
                    <xdr:row>144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" name="Drop Down 189">
              <controlPr defaultSize="0" autoLine="0" autoPict="0">
                <anchor moveWithCells="1">
                  <from>
                    <xdr:col>4</xdr:col>
                    <xdr:colOff>9525</xdr:colOff>
                    <xdr:row>173</xdr:row>
                    <xdr:rowOff>9525</xdr:rowOff>
                  </from>
                  <to>
                    <xdr:col>4</xdr:col>
                    <xdr:colOff>1895475</xdr:colOff>
                    <xdr:row>173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" name="Drop Down 195">
              <controlPr defaultSize="0" autoLine="0" autoPict="0">
                <anchor moveWithCells="1">
                  <from>
                    <xdr:col>4</xdr:col>
                    <xdr:colOff>1133475</xdr:colOff>
                    <xdr:row>200</xdr:row>
                    <xdr:rowOff>114300</xdr:rowOff>
                  </from>
                  <to>
                    <xdr:col>5</xdr:col>
                    <xdr:colOff>266700</xdr:colOff>
                    <xdr:row>201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" name="Drop Down 196">
              <controlPr defaultSize="0" autoLine="0" autoPict="0">
                <anchor moveWithCells="1">
                  <from>
                    <xdr:col>4</xdr:col>
                    <xdr:colOff>1133475</xdr:colOff>
                    <xdr:row>202</xdr:row>
                    <xdr:rowOff>114300</xdr:rowOff>
                  </from>
                  <to>
                    <xdr:col>5</xdr:col>
                    <xdr:colOff>266700</xdr:colOff>
                    <xdr:row>203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" name="Drop Down 197">
              <controlPr defaultSize="0" autoLine="0" autoPict="0">
                <anchor moveWithCells="1">
                  <from>
                    <xdr:col>4</xdr:col>
                    <xdr:colOff>57150</xdr:colOff>
                    <xdr:row>346</xdr:row>
                    <xdr:rowOff>114300</xdr:rowOff>
                  </from>
                  <to>
                    <xdr:col>4</xdr:col>
                    <xdr:colOff>1895475</xdr:colOff>
                    <xdr:row>347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" name="Drop Down 236">
              <controlPr defaultSize="0" autoLine="0" autoPict="0">
                <anchor moveWithCells="1">
                  <from>
                    <xdr:col>4</xdr:col>
                    <xdr:colOff>1133475</xdr:colOff>
                    <xdr:row>204</xdr:row>
                    <xdr:rowOff>104775</xdr:rowOff>
                  </from>
                  <to>
                    <xdr:col>5</xdr:col>
                    <xdr:colOff>266700</xdr:colOff>
                    <xdr:row>205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3:AQ45"/>
  <sheetViews>
    <sheetView topLeftCell="A14" workbookViewId="0">
      <selection activeCell="C53" sqref="C53"/>
    </sheetView>
  </sheetViews>
  <sheetFormatPr defaultRowHeight="12.75" x14ac:dyDescent="0.2"/>
  <sheetData>
    <row r="3" spans="2:18" x14ac:dyDescent="0.2">
      <c r="B3" s="129" t="s">
        <v>287</v>
      </c>
    </row>
    <row r="4" spans="2:18" x14ac:dyDescent="0.2">
      <c r="D4" s="686">
        <v>0.47877932366608461</v>
      </c>
    </row>
    <row r="5" spans="2:18" x14ac:dyDescent="0.2"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  <c r="J5">
        <v>2023</v>
      </c>
      <c r="K5">
        <v>2024</v>
      </c>
      <c r="L5">
        <v>2025</v>
      </c>
      <c r="M5">
        <v>2026</v>
      </c>
      <c r="N5">
        <v>2027</v>
      </c>
      <c r="O5">
        <v>2028</v>
      </c>
      <c r="P5">
        <v>2029</v>
      </c>
      <c r="Q5">
        <v>2030</v>
      </c>
      <c r="R5">
        <v>2031</v>
      </c>
    </row>
    <row r="6" spans="2:18" x14ac:dyDescent="0.2">
      <c r="B6" t="s">
        <v>307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</row>
    <row r="7" spans="2:18" x14ac:dyDescent="0.2">
      <c r="B7" t="s">
        <v>308</v>
      </c>
      <c r="C7" s="687" t="e">
        <f>1/#REF!</f>
        <v>#REF!</v>
      </c>
      <c r="D7" s="687" t="e">
        <f>C7*(1+$D$4)</f>
        <v>#REF!</v>
      </c>
      <c r="E7" s="687" t="e">
        <f t="shared" ref="E7:M7" si="0">D7*(1+$D$4)</f>
        <v>#REF!</v>
      </c>
      <c r="F7" s="687" t="e">
        <f t="shared" si="0"/>
        <v>#REF!</v>
      </c>
      <c r="G7" s="687" t="e">
        <f t="shared" si="0"/>
        <v>#REF!</v>
      </c>
      <c r="H7" s="687" t="e">
        <f t="shared" si="0"/>
        <v>#REF!</v>
      </c>
      <c r="I7" s="687" t="e">
        <f t="shared" si="0"/>
        <v>#REF!</v>
      </c>
      <c r="J7" s="687" t="e">
        <f t="shared" si="0"/>
        <v>#REF!</v>
      </c>
      <c r="K7" s="687" t="e">
        <f t="shared" si="0"/>
        <v>#REF!</v>
      </c>
      <c r="L7" s="687" t="e">
        <f t="shared" si="0"/>
        <v>#REF!</v>
      </c>
      <c r="M7" s="687" t="e">
        <f t="shared" si="0"/>
        <v>#REF!</v>
      </c>
      <c r="N7" s="687"/>
      <c r="O7" s="687"/>
      <c r="P7" s="687"/>
      <c r="Q7" s="687"/>
      <c r="R7" s="687"/>
    </row>
    <row r="10" spans="2:18" ht="13.5" thickBot="1" x14ac:dyDescent="0.25"/>
    <row r="11" spans="2:18" ht="13.5" thickBot="1" x14ac:dyDescent="0.25">
      <c r="B11" s="685" t="s">
        <v>288</v>
      </c>
    </row>
    <row r="12" spans="2:18" x14ac:dyDescent="0.2">
      <c r="D12" s="686">
        <v>0.3492912518450782</v>
      </c>
    </row>
    <row r="14" spans="2:18" x14ac:dyDescent="0.2">
      <c r="B14" t="s">
        <v>307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</row>
    <row r="15" spans="2:18" x14ac:dyDescent="0.2">
      <c r="B15" t="s">
        <v>308</v>
      </c>
      <c r="C15" s="687" t="e">
        <f>1/#REF!</f>
        <v>#REF!</v>
      </c>
      <c r="D15" s="687" t="e">
        <f>C15*(1+$D$12)</f>
        <v>#REF!</v>
      </c>
      <c r="E15" s="687" t="e">
        <f t="shared" ref="E15:M15" si="1">D15*(1+$D$12)</f>
        <v>#REF!</v>
      </c>
      <c r="F15" s="687" t="e">
        <f t="shared" si="1"/>
        <v>#REF!</v>
      </c>
      <c r="G15" s="687" t="e">
        <f t="shared" si="1"/>
        <v>#REF!</v>
      </c>
      <c r="H15" s="687" t="e">
        <f t="shared" si="1"/>
        <v>#REF!</v>
      </c>
      <c r="I15" s="687" t="e">
        <f t="shared" si="1"/>
        <v>#REF!</v>
      </c>
      <c r="J15" s="687" t="e">
        <f t="shared" si="1"/>
        <v>#REF!</v>
      </c>
      <c r="K15" s="687" t="e">
        <f t="shared" si="1"/>
        <v>#REF!</v>
      </c>
      <c r="L15" s="687" t="e">
        <f t="shared" si="1"/>
        <v>#REF!</v>
      </c>
      <c r="M15" s="687" t="e">
        <f t="shared" si="1"/>
        <v>#REF!</v>
      </c>
      <c r="N15" s="687"/>
      <c r="O15" s="687"/>
      <c r="P15" s="687"/>
      <c r="Q15" s="687"/>
      <c r="R15" s="687"/>
    </row>
    <row r="20" spans="2:18" ht="13.5" thickBot="1" x14ac:dyDescent="0.25"/>
    <row r="21" spans="2:18" ht="13.5" thickBot="1" x14ac:dyDescent="0.25">
      <c r="B21" s="685" t="s">
        <v>289</v>
      </c>
    </row>
    <row r="22" spans="2:18" x14ac:dyDescent="0.2">
      <c r="D22" s="686">
        <v>0.31102260048669939</v>
      </c>
    </row>
    <row r="24" spans="2:18" x14ac:dyDescent="0.2">
      <c r="B24" t="s">
        <v>307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  <c r="K24">
        <v>9</v>
      </c>
      <c r="L24">
        <v>10</v>
      </c>
      <c r="M24">
        <v>11</v>
      </c>
      <c r="N24">
        <v>12</v>
      </c>
      <c r="O24">
        <v>13</v>
      </c>
      <c r="P24">
        <v>14</v>
      </c>
      <c r="Q24">
        <v>15</v>
      </c>
      <c r="R24">
        <v>16</v>
      </c>
    </row>
    <row r="25" spans="2:18" x14ac:dyDescent="0.2">
      <c r="B25" t="s">
        <v>308</v>
      </c>
      <c r="C25" s="687" t="e">
        <f>1/#REF!</f>
        <v>#REF!</v>
      </c>
      <c r="D25" s="687" t="e">
        <f>C25*(1+$D$22)</f>
        <v>#REF!</v>
      </c>
      <c r="E25" s="687" t="e">
        <f t="shared" ref="E25:M25" si="2">D25*(1+$D$22)</f>
        <v>#REF!</v>
      </c>
      <c r="F25" s="687" t="e">
        <f t="shared" si="2"/>
        <v>#REF!</v>
      </c>
      <c r="G25" s="687" t="e">
        <f t="shared" si="2"/>
        <v>#REF!</v>
      </c>
      <c r="H25" s="687" t="e">
        <f t="shared" si="2"/>
        <v>#REF!</v>
      </c>
      <c r="I25" s="687" t="e">
        <f t="shared" si="2"/>
        <v>#REF!</v>
      </c>
      <c r="J25" s="687" t="e">
        <f t="shared" si="2"/>
        <v>#REF!</v>
      </c>
      <c r="K25" s="687" t="e">
        <f t="shared" si="2"/>
        <v>#REF!</v>
      </c>
      <c r="L25" s="687" t="e">
        <f t="shared" si="2"/>
        <v>#REF!</v>
      </c>
      <c r="M25" s="687" t="e">
        <f t="shared" si="2"/>
        <v>#REF!</v>
      </c>
      <c r="N25" s="687"/>
      <c r="O25" s="687"/>
      <c r="P25" s="687"/>
      <c r="Q25" s="687"/>
      <c r="R25" s="687"/>
    </row>
    <row r="30" spans="2:18" ht="13.5" thickBot="1" x14ac:dyDescent="0.25"/>
    <row r="31" spans="2:18" ht="13.5" thickBot="1" x14ac:dyDescent="0.25">
      <c r="B31" s="685" t="s">
        <v>283</v>
      </c>
    </row>
    <row r="32" spans="2:18" x14ac:dyDescent="0.2">
      <c r="D32" s="686">
        <v>0.58498922965232358</v>
      </c>
    </row>
    <row r="34" spans="2:43" x14ac:dyDescent="0.2">
      <c r="B34" t="s">
        <v>307</v>
      </c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  <c r="O34">
        <v>13</v>
      </c>
      <c r="P34">
        <v>14</v>
      </c>
      <c r="Q34">
        <v>15</v>
      </c>
      <c r="R34">
        <v>16</v>
      </c>
    </row>
    <row r="35" spans="2:43" x14ac:dyDescent="0.2">
      <c r="B35" t="s">
        <v>308</v>
      </c>
      <c r="C35" s="687" t="e">
        <f>1/#REF!</f>
        <v>#REF!</v>
      </c>
      <c r="D35" s="687" t="e">
        <f>C35*(1+$D$32)</f>
        <v>#REF!</v>
      </c>
      <c r="E35" s="687" t="e">
        <f t="shared" ref="E35:M35" si="3">D35*(1+$D$32)</f>
        <v>#REF!</v>
      </c>
      <c r="F35" s="687" t="e">
        <f t="shared" si="3"/>
        <v>#REF!</v>
      </c>
      <c r="G35" s="687" t="e">
        <f t="shared" si="3"/>
        <v>#REF!</v>
      </c>
      <c r="H35" s="687" t="e">
        <f t="shared" si="3"/>
        <v>#REF!</v>
      </c>
      <c r="I35" s="687" t="e">
        <f t="shared" si="3"/>
        <v>#REF!</v>
      </c>
      <c r="J35" s="687" t="e">
        <f t="shared" si="3"/>
        <v>#REF!</v>
      </c>
      <c r="K35" s="687" t="e">
        <f t="shared" si="3"/>
        <v>#REF!</v>
      </c>
      <c r="L35" s="687" t="e">
        <f t="shared" si="3"/>
        <v>#REF!</v>
      </c>
      <c r="M35" s="687" t="e">
        <f t="shared" si="3"/>
        <v>#REF!</v>
      </c>
      <c r="N35" s="687"/>
      <c r="O35" s="687"/>
      <c r="P35" s="687"/>
      <c r="Q35" s="687"/>
      <c r="R35" s="687"/>
    </row>
    <row r="40" spans="2:43" ht="13.5" thickBot="1" x14ac:dyDescent="0.25"/>
    <row r="41" spans="2:43" ht="13.5" thickBot="1" x14ac:dyDescent="0.25">
      <c r="B41" s="685"/>
    </row>
    <row r="42" spans="2:43" x14ac:dyDescent="0.2">
      <c r="D42" s="686"/>
    </row>
    <row r="44" spans="2:43" x14ac:dyDescent="0.2">
      <c r="Z44">
        <v>24</v>
      </c>
      <c r="AA44">
        <v>25</v>
      </c>
      <c r="AB44">
        <v>26</v>
      </c>
    </row>
    <row r="45" spans="2:43" x14ac:dyDescent="0.2">
      <c r="C45" s="687"/>
      <c r="D45" s="687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>
        <f t="shared" ref="Z45:AB45" si="4">Y45*(1+$D$42)</f>
        <v>0</v>
      </c>
      <c r="AA45" s="687">
        <f t="shared" si="4"/>
        <v>0</v>
      </c>
      <c r="AB45" s="687">
        <f t="shared" si="4"/>
        <v>0</v>
      </c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687"/>
      <c r="AQ45" s="6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29"/>
  </sheetPr>
  <dimension ref="A2:Z244"/>
  <sheetViews>
    <sheetView showGridLines="0" topLeftCell="B13" zoomScaleNormal="80" zoomScaleSheetLayoutView="40" workbookViewId="0">
      <selection activeCell="E8" sqref="E8"/>
    </sheetView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6" width="13.5703125" style="4" bestFit="1" customWidth="1"/>
    <col min="27" max="16384" width="9.140625" style="138"/>
  </cols>
  <sheetData>
    <row r="2" spans="2:26" ht="18" customHeight="1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ht="12.75" customHeight="1" x14ac:dyDescent="0.2">
      <c r="C3" s="182" t="s">
        <v>321</v>
      </c>
      <c r="D3" s="182"/>
      <c r="E3" s="183" t="str">
        <f>'User Input'!E4</f>
        <v>In meter capability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2:26" ht="15.75" customHeight="1" thickBot="1" x14ac:dyDescent="0.25">
      <c r="B4" s="101" t="s">
        <v>1</v>
      </c>
      <c r="C4" s="102"/>
      <c r="D4" s="701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3.5" thickBot="1" x14ac:dyDescent="0.25">
      <c r="B5" s="19"/>
      <c r="C5" s="19"/>
      <c r="D5" s="19"/>
      <c r="E5" s="132">
        <f>'User Input'!E6</f>
        <v>2019</v>
      </c>
      <c r="F5" s="133">
        <f>E5+1</f>
        <v>2020</v>
      </c>
      <c r="G5" s="133">
        <f t="shared" ref="G5:Y5" si="0">F5+1</f>
        <v>2021</v>
      </c>
      <c r="H5" s="133">
        <f t="shared" si="0"/>
        <v>2022</v>
      </c>
      <c r="I5" s="133">
        <f t="shared" si="0"/>
        <v>2023</v>
      </c>
      <c r="J5" s="133">
        <f t="shared" si="0"/>
        <v>2024</v>
      </c>
      <c r="K5" s="133">
        <f t="shared" si="0"/>
        <v>2025</v>
      </c>
      <c r="L5" s="133">
        <f t="shared" si="0"/>
        <v>2026</v>
      </c>
      <c r="M5" s="133">
        <f t="shared" si="0"/>
        <v>2027</v>
      </c>
      <c r="N5" s="133">
        <f t="shared" si="0"/>
        <v>2028</v>
      </c>
      <c r="O5" s="133">
        <f t="shared" si="0"/>
        <v>2029</v>
      </c>
      <c r="P5" s="133">
        <f t="shared" si="0"/>
        <v>2030</v>
      </c>
      <c r="Q5" s="133">
        <f t="shared" si="0"/>
        <v>2031</v>
      </c>
      <c r="R5" s="133">
        <f t="shared" si="0"/>
        <v>2032</v>
      </c>
      <c r="S5" s="133">
        <f t="shared" si="0"/>
        <v>2033</v>
      </c>
      <c r="T5" s="133">
        <f t="shared" si="0"/>
        <v>2034</v>
      </c>
      <c r="U5" s="133">
        <f t="shared" si="0"/>
        <v>2035</v>
      </c>
      <c r="V5" s="133">
        <f t="shared" si="0"/>
        <v>2036</v>
      </c>
      <c r="W5" s="133">
        <f t="shared" si="0"/>
        <v>2037</v>
      </c>
      <c r="X5" s="133">
        <f t="shared" si="0"/>
        <v>2038</v>
      </c>
      <c r="Y5" s="133">
        <f t="shared" si="0"/>
        <v>2039</v>
      </c>
      <c r="Z5" s="133">
        <f t="shared" ref="Z5" si="1">Y5+1</f>
        <v>2040</v>
      </c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2">
        <v>20</v>
      </c>
    </row>
    <row r="8" spans="2:26" ht="14.25" x14ac:dyDescent="0.2">
      <c r="B8" s="13" t="s">
        <v>16</v>
      </c>
      <c r="D8" s="702">
        <f>'Administrator Input'!F35</f>
        <v>1.9400000000000001E-2</v>
      </c>
      <c r="E8" s="703">
        <f>D8</f>
        <v>1.9400000000000001E-2</v>
      </c>
      <c r="F8" s="703">
        <f t="shared" ref="F8:Z8" si="2">E8</f>
        <v>1.9400000000000001E-2</v>
      </c>
      <c r="G8" s="703">
        <f t="shared" si="2"/>
        <v>1.9400000000000001E-2</v>
      </c>
      <c r="H8" s="703">
        <f t="shared" si="2"/>
        <v>1.9400000000000001E-2</v>
      </c>
      <c r="I8" s="703">
        <f t="shared" si="2"/>
        <v>1.9400000000000001E-2</v>
      </c>
      <c r="J8" s="703">
        <f t="shared" si="2"/>
        <v>1.9400000000000001E-2</v>
      </c>
      <c r="K8" s="703">
        <f t="shared" si="2"/>
        <v>1.9400000000000001E-2</v>
      </c>
      <c r="L8" s="703">
        <f t="shared" si="2"/>
        <v>1.9400000000000001E-2</v>
      </c>
      <c r="M8" s="703">
        <f t="shared" si="2"/>
        <v>1.9400000000000001E-2</v>
      </c>
      <c r="N8" s="703">
        <f t="shared" si="2"/>
        <v>1.9400000000000001E-2</v>
      </c>
      <c r="O8" s="703">
        <f t="shared" si="2"/>
        <v>1.9400000000000001E-2</v>
      </c>
      <c r="P8" s="703">
        <f t="shared" si="2"/>
        <v>1.9400000000000001E-2</v>
      </c>
      <c r="Q8" s="703">
        <f t="shared" si="2"/>
        <v>1.9400000000000001E-2</v>
      </c>
      <c r="R8" s="703">
        <f t="shared" si="2"/>
        <v>1.9400000000000001E-2</v>
      </c>
      <c r="S8" s="703">
        <f t="shared" si="2"/>
        <v>1.9400000000000001E-2</v>
      </c>
      <c r="T8" s="703">
        <f t="shared" si="2"/>
        <v>1.9400000000000001E-2</v>
      </c>
      <c r="U8" s="703">
        <f t="shared" si="2"/>
        <v>1.9400000000000001E-2</v>
      </c>
      <c r="V8" s="703">
        <f t="shared" si="2"/>
        <v>1.9400000000000001E-2</v>
      </c>
      <c r="W8" s="703">
        <f t="shared" si="2"/>
        <v>1.9400000000000001E-2</v>
      </c>
      <c r="X8" s="703">
        <f t="shared" si="2"/>
        <v>1.9400000000000001E-2</v>
      </c>
      <c r="Y8" s="703">
        <f t="shared" si="2"/>
        <v>1.9400000000000001E-2</v>
      </c>
      <c r="Z8" s="703">
        <f t="shared" si="2"/>
        <v>1.9400000000000001E-2</v>
      </c>
    </row>
    <row r="9" spans="2:26" x14ac:dyDescent="0.2">
      <c r="B9" s="107" t="s">
        <v>322</v>
      </c>
      <c r="E9" s="700">
        <f>+(1+$D$4)^(E5-'User Input'!$E$9)</f>
        <v>1.3945647010872722</v>
      </c>
      <c r="F9" s="700">
        <f>+(1+$D$4)^(F5-'User Input'!$E$9)</f>
        <v>1.5154734606715385</v>
      </c>
      <c r="G9" s="700">
        <f>+(1+$D$4)^(G5-'User Input'!$E$9)</f>
        <v>1.646865009711761</v>
      </c>
      <c r="H9" s="700">
        <f>+(1+$D$4)^(H5-'User Input'!$E$9)</f>
        <v>1.7896482060537708</v>
      </c>
      <c r="I9" s="700">
        <f>+(1+$D$4)^(I5-'User Input'!$E$9)</f>
        <v>1.9448107055186328</v>
      </c>
      <c r="J9" s="700">
        <f>+(1+$D$4)^(J5-'User Input'!$E$9)</f>
        <v>2.1134257936870982</v>
      </c>
      <c r="K9" s="700">
        <f>+(1+$D$4)^(K5-'User Input'!$E$9)</f>
        <v>2.2966598099997695</v>
      </c>
      <c r="L9" s="700">
        <f>+(1+$D$4)^(L5-'User Input'!$E$9)</f>
        <v>2.4957802155267497</v>
      </c>
      <c r="M9" s="700">
        <f>+(1+$D$4)^(M5-'User Input'!$E$9)</f>
        <v>2.7121643602129191</v>
      </c>
      <c r="N9" s="700">
        <f>+(1+$D$4)^(N5-'User Input'!$E$9)</f>
        <v>2.9473090102433788</v>
      </c>
      <c r="O9" s="700">
        <f>+(1+$D$4)^(O5-'User Input'!$E$9)</f>
        <v>3.2028407014314797</v>
      </c>
      <c r="P9" s="700">
        <f>+(1+$D$4)^(P5-'User Input'!$E$9)</f>
        <v>3.4805269902455898</v>
      </c>
      <c r="Q9" s="700">
        <f>+(1+$D$4)^(Q5-'User Input'!$E$9)</f>
        <v>3.7822886802998821</v>
      </c>
      <c r="R9" s="700">
        <f>+(1+$D$4)^(R5-'User Input'!$E$9)</f>
        <v>4.1102131088818821</v>
      </c>
      <c r="S9" s="700">
        <f>+(1+$D$4)^(S5-'User Input'!$E$9)</f>
        <v>4.4665685854219408</v>
      </c>
      <c r="T9" s="700">
        <f>+(1+$D$4)^(T5-'User Input'!$E$9)</f>
        <v>4.8538200817780233</v>
      </c>
      <c r="U9" s="700">
        <f>+(1+$D$4)^(U5-'User Input'!$E$9)</f>
        <v>5.2746462828681784</v>
      </c>
      <c r="V9" s="700">
        <f>+(1+$D$4)^(V5-'User Input'!$E$9)</f>
        <v>5.7319581155928487</v>
      </c>
      <c r="W9" s="700">
        <f>+(1+$D$4)^(W5-'User Input'!$E$9)</f>
        <v>6.2289188842147487</v>
      </c>
      <c r="X9" s="700">
        <f>+(1+$D$4)^(X5-'User Input'!$E$9)</f>
        <v>6.7689661514761683</v>
      </c>
      <c r="Y9" s="700">
        <f>+(1+$D$4)^(Y5-'User Input'!$E$9)</f>
        <v>7.3558355168091518</v>
      </c>
      <c r="Z9" s="700">
        <f>+(1+$D$4)^(Z5-'User Input'!$E$9)</f>
        <v>7.9935864561165051</v>
      </c>
    </row>
    <row r="10" spans="2:26" x14ac:dyDescent="0.2">
      <c r="B10" s="10" t="s">
        <v>17</v>
      </c>
      <c r="C10" s="11"/>
      <c r="D10" s="11"/>
      <c r="E10" s="15">
        <f>1*(1+E8)^(E5-'User Input'!$E$9)</f>
        <v>1.07988750718285</v>
      </c>
      <c r="F10" s="15">
        <f t="shared" ref="F10:Y10" si="3">E10+(+E10*F8)</f>
        <v>1.1008373248221972</v>
      </c>
      <c r="G10" s="15">
        <f t="shared" si="3"/>
        <v>1.1221935689237479</v>
      </c>
      <c r="H10" s="15">
        <f t="shared" si="3"/>
        <v>1.1439641241608687</v>
      </c>
      <c r="I10" s="15">
        <f t="shared" si="3"/>
        <v>1.1661570281695894</v>
      </c>
      <c r="J10" s="15">
        <f t="shared" si="3"/>
        <v>1.1887804745160795</v>
      </c>
      <c r="K10" s="15">
        <f t="shared" si="3"/>
        <v>1.2118428157216914</v>
      </c>
      <c r="L10" s="15">
        <f t="shared" si="3"/>
        <v>1.2353525663466922</v>
      </c>
      <c r="M10" s="15">
        <f t="shared" si="3"/>
        <v>1.2593184061338181</v>
      </c>
      <c r="N10" s="15">
        <f t="shared" si="3"/>
        <v>1.2837491832128141</v>
      </c>
      <c r="O10" s="15">
        <f t="shared" si="3"/>
        <v>1.3086539173671428</v>
      </c>
      <c r="P10" s="15">
        <f t="shared" si="3"/>
        <v>1.3340418033640653</v>
      </c>
      <c r="Q10" s="15">
        <f t="shared" si="3"/>
        <v>1.3599222143493281</v>
      </c>
      <c r="R10" s="15">
        <f t="shared" si="3"/>
        <v>1.3863047053077051</v>
      </c>
      <c r="S10" s="15">
        <f t="shared" si="3"/>
        <v>1.4131990165906745</v>
      </c>
      <c r="T10" s="15">
        <f t="shared" si="3"/>
        <v>1.4406150775125335</v>
      </c>
      <c r="U10" s="15">
        <f t="shared" si="3"/>
        <v>1.4685630100162765</v>
      </c>
      <c r="V10" s="15">
        <f t="shared" si="3"/>
        <v>1.4970531324105922</v>
      </c>
      <c r="W10" s="15">
        <f t="shared" si="3"/>
        <v>1.5260959631793578</v>
      </c>
      <c r="X10" s="15">
        <f t="shared" si="3"/>
        <v>1.5557022248650374</v>
      </c>
      <c r="Y10" s="15">
        <f t="shared" si="3"/>
        <v>1.5858828480274192</v>
      </c>
      <c r="Z10" s="15">
        <f t="shared" ref="Z10" si="4">Y10+(+Y10*Z8)</f>
        <v>1.6166489752791511</v>
      </c>
    </row>
    <row r="11" spans="2:26" x14ac:dyDescent="0.2">
      <c r="B11" s="10"/>
      <c r="C11" s="11"/>
      <c r="D11" s="1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2:26" x14ac:dyDescent="0.2">
      <c r="B12" s="366" t="str">
        <f>'User Input'!D24</f>
        <v>"Status Quo" Reference Case</v>
      </c>
      <c r="C12" s="367"/>
      <c r="D12" s="368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</row>
    <row r="13" spans="2:26" ht="13.5" thickBot="1" x14ac:dyDescent="0.25">
      <c r="B13" s="5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2:26" ht="13.5" thickBot="1" x14ac:dyDescent="0.25">
      <c r="B14" s="52"/>
      <c r="C14" s="4" t="s">
        <v>76</v>
      </c>
      <c r="D14" s="67">
        <f t="shared" ref="D14:D32" si="5">SUM(E14:Y14)</f>
        <v>6509.4526856466355</v>
      </c>
      <c r="E14" s="64">
        <f>'User Input'!F15*E10</f>
        <v>0</v>
      </c>
      <c r="F14" s="64">
        <f>'User Input'!G15*F$10</f>
        <v>137.60466560277465</v>
      </c>
      <c r="G14" s="64">
        <f>'User Input'!H15*G$10</f>
        <v>280.548392230937</v>
      </c>
      <c r="H14" s="64">
        <f>'User Input'!I15*H$10</f>
        <v>285.99103104021719</v>
      </c>
      <c r="I14" s="64">
        <f>'User Input'!J15*I$10</f>
        <v>291.53925704239737</v>
      </c>
      <c r="J14" s="64">
        <f>'User Input'!K15*J$10</f>
        <v>297.19511862901987</v>
      </c>
      <c r="K14" s="64">
        <f>'User Input'!L15*K$10</f>
        <v>302.96070393042282</v>
      </c>
      <c r="L14" s="64">
        <f>'User Input'!M15*L$10</f>
        <v>308.83814158667303</v>
      </c>
      <c r="M14" s="64">
        <f>'User Input'!N15*M$10</f>
        <v>314.82960153345454</v>
      </c>
      <c r="N14" s="64">
        <f>'User Input'!O15*N$10</f>
        <v>320.93729580320354</v>
      </c>
      <c r="O14" s="64">
        <f>'User Input'!P15*O$10</f>
        <v>327.16347934178572</v>
      </c>
      <c r="P14" s="64">
        <f>'User Input'!Q15*P$10</f>
        <v>333.51045084101634</v>
      </c>
      <c r="Q14" s="64">
        <f>'User Input'!R15*Q$10</f>
        <v>339.98055358733205</v>
      </c>
      <c r="R14" s="64">
        <f>'User Input'!S15*R$10</f>
        <v>346.57617632692626</v>
      </c>
      <c r="S14" s="64">
        <f>'User Input'!T15*S$10</f>
        <v>353.29975414766864</v>
      </c>
      <c r="T14" s="64">
        <f>'User Input'!U15*T$10</f>
        <v>360.15376937813335</v>
      </c>
      <c r="U14" s="64">
        <f>'User Input'!V15*U$10</f>
        <v>367.14075250406916</v>
      </c>
      <c r="V14" s="64">
        <f>'User Input'!W15*V$10</f>
        <v>374.26328310264807</v>
      </c>
      <c r="W14" s="64">
        <f>'User Input'!X15*W$10</f>
        <v>381.52399079483945</v>
      </c>
      <c r="X14" s="64">
        <f>'User Input'!Y15*X$10</f>
        <v>388.92555621625934</v>
      </c>
      <c r="Y14" s="64">
        <f>'User Input'!Z15*Y$10</f>
        <v>396.4707120068548</v>
      </c>
      <c r="Z14" s="64">
        <f>'User Input'!AA15*Z$10</f>
        <v>0</v>
      </c>
    </row>
    <row r="15" spans="2:26" ht="13.5" thickBot="1" x14ac:dyDescent="0.25">
      <c r="B15" s="13"/>
      <c r="C15" s="22" t="str">
        <f>'User Input'!D27</f>
        <v>Maintenance Costs</v>
      </c>
      <c r="D15" s="67">
        <f t="shared" si="5"/>
        <v>0</v>
      </c>
      <c r="E15" s="697">
        <v>0</v>
      </c>
      <c r="F15" s="64">
        <f>'User Input'!F27*F$10</f>
        <v>0</v>
      </c>
      <c r="G15" s="64">
        <f>'User Input'!G27*G$10</f>
        <v>0</v>
      </c>
      <c r="H15" s="64">
        <f>'User Input'!H27*H$10</f>
        <v>0</v>
      </c>
      <c r="I15" s="64">
        <f>'User Input'!I27*I$10</f>
        <v>0</v>
      </c>
      <c r="J15" s="64">
        <f>'User Input'!J27*J$10</f>
        <v>0</v>
      </c>
      <c r="K15" s="64">
        <f>'User Input'!K27*K$10</f>
        <v>0</v>
      </c>
      <c r="L15" s="64">
        <f>'User Input'!L27*L$10</f>
        <v>0</v>
      </c>
      <c r="M15" s="64">
        <f>'User Input'!M27*M$10</f>
        <v>0</v>
      </c>
      <c r="N15" s="64">
        <f>'User Input'!N27*N$10</f>
        <v>0</v>
      </c>
      <c r="O15" s="64">
        <f>'User Input'!O27*O$10</f>
        <v>0</v>
      </c>
      <c r="P15" s="64">
        <f>'User Input'!P27*P$10</f>
        <v>0</v>
      </c>
      <c r="Q15" s="64">
        <f>'User Input'!Q27*Q$10</f>
        <v>0</v>
      </c>
      <c r="R15" s="64">
        <f>'User Input'!R27*R$10</f>
        <v>0</v>
      </c>
      <c r="S15" s="64">
        <f>'User Input'!S27*S$10</f>
        <v>0</v>
      </c>
      <c r="T15" s="64">
        <f>'User Input'!T27*T$10</f>
        <v>0</v>
      </c>
      <c r="U15" s="64">
        <f>'User Input'!U27*U$10</f>
        <v>0</v>
      </c>
      <c r="V15" s="64">
        <f>'User Input'!V27*V$10</f>
        <v>0</v>
      </c>
      <c r="W15" s="64">
        <f>'User Input'!W27*W$10</f>
        <v>0</v>
      </c>
      <c r="X15" s="64">
        <f>'User Input'!X27*X$10</f>
        <v>0</v>
      </c>
      <c r="Y15" s="64">
        <f>'User Input'!Y27*Y$10</f>
        <v>0</v>
      </c>
      <c r="Z15" s="64">
        <f>'User Input'!Z27*Z$10</f>
        <v>0</v>
      </c>
    </row>
    <row r="16" spans="2:26" ht="13.5" thickBot="1" x14ac:dyDescent="0.25">
      <c r="B16" s="13"/>
      <c r="C16" s="137" t="str">
        <f>'User Input'!D29</f>
        <v>Negative Impact on Revenue (STPIS)</v>
      </c>
      <c r="D16" s="195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46"/>
      <c r="Z16" s="146"/>
    </row>
    <row r="17" spans="2:26" ht="13.5" thickBot="1" x14ac:dyDescent="0.25">
      <c r="B17" s="13"/>
      <c r="C17" s="136" t="s">
        <v>128</v>
      </c>
      <c r="D17" s="67">
        <f t="shared" si="5"/>
        <v>0</v>
      </c>
      <c r="E17" s="259">
        <v>0</v>
      </c>
      <c r="F17" s="259">
        <v>0</v>
      </c>
      <c r="G17" s="697">
        <v>0</v>
      </c>
      <c r="H17" s="64">
        <f>IF('User Input'!$I$8=1,'User Input'!F30*'Administrator Input'!$F$41*H10,0)</f>
        <v>0</v>
      </c>
      <c r="I17" s="64">
        <f>IF('User Input'!$I$8=1,'User Input'!G30*'Administrator Input'!$F$41*I10,0)</f>
        <v>0</v>
      </c>
      <c r="J17" s="64">
        <f>IF('User Input'!$I$8=1,'User Input'!H30*'Administrator Input'!$F$41*J10,0)</f>
        <v>0</v>
      </c>
      <c r="K17" s="64">
        <f>IF('User Input'!$I$8=1,'User Input'!I30*'Administrator Input'!$F$41*K10,0)</f>
        <v>0</v>
      </c>
      <c r="L17" s="64">
        <f>IF('User Input'!$I$8=1,'User Input'!J30*'Administrator Input'!$F$41*L10,0)</f>
        <v>0</v>
      </c>
      <c r="M17" s="64">
        <f>IF('User Input'!$I$8=1,'User Input'!K30*'Administrator Input'!$F$41*M10,0)</f>
        <v>0</v>
      </c>
      <c r="N17" s="64">
        <f>IF('User Input'!$I$8=1,'User Input'!L30*'Administrator Input'!$F$41*N10,0)</f>
        <v>0</v>
      </c>
      <c r="O17" s="64">
        <f>IF('User Input'!$I$8=1,'User Input'!M30*'Administrator Input'!$F$41*O10,0)</f>
        <v>0</v>
      </c>
      <c r="P17" s="64">
        <f>IF('User Input'!$I$8=1,'User Input'!N30*'Administrator Input'!$F$41*P10,0)</f>
        <v>0</v>
      </c>
      <c r="Q17" s="64">
        <f>IF('User Input'!$I$8=1,'User Input'!O30*'Administrator Input'!$F$41*Q10,0)</f>
        <v>0</v>
      </c>
      <c r="R17" s="64">
        <f>IF('User Input'!$I$8=1,'User Input'!P30*'Administrator Input'!$F$41*R10,0)</f>
        <v>0</v>
      </c>
      <c r="S17" s="64">
        <f>IF('User Input'!$I$8=1,'User Input'!Q30*'Administrator Input'!$F$41*S10,0)</f>
        <v>0</v>
      </c>
      <c r="T17" s="64">
        <f>IF('User Input'!$I$8=1,'User Input'!R30*'Administrator Input'!$F$41*T10,0)</f>
        <v>0</v>
      </c>
      <c r="U17" s="64">
        <f>IF('User Input'!$I$8=1,'User Input'!S30*'Administrator Input'!$F$41*U10,0)</f>
        <v>0</v>
      </c>
      <c r="V17" s="64">
        <f>IF('User Input'!$I$8=1,'User Input'!T30*'Administrator Input'!$F$41*V10,0)</f>
        <v>0</v>
      </c>
      <c r="W17" s="64">
        <f>IF('User Input'!$I$8=1,'User Input'!U30*'Administrator Input'!$F$41*W10,0)</f>
        <v>0</v>
      </c>
      <c r="X17" s="64">
        <f>IF('User Input'!$I$8=1,'User Input'!V30*'Administrator Input'!$F$41*X10,0)</f>
        <v>0</v>
      </c>
      <c r="Y17" s="64">
        <f>IF('User Input'!$I$8=1,'User Input'!W30*'Administrator Input'!$F$41*Y10,0)</f>
        <v>0</v>
      </c>
      <c r="Z17" s="64">
        <f>IF('User Input'!$I$8=1,'User Input'!X30*'Administrator Input'!$F$41*Z10,0)</f>
        <v>0</v>
      </c>
    </row>
    <row r="18" spans="2:26" ht="13.5" thickBot="1" x14ac:dyDescent="0.25">
      <c r="B18" s="13"/>
      <c r="C18" s="140" t="s">
        <v>129</v>
      </c>
      <c r="D18" s="67">
        <f t="shared" si="5"/>
        <v>0</v>
      </c>
      <c r="E18" s="259">
        <v>0</v>
      </c>
      <c r="F18" s="259">
        <v>0</v>
      </c>
      <c r="G18" s="697">
        <v>0</v>
      </c>
      <c r="H18" s="64">
        <f>IF('User Input'!$I$8=1,'User Input'!F31*'Administrator Input'!$F$42*H10,0)</f>
        <v>0</v>
      </c>
      <c r="I18" s="64">
        <f>IF('User Input'!$I$8=1,'User Input'!G31*'Administrator Input'!$F$42*I10,0)</f>
        <v>0</v>
      </c>
      <c r="J18" s="64">
        <f>IF('User Input'!$I$8=1,'User Input'!H31*'Administrator Input'!$F$42*J10,0)</f>
        <v>0</v>
      </c>
      <c r="K18" s="64">
        <f>IF('User Input'!$I$8=1,'User Input'!I31*'Administrator Input'!$F$42*K10,0)</f>
        <v>0</v>
      </c>
      <c r="L18" s="64">
        <f>IF('User Input'!$I$8=1,'User Input'!J31*'Administrator Input'!$F$42*L10,0)</f>
        <v>0</v>
      </c>
      <c r="M18" s="64">
        <f>IF('User Input'!$I$8=1,'User Input'!K31*'Administrator Input'!$F$42*M10,0)</f>
        <v>0</v>
      </c>
      <c r="N18" s="64">
        <f>IF('User Input'!$I$8=1,'User Input'!L31*'Administrator Input'!$F$42*N10,0)</f>
        <v>0</v>
      </c>
      <c r="O18" s="64">
        <f>IF('User Input'!$I$8=1,'User Input'!M31*'Administrator Input'!$F$42*O10,0)</f>
        <v>0</v>
      </c>
      <c r="P18" s="64">
        <f>IF('User Input'!$I$8=1,'User Input'!N31*'Administrator Input'!$F$42*P10,0)</f>
        <v>0</v>
      </c>
      <c r="Q18" s="64">
        <f>IF('User Input'!$I$8=1,'User Input'!O31*'Administrator Input'!$F$42*Q10,0)</f>
        <v>0</v>
      </c>
      <c r="R18" s="64">
        <f>IF('User Input'!$I$8=1,'User Input'!P31*'Administrator Input'!$F$42*R10,0)</f>
        <v>0</v>
      </c>
      <c r="S18" s="64">
        <f>IF('User Input'!$I$8=1,'User Input'!Q31*'Administrator Input'!$F$42*S10,0)</f>
        <v>0</v>
      </c>
      <c r="T18" s="64">
        <f>IF('User Input'!$I$8=1,'User Input'!R31*'Administrator Input'!$F$42*T10,0)</f>
        <v>0</v>
      </c>
      <c r="U18" s="64">
        <f>IF('User Input'!$I$8=1,'User Input'!S31*'Administrator Input'!$F$42*U10,0)</f>
        <v>0</v>
      </c>
      <c r="V18" s="64">
        <f>IF('User Input'!$I$8=1,'User Input'!T31*'Administrator Input'!$F$42*V10,0)</f>
        <v>0</v>
      </c>
      <c r="W18" s="64">
        <f>IF('User Input'!$I$8=1,'User Input'!U31*'Administrator Input'!$F$42*W10,0)</f>
        <v>0</v>
      </c>
      <c r="X18" s="64">
        <f>IF('User Input'!$I$8=1,'User Input'!V31*'Administrator Input'!$F$42*X10,0)</f>
        <v>0</v>
      </c>
      <c r="Y18" s="64">
        <f>IF('User Input'!$I$8=1,'User Input'!W31*'Administrator Input'!$F$42*Y10,0)</f>
        <v>0</v>
      </c>
      <c r="Z18" s="64">
        <f>IF('User Input'!$I$8=1,'User Input'!X31*'Administrator Input'!$F$42*Z10,0)</f>
        <v>0</v>
      </c>
    </row>
    <row r="19" spans="2:26" ht="13.5" thickBot="1" x14ac:dyDescent="0.25">
      <c r="B19" s="13"/>
      <c r="C19" s="140" t="s">
        <v>130</v>
      </c>
      <c r="D19" s="67">
        <f t="shared" si="5"/>
        <v>0</v>
      </c>
      <c r="E19" s="259">
        <v>0</v>
      </c>
      <c r="F19" s="259">
        <v>0</v>
      </c>
      <c r="G19" s="697">
        <v>0</v>
      </c>
      <c r="H19" s="64">
        <f>IF('User Input'!$I$8=1,'User Input'!F32*'Administrator Input'!$F$43*H10,0)</f>
        <v>0</v>
      </c>
      <c r="I19" s="64">
        <f>IF('User Input'!$I$8=1,'User Input'!G32*'Administrator Input'!$F$43*I10,0)</f>
        <v>0</v>
      </c>
      <c r="J19" s="64">
        <f>IF('User Input'!$I$8=1,'User Input'!H32*'Administrator Input'!$F$43*J10,0)</f>
        <v>0</v>
      </c>
      <c r="K19" s="64">
        <f>IF('User Input'!$I$8=1,'User Input'!I32*'Administrator Input'!$F$43*K10,0)</f>
        <v>0</v>
      </c>
      <c r="L19" s="64">
        <f>IF('User Input'!$I$8=1,'User Input'!J32*'Administrator Input'!$F$43*L10,0)</f>
        <v>0</v>
      </c>
      <c r="M19" s="64">
        <f>IF('User Input'!$I$8=1,'User Input'!K32*'Administrator Input'!$F$43*M10,0)</f>
        <v>0</v>
      </c>
      <c r="N19" s="64">
        <f>IF('User Input'!$I$8=1,'User Input'!L32*'Administrator Input'!$F$43*N10,0)</f>
        <v>0</v>
      </c>
      <c r="O19" s="64">
        <f>IF('User Input'!$I$8=1,'User Input'!M32*'Administrator Input'!$F$43*O10,0)</f>
        <v>0</v>
      </c>
      <c r="P19" s="64">
        <f>IF('User Input'!$I$8=1,'User Input'!N32*'Administrator Input'!$F$43*P10,0)</f>
        <v>0</v>
      </c>
      <c r="Q19" s="64">
        <f>IF('User Input'!$I$8=1,'User Input'!O32*'Administrator Input'!$F$43*Q10,0)</f>
        <v>0</v>
      </c>
      <c r="R19" s="64">
        <f>IF('User Input'!$I$8=1,'User Input'!P32*'Administrator Input'!$F$43*R10,0)</f>
        <v>0</v>
      </c>
      <c r="S19" s="64">
        <f>IF('User Input'!$I$8=1,'User Input'!Q32*'Administrator Input'!$F$43*S10,0)</f>
        <v>0</v>
      </c>
      <c r="T19" s="64">
        <f>IF('User Input'!$I$8=1,'User Input'!R32*'Administrator Input'!$F$43*T10,0)</f>
        <v>0</v>
      </c>
      <c r="U19" s="64">
        <f>IF('User Input'!$I$8=1,'User Input'!S32*'Administrator Input'!$F$43*U10,0)</f>
        <v>0</v>
      </c>
      <c r="V19" s="64">
        <f>IF('User Input'!$I$8=1,'User Input'!T32*'Administrator Input'!$F$43*V10,0)</f>
        <v>0</v>
      </c>
      <c r="W19" s="64">
        <f>IF('User Input'!$I$8=1,'User Input'!U32*'Administrator Input'!$F$43*W10,0)</f>
        <v>0</v>
      </c>
      <c r="X19" s="64">
        <f>IF('User Input'!$I$8=1,'User Input'!V32*'Administrator Input'!$F$43*X10,0)</f>
        <v>0</v>
      </c>
      <c r="Y19" s="64">
        <f>IF('User Input'!$I$8=1,'User Input'!W32*'Administrator Input'!$F$43*Y10,0)</f>
        <v>0</v>
      </c>
      <c r="Z19" s="64">
        <f>IF('User Input'!$I$8=1,'User Input'!X32*'Administrator Input'!$F$43*Z10,0)</f>
        <v>0</v>
      </c>
    </row>
    <row r="20" spans="2:26" ht="13.5" thickBot="1" x14ac:dyDescent="0.25">
      <c r="B20" s="13"/>
      <c r="C20" s="140" t="s">
        <v>131</v>
      </c>
      <c r="D20" s="67">
        <f t="shared" si="5"/>
        <v>0</v>
      </c>
      <c r="E20" s="259">
        <v>0</v>
      </c>
      <c r="F20" s="259">
        <v>0</v>
      </c>
      <c r="G20" s="697">
        <v>0</v>
      </c>
      <c r="H20" s="64">
        <f>IF('User Input'!$I$8=1,'User Input'!F33*'Administrator Input'!$F$44*H10,0)</f>
        <v>0</v>
      </c>
      <c r="I20" s="64">
        <f>IF('User Input'!$I$8=1,'User Input'!G33*'Administrator Input'!$F$44*I10,0)</f>
        <v>0</v>
      </c>
      <c r="J20" s="64">
        <f>IF('User Input'!$I$8=1,'User Input'!H33*'Administrator Input'!$F$44*J10,0)</f>
        <v>0</v>
      </c>
      <c r="K20" s="64">
        <f>IF('User Input'!$I$8=1,'User Input'!I33*'Administrator Input'!$F$44*K10,0)</f>
        <v>0</v>
      </c>
      <c r="L20" s="64">
        <f>IF('User Input'!$I$8=1,'User Input'!J33*'Administrator Input'!$F$44*L10,0)</f>
        <v>0</v>
      </c>
      <c r="M20" s="64">
        <f>IF('User Input'!$I$8=1,'User Input'!K33*'Administrator Input'!$F$44*M10,0)</f>
        <v>0</v>
      </c>
      <c r="N20" s="64">
        <f>IF('User Input'!$I$8=1,'User Input'!L33*'Administrator Input'!$F$44*N10,0)</f>
        <v>0</v>
      </c>
      <c r="O20" s="64">
        <f>IF('User Input'!$I$8=1,'User Input'!M33*'Administrator Input'!$F$44*O10,0)</f>
        <v>0</v>
      </c>
      <c r="P20" s="64">
        <f>IF('User Input'!$I$8=1,'User Input'!N33*'Administrator Input'!$F$44*P10,0)</f>
        <v>0</v>
      </c>
      <c r="Q20" s="64">
        <f>IF('User Input'!$I$8=1,'User Input'!O33*'Administrator Input'!$F$44*Q10,0)</f>
        <v>0</v>
      </c>
      <c r="R20" s="64">
        <f>IF('User Input'!$I$8=1,'User Input'!P33*'Administrator Input'!$F$44*R10,0)</f>
        <v>0</v>
      </c>
      <c r="S20" s="64">
        <f>IF('User Input'!$I$8=1,'User Input'!Q33*'Administrator Input'!$F$44*S10,0)</f>
        <v>0</v>
      </c>
      <c r="T20" s="64">
        <f>IF('User Input'!$I$8=1,'User Input'!R33*'Administrator Input'!$F$44*T10,0)</f>
        <v>0</v>
      </c>
      <c r="U20" s="64">
        <f>IF('User Input'!$I$8=1,'User Input'!S33*'Administrator Input'!$F$44*U10,0)</f>
        <v>0</v>
      </c>
      <c r="V20" s="64">
        <f>IF('User Input'!$I$8=1,'User Input'!T33*'Administrator Input'!$F$44*V10,0)</f>
        <v>0</v>
      </c>
      <c r="W20" s="64">
        <f>IF('User Input'!$I$8=1,'User Input'!U33*'Administrator Input'!$F$44*W10,0)</f>
        <v>0</v>
      </c>
      <c r="X20" s="64">
        <f>IF('User Input'!$I$8=1,'User Input'!V33*'Administrator Input'!$F$44*X10,0)</f>
        <v>0</v>
      </c>
      <c r="Y20" s="64">
        <f>IF('User Input'!$I$8=1,'User Input'!W33*'Administrator Input'!$F$44*Y10,0)</f>
        <v>0</v>
      </c>
      <c r="Z20" s="64">
        <f>IF('User Input'!$I$8=1,'User Input'!X33*'Administrator Input'!$F$44*Z10,0)</f>
        <v>0</v>
      </c>
    </row>
    <row r="21" spans="2:26" ht="13.5" thickBot="1" x14ac:dyDescent="0.25">
      <c r="B21" s="13"/>
      <c r="C21" s="137" t="str">
        <f>'User Input'!D35</f>
        <v>Network Outage Costs</v>
      </c>
      <c r="D21" s="67">
        <f t="shared" si="5"/>
        <v>0</v>
      </c>
      <c r="E21" s="697">
        <v>0</v>
      </c>
      <c r="F21" s="141">
        <f>'User Input'!F36*'Administrator Input'!$F$49*F10</f>
        <v>0</v>
      </c>
      <c r="G21" s="141">
        <f>'User Input'!G36*'Administrator Input'!$F$49*G10</f>
        <v>0</v>
      </c>
      <c r="H21" s="141">
        <f>'User Input'!H36*'Administrator Input'!$F$49*H10</f>
        <v>0</v>
      </c>
      <c r="I21" s="141">
        <f>'User Input'!I36*'Administrator Input'!$F$49*I10</f>
        <v>0</v>
      </c>
      <c r="J21" s="141">
        <f>'User Input'!J36*'Administrator Input'!$F$49*J10</f>
        <v>0</v>
      </c>
      <c r="K21" s="141">
        <f>'User Input'!K36*'Administrator Input'!$F$49*K10</f>
        <v>0</v>
      </c>
      <c r="L21" s="141">
        <f>'User Input'!L36*'Administrator Input'!$F$49*L10</f>
        <v>0</v>
      </c>
      <c r="M21" s="141">
        <f>'User Input'!M36*'Administrator Input'!$F$49*M10</f>
        <v>0</v>
      </c>
      <c r="N21" s="141">
        <f>'User Input'!N36*'Administrator Input'!$F$49*N10</f>
        <v>0</v>
      </c>
      <c r="O21" s="141">
        <f>'User Input'!O36*'Administrator Input'!$F$49*O10</f>
        <v>0</v>
      </c>
      <c r="P21" s="141">
        <f>'User Input'!P36*'Administrator Input'!$F$49*P10</f>
        <v>0</v>
      </c>
      <c r="Q21" s="141">
        <f>'User Input'!Q36*'Administrator Input'!$F$49*Q10</f>
        <v>0</v>
      </c>
      <c r="R21" s="141">
        <f>'User Input'!R36*'Administrator Input'!$F$49*R10</f>
        <v>0</v>
      </c>
      <c r="S21" s="141">
        <f>'User Input'!S36*'Administrator Input'!$F$49*S10</f>
        <v>0</v>
      </c>
      <c r="T21" s="141">
        <f>'User Input'!T36*'Administrator Input'!$F$49*T10</f>
        <v>0</v>
      </c>
      <c r="U21" s="141">
        <f>'User Input'!U36*'Administrator Input'!$F$49*U10</f>
        <v>0</v>
      </c>
      <c r="V21" s="141">
        <f>'User Input'!V36*'Administrator Input'!$F$49*V10</f>
        <v>0</v>
      </c>
      <c r="W21" s="141">
        <f>'User Input'!W36*'Administrator Input'!$F$49*W10</f>
        <v>0</v>
      </c>
      <c r="X21" s="141">
        <f>'User Input'!X36*'Administrator Input'!$F$49*X10</f>
        <v>0</v>
      </c>
      <c r="Y21" s="141">
        <f>'User Input'!Y36*'Administrator Input'!$F$49*Y10</f>
        <v>0</v>
      </c>
      <c r="Z21" s="141">
        <f>'User Input'!Z36*'Administrator Input'!$F$49*Z10</f>
        <v>0</v>
      </c>
    </row>
    <row r="22" spans="2:26" ht="13.5" thickBot="1" x14ac:dyDescent="0.25">
      <c r="B22" s="13"/>
      <c r="C22" s="137" t="str">
        <f>'User Input'!D39</f>
        <v>Loss of F Factor Benefit</v>
      </c>
      <c r="D22" s="67">
        <f t="shared" si="5"/>
        <v>0</v>
      </c>
      <c r="E22" s="697">
        <v>0</v>
      </c>
      <c r="F22" s="141">
        <f>'User Input'!F39*'Administrator Input'!$F$54</f>
        <v>0</v>
      </c>
      <c r="G22" s="141">
        <f>'User Input'!G39*'Administrator Input'!$F$54</f>
        <v>0</v>
      </c>
      <c r="H22" s="141">
        <f>'User Input'!H39*'Administrator Input'!$F$54</f>
        <v>0</v>
      </c>
      <c r="I22" s="141">
        <f>'User Input'!I39*'Administrator Input'!$F$54</f>
        <v>0</v>
      </c>
      <c r="J22" s="141">
        <f>'User Input'!J39*'Administrator Input'!$F$54</f>
        <v>0</v>
      </c>
      <c r="K22" s="141">
        <f>'User Input'!K39*'Administrator Input'!$F$54</f>
        <v>0</v>
      </c>
      <c r="L22" s="141">
        <f>'User Input'!L39*'Administrator Input'!$F$54</f>
        <v>0</v>
      </c>
      <c r="M22" s="141">
        <f>'User Input'!M39*'Administrator Input'!$F$54</f>
        <v>0</v>
      </c>
      <c r="N22" s="141">
        <f>'User Input'!N39*'Administrator Input'!$F$54</f>
        <v>0</v>
      </c>
      <c r="O22" s="141">
        <f>'User Input'!O39*'Administrator Input'!$F$54</f>
        <v>0</v>
      </c>
      <c r="P22" s="141">
        <f>'User Input'!P39*'Administrator Input'!$F$54</f>
        <v>0</v>
      </c>
      <c r="Q22" s="141">
        <f>'User Input'!Q39*'Administrator Input'!$F$54</f>
        <v>0</v>
      </c>
      <c r="R22" s="141">
        <f>'User Input'!R39*'Administrator Input'!$F$54</f>
        <v>0</v>
      </c>
      <c r="S22" s="141">
        <f>'User Input'!S39*'Administrator Input'!$F$54</f>
        <v>0</v>
      </c>
      <c r="T22" s="141">
        <f>'User Input'!T39*'Administrator Input'!$F$54</f>
        <v>0</v>
      </c>
      <c r="U22" s="141">
        <f>'User Input'!U39*'Administrator Input'!$F$54</f>
        <v>0</v>
      </c>
      <c r="V22" s="141">
        <f>'User Input'!V39*'Administrator Input'!$F$54</f>
        <v>0</v>
      </c>
      <c r="W22" s="141">
        <f>'User Input'!W39*'Administrator Input'!$F$54</f>
        <v>0</v>
      </c>
      <c r="X22" s="141">
        <f>'User Input'!X39*'Administrator Input'!$F$54</f>
        <v>0</v>
      </c>
      <c r="Y22" s="141">
        <f>'User Input'!Y39*'Administrator Input'!$F$54</f>
        <v>0</v>
      </c>
      <c r="Z22" s="141">
        <f>'User Input'!Z39*'Administrator Input'!$F$54</f>
        <v>0</v>
      </c>
    </row>
    <row r="23" spans="2:26" ht="13.5" thickBot="1" x14ac:dyDescent="0.25">
      <c r="B23" s="13"/>
      <c r="C23" s="22" t="str">
        <f>'User Input'!D42</f>
        <v>Cost 1</v>
      </c>
      <c r="D23" s="67">
        <f t="shared" si="5"/>
        <v>0</v>
      </c>
      <c r="E23" s="697">
        <v>0</v>
      </c>
      <c r="F23" s="64">
        <f>'User Input'!F42*F$10</f>
        <v>0</v>
      </c>
      <c r="G23" s="64">
        <f>'User Input'!G42*G$10</f>
        <v>0</v>
      </c>
      <c r="H23" s="64">
        <f>'User Input'!H42*H$10</f>
        <v>0</v>
      </c>
      <c r="I23" s="64">
        <f>'User Input'!I42*I$10</f>
        <v>0</v>
      </c>
      <c r="J23" s="64">
        <f>'User Input'!J42*J$10</f>
        <v>0</v>
      </c>
      <c r="K23" s="64">
        <f>'User Input'!K42*K$10</f>
        <v>0</v>
      </c>
      <c r="L23" s="64">
        <f>'User Input'!L42*L$10</f>
        <v>0</v>
      </c>
      <c r="M23" s="64">
        <f>'User Input'!M42*M$10</f>
        <v>0</v>
      </c>
      <c r="N23" s="64">
        <f>'User Input'!N42*N$10</f>
        <v>0</v>
      </c>
      <c r="O23" s="64">
        <f>'User Input'!O42*O$10</f>
        <v>0</v>
      </c>
      <c r="P23" s="64">
        <f>'User Input'!P42*P$10</f>
        <v>0</v>
      </c>
      <c r="Q23" s="64">
        <f>'User Input'!Q42*Q$10</f>
        <v>0</v>
      </c>
      <c r="R23" s="64">
        <f>'User Input'!R42*R$10</f>
        <v>0</v>
      </c>
      <c r="S23" s="64">
        <f>'User Input'!S42*S$10</f>
        <v>0</v>
      </c>
      <c r="T23" s="64">
        <f>'User Input'!T42*T$10</f>
        <v>0</v>
      </c>
      <c r="U23" s="64">
        <f>'User Input'!U42*U$10</f>
        <v>0</v>
      </c>
      <c r="V23" s="64">
        <f>'User Input'!V42*V$10</f>
        <v>0</v>
      </c>
      <c r="W23" s="64">
        <f>'User Input'!W42*W$10</f>
        <v>0</v>
      </c>
      <c r="X23" s="64">
        <f>'User Input'!X42*X$10</f>
        <v>0</v>
      </c>
      <c r="Y23" s="64">
        <f>'User Input'!Y42*Y$10</f>
        <v>0</v>
      </c>
      <c r="Z23" s="64">
        <f>'User Input'!Z42*Z$10</f>
        <v>0</v>
      </c>
    </row>
    <row r="24" spans="2:26" ht="13.5" thickBot="1" x14ac:dyDescent="0.25">
      <c r="B24" s="13"/>
      <c r="C24" s="22" t="str">
        <f>'User Input'!D43</f>
        <v>Cost 2</v>
      </c>
      <c r="D24" s="67">
        <f t="shared" si="5"/>
        <v>0</v>
      </c>
      <c r="E24" s="697">
        <v>0</v>
      </c>
      <c r="F24" s="64">
        <f>'User Input'!F43*F$10</f>
        <v>0</v>
      </c>
      <c r="G24" s="64">
        <f>'User Input'!G43*G$10</f>
        <v>0</v>
      </c>
      <c r="H24" s="64">
        <f>'User Input'!H43*H$10</f>
        <v>0</v>
      </c>
      <c r="I24" s="64">
        <f>'User Input'!I43*I$10</f>
        <v>0</v>
      </c>
      <c r="J24" s="64">
        <f>'User Input'!J43*J$10</f>
        <v>0</v>
      </c>
      <c r="K24" s="64">
        <f>'User Input'!K43*K$10</f>
        <v>0</v>
      </c>
      <c r="L24" s="64">
        <f>'User Input'!L43*L$10</f>
        <v>0</v>
      </c>
      <c r="M24" s="64">
        <f>'User Input'!M43*M$10</f>
        <v>0</v>
      </c>
      <c r="N24" s="64">
        <f>'User Input'!N43*N$10</f>
        <v>0</v>
      </c>
      <c r="O24" s="64">
        <f>'User Input'!O43*O$10</f>
        <v>0</v>
      </c>
      <c r="P24" s="64">
        <f>'User Input'!P43*P$10</f>
        <v>0</v>
      </c>
      <c r="Q24" s="64">
        <f>'User Input'!Q43*Q$10</f>
        <v>0</v>
      </c>
      <c r="R24" s="64">
        <f>'User Input'!R43*R$10</f>
        <v>0</v>
      </c>
      <c r="S24" s="64">
        <f>'User Input'!S43*S$10</f>
        <v>0</v>
      </c>
      <c r="T24" s="64">
        <f>'User Input'!T43*T$10</f>
        <v>0</v>
      </c>
      <c r="U24" s="64">
        <f>'User Input'!U43*U$10</f>
        <v>0</v>
      </c>
      <c r="V24" s="64">
        <f>'User Input'!V43*V$10</f>
        <v>0</v>
      </c>
      <c r="W24" s="64">
        <f>'User Input'!W43*W$10</f>
        <v>0</v>
      </c>
      <c r="X24" s="64">
        <f>'User Input'!X43*X$10</f>
        <v>0</v>
      </c>
      <c r="Y24" s="64">
        <f>'User Input'!Y43*Y$10</f>
        <v>0</v>
      </c>
      <c r="Z24" s="64">
        <f>'User Input'!Z43*Z$10</f>
        <v>0</v>
      </c>
    </row>
    <row r="25" spans="2:26" ht="13.5" thickBot="1" x14ac:dyDescent="0.25">
      <c r="B25" s="13"/>
      <c r="C25" s="22" t="str">
        <f>'User Input'!D44</f>
        <v>Cost 3</v>
      </c>
      <c r="D25" s="67">
        <f t="shared" si="5"/>
        <v>0</v>
      </c>
      <c r="E25" s="697">
        <v>0</v>
      </c>
      <c r="F25" s="64">
        <f>'User Input'!F44*F$10</f>
        <v>0</v>
      </c>
      <c r="G25" s="64">
        <f>'User Input'!G44*G$10</f>
        <v>0</v>
      </c>
      <c r="H25" s="64">
        <f>'User Input'!H44*H$10</f>
        <v>0</v>
      </c>
      <c r="I25" s="64">
        <f>'User Input'!I44*I$10</f>
        <v>0</v>
      </c>
      <c r="J25" s="64">
        <f>'User Input'!J44*J$10</f>
        <v>0</v>
      </c>
      <c r="K25" s="64">
        <f>'User Input'!K44*K$10</f>
        <v>0</v>
      </c>
      <c r="L25" s="64">
        <f>'User Input'!L44*L$10</f>
        <v>0</v>
      </c>
      <c r="M25" s="64">
        <f>'User Input'!M44*M$10</f>
        <v>0</v>
      </c>
      <c r="N25" s="64">
        <f>'User Input'!N44*N$10</f>
        <v>0</v>
      </c>
      <c r="O25" s="64">
        <f>'User Input'!O44*O$10</f>
        <v>0</v>
      </c>
      <c r="P25" s="64">
        <f>'User Input'!P44*P$10</f>
        <v>0</v>
      </c>
      <c r="Q25" s="64">
        <f>'User Input'!Q44*Q$10</f>
        <v>0</v>
      </c>
      <c r="R25" s="64">
        <f>'User Input'!R44*R$10</f>
        <v>0</v>
      </c>
      <c r="S25" s="64">
        <f>'User Input'!S44*S$10</f>
        <v>0</v>
      </c>
      <c r="T25" s="64">
        <f>'User Input'!T44*T$10</f>
        <v>0</v>
      </c>
      <c r="U25" s="64">
        <f>'User Input'!U44*U$10</f>
        <v>0</v>
      </c>
      <c r="V25" s="64">
        <f>'User Input'!V44*V$10</f>
        <v>0</v>
      </c>
      <c r="W25" s="64">
        <f>'User Input'!W44*W$10</f>
        <v>0</v>
      </c>
      <c r="X25" s="64">
        <f>'User Input'!X44*X$10</f>
        <v>0</v>
      </c>
      <c r="Y25" s="64">
        <f>'User Input'!Y44*Y$10</f>
        <v>0</v>
      </c>
      <c r="Z25" s="64">
        <f>'User Input'!Z44*Z$10</f>
        <v>0</v>
      </c>
    </row>
    <row r="26" spans="2:26" ht="13.5" thickBot="1" x14ac:dyDescent="0.25">
      <c r="B26" s="13"/>
      <c r="C26" s="22" t="str">
        <f>'User Input'!D45</f>
        <v>Cost 4</v>
      </c>
      <c r="D26" s="67">
        <f t="shared" si="5"/>
        <v>0</v>
      </c>
      <c r="E26" s="697">
        <v>0</v>
      </c>
      <c r="F26" s="64">
        <f>'User Input'!F45*F$10</f>
        <v>0</v>
      </c>
      <c r="G26" s="64">
        <f>'User Input'!G45*G$10</f>
        <v>0</v>
      </c>
      <c r="H26" s="64">
        <f>'User Input'!H45*H$10</f>
        <v>0</v>
      </c>
      <c r="I26" s="64">
        <f>'User Input'!I45*I$10</f>
        <v>0</v>
      </c>
      <c r="J26" s="64">
        <f>'User Input'!J45*J$10</f>
        <v>0</v>
      </c>
      <c r="K26" s="64">
        <f>'User Input'!K45*K$10</f>
        <v>0</v>
      </c>
      <c r="L26" s="64">
        <f>'User Input'!L45*L$10</f>
        <v>0</v>
      </c>
      <c r="M26" s="64">
        <f>'User Input'!M45*M$10</f>
        <v>0</v>
      </c>
      <c r="N26" s="64">
        <f>'User Input'!N45*N$10</f>
        <v>0</v>
      </c>
      <c r="O26" s="64">
        <f>'User Input'!O45*O$10</f>
        <v>0</v>
      </c>
      <c r="P26" s="64">
        <f>'User Input'!P45*P$10</f>
        <v>0</v>
      </c>
      <c r="Q26" s="64">
        <f>'User Input'!Q45*Q$10</f>
        <v>0</v>
      </c>
      <c r="R26" s="64">
        <f>'User Input'!R45*R$10</f>
        <v>0</v>
      </c>
      <c r="S26" s="64">
        <f>'User Input'!S45*S$10</f>
        <v>0</v>
      </c>
      <c r="T26" s="64">
        <f>'User Input'!T45*T$10</f>
        <v>0</v>
      </c>
      <c r="U26" s="64">
        <f>'User Input'!U45*U$10</f>
        <v>0</v>
      </c>
      <c r="V26" s="64">
        <f>'User Input'!V45*V$10</f>
        <v>0</v>
      </c>
      <c r="W26" s="64">
        <f>'User Input'!W45*W$10</f>
        <v>0</v>
      </c>
      <c r="X26" s="64">
        <f>'User Input'!X45*X$10</f>
        <v>0</v>
      </c>
      <c r="Y26" s="64">
        <f>'User Input'!Y45*Y$10</f>
        <v>0</v>
      </c>
      <c r="Z26" s="64">
        <f>'User Input'!Z45*Z$10</f>
        <v>0</v>
      </c>
    </row>
    <row r="27" spans="2:26" ht="13.5" thickBot="1" x14ac:dyDescent="0.25">
      <c r="B27" s="13"/>
      <c r="C27" s="22" t="str">
        <f>'User Input'!D46</f>
        <v>Cost 5</v>
      </c>
      <c r="D27" s="67">
        <f t="shared" si="5"/>
        <v>0</v>
      </c>
      <c r="E27" s="697">
        <v>0</v>
      </c>
      <c r="F27" s="64">
        <f>'User Input'!F46*F$10</f>
        <v>0</v>
      </c>
      <c r="G27" s="64">
        <f>'User Input'!G46*G$10</f>
        <v>0</v>
      </c>
      <c r="H27" s="64">
        <f>'User Input'!H46*H$10</f>
        <v>0</v>
      </c>
      <c r="I27" s="64">
        <f>'User Input'!I46*I$10</f>
        <v>0</v>
      </c>
      <c r="J27" s="64">
        <f>'User Input'!J46*J$10</f>
        <v>0</v>
      </c>
      <c r="K27" s="64">
        <f>'User Input'!K46*K$10</f>
        <v>0</v>
      </c>
      <c r="L27" s="64">
        <f>'User Input'!L46*L$10</f>
        <v>0</v>
      </c>
      <c r="M27" s="64">
        <f>'User Input'!M46*M$10</f>
        <v>0</v>
      </c>
      <c r="N27" s="64">
        <f>'User Input'!N46*N$10</f>
        <v>0</v>
      </c>
      <c r="O27" s="64">
        <f>'User Input'!O46*O$10</f>
        <v>0</v>
      </c>
      <c r="P27" s="64">
        <f>'User Input'!P46*P$10</f>
        <v>0</v>
      </c>
      <c r="Q27" s="64">
        <f>'User Input'!Q46*Q$10</f>
        <v>0</v>
      </c>
      <c r="R27" s="64">
        <f>'User Input'!R46*R$10</f>
        <v>0</v>
      </c>
      <c r="S27" s="64">
        <f>'User Input'!S46*S$10</f>
        <v>0</v>
      </c>
      <c r="T27" s="64">
        <f>'User Input'!T46*T$10</f>
        <v>0</v>
      </c>
      <c r="U27" s="64">
        <f>'User Input'!U46*U$10</f>
        <v>0</v>
      </c>
      <c r="V27" s="64">
        <f>'User Input'!V46*V$10</f>
        <v>0</v>
      </c>
      <c r="W27" s="64">
        <f>'User Input'!W46*W$10</f>
        <v>0</v>
      </c>
      <c r="X27" s="64">
        <f>'User Input'!X46*X$10</f>
        <v>0</v>
      </c>
      <c r="Y27" s="64">
        <f>'User Input'!Y46*Y$10</f>
        <v>0</v>
      </c>
      <c r="Z27" s="64">
        <f>'User Input'!Z46*Z$10</f>
        <v>0</v>
      </c>
    </row>
    <row r="28" spans="2:26" ht="13.5" thickBot="1" x14ac:dyDescent="0.25">
      <c r="B28" s="13"/>
      <c r="C28" s="22" t="str">
        <f>'User Input'!D47</f>
        <v>Risk 1</v>
      </c>
      <c r="D28" s="67">
        <f t="shared" si="5"/>
        <v>0</v>
      </c>
      <c r="E28" s="697">
        <v>0</v>
      </c>
      <c r="F28" s="64">
        <f>'User Input'!F47*F$10</f>
        <v>0</v>
      </c>
      <c r="G28" s="64">
        <f>'User Input'!G47*G$10</f>
        <v>0</v>
      </c>
      <c r="H28" s="64">
        <f>'User Input'!H47*H$10</f>
        <v>0</v>
      </c>
      <c r="I28" s="64">
        <f>'User Input'!I47*I$10</f>
        <v>0</v>
      </c>
      <c r="J28" s="64">
        <f>'User Input'!J47*J$10</f>
        <v>0</v>
      </c>
      <c r="K28" s="64">
        <f>'User Input'!K47*K$10</f>
        <v>0</v>
      </c>
      <c r="L28" s="64">
        <f>'User Input'!L47*L$10</f>
        <v>0</v>
      </c>
      <c r="M28" s="64">
        <f>'User Input'!M47*M$10</f>
        <v>0</v>
      </c>
      <c r="N28" s="64">
        <f>'User Input'!N47*N$10</f>
        <v>0</v>
      </c>
      <c r="O28" s="64">
        <f>'User Input'!O47*O$10</f>
        <v>0</v>
      </c>
      <c r="P28" s="64">
        <f>'User Input'!P47*P$10</f>
        <v>0</v>
      </c>
      <c r="Q28" s="64">
        <f>'User Input'!Q47*Q$10</f>
        <v>0</v>
      </c>
      <c r="R28" s="64">
        <f>'User Input'!R47*R$10</f>
        <v>0</v>
      </c>
      <c r="S28" s="64">
        <f>'User Input'!S47*S$10</f>
        <v>0</v>
      </c>
      <c r="T28" s="64">
        <f>'User Input'!T47*T$10</f>
        <v>0</v>
      </c>
      <c r="U28" s="64">
        <f>'User Input'!U47*U$10</f>
        <v>0</v>
      </c>
      <c r="V28" s="64">
        <f>'User Input'!V47*V$10</f>
        <v>0</v>
      </c>
      <c r="W28" s="64">
        <f>'User Input'!W47*W$10</f>
        <v>0</v>
      </c>
      <c r="X28" s="64">
        <f>'User Input'!X47*X$10</f>
        <v>0</v>
      </c>
      <c r="Y28" s="64">
        <f>'User Input'!Y47*Y$10</f>
        <v>0</v>
      </c>
      <c r="Z28" s="64">
        <f>'User Input'!Z47*Z$10</f>
        <v>0</v>
      </c>
    </row>
    <row r="29" spans="2:26" ht="13.5" thickBot="1" x14ac:dyDescent="0.25">
      <c r="B29" s="13"/>
      <c r="C29" s="22" t="str">
        <f>'User Input'!D48</f>
        <v>Risk 2</v>
      </c>
      <c r="D29" s="67">
        <f t="shared" si="5"/>
        <v>0</v>
      </c>
      <c r="E29" s="697">
        <v>0</v>
      </c>
      <c r="F29" s="64">
        <f>'User Input'!F48*F$10</f>
        <v>0</v>
      </c>
      <c r="G29" s="64">
        <f>'User Input'!G48*G$10</f>
        <v>0</v>
      </c>
      <c r="H29" s="64">
        <f>'User Input'!H48*H$10</f>
        <v>0</v>
      </c>
      <c r="I29" s="64">
        <f>'User Input'!I48*I$10</f>
        <v>0</v>
      </c>
      <c r="J29" s="64">
        <f>'User Input'!J48*J$10</f>
        <v>0</v>
      </c>
      <c r="K29" s="64">
        <f>'User Input'!K48*K$10</f>
        <v>0</v>
      </c>
      <c r="L29" s="64">
        <f>'User Input'!L48*L$10</f>
        <v>0</v>
      </c>
      <c r="M29" s="64">
        <f>'User Input'!M48*M$10</f>
        <v>0</v>
      </c>
      <c r="N29" s="64">
        <f>'User Input'!N48*N$10</f>
        <v>0</v>
      </c>
      <c r="O29" s="64">
        <f>'User Input'!O48*O$10</f>
        <v>0</v>
      </c>
      <c r="P29" s="64">
        <f>'User Input'!P48*P$10</f>
        <v>0</v>
      </c>
      <c r="Q29" s="64">
        <f>'User Input'!Q48*Q$10</f>
        <v>0</v>
      </c>
      <c r="R29" s="64">
        <f>'User Input'!R48*R$10</f>
        <v>0</v>
      </c>
      <c r="S29" s="64">
        <f>'User Input'!S48*S$10</f>
        <v>0</v>
      </c>
      <c r="T29" s="64">
        <f>'User Input'!T48*T$10</f>
        <v>0</v>
      </c>
      <c r="U29" s="64">
        <f>'User Input'!U48*U$10</f>
        <v>0</v>
      </c>
      <c r="V29" s="64">
        <f>'User Input'!V48*V$10</f>
        <v>0</v>
      </c>
      <c r="W29" s="64">
        <f>'User Input'!W48*W$10</f>
        <v>0</v>
      </c>
      <c r="X29" s="64">
        <f>'User Input'!X48*X$10</f>
        <v>0</v>
      </c>
      <c r="Y29" s="64">
        <f>'User Input'!Y48*Y$10</f>
        <v>0</v>
      </c>
      <c r="Z29" s="64">
        <f>'User Input'!Z48*Z$10</f>
        <v>0</v>
      </c>
    </row>
    <row r="30" spans="2:26" ht="13.5" thickBot="1" x14ac:dyDescent="0.25">
      <c r="B30" s="13"/>
      <c r="C30" s="22" t="str">
        <f>'User Input'!D49</f>
        <v>Risk 3</v>
      </c>
      <c r="D30" s="67">
        <f t="shared" si="5"/>
        <v>0</v>
      </c>
      <c r="E30" s="697">
        <v>0</v>
      </c>
      <c r="F30" s="64">
        <f>'User Input'!F49*F$10</f>
        <v>0</v>
      </c>
      <c r="G30" s="64">
        <f>'User Input'!G49*G$10</f>
        <v>0</v>
      </c>
      <c r="H30" s="64">
        <f>'User Input'!H49*H$10</f>
        <v>0</v>
      </c>
      <c r="I30" s="64">
        <f>'User Input'!I49*I$10</f>
        <v>0</v>
      </c>
      <c r="J30" s="64">
        <f>'User Input'!J49*J$10</f>
        <v>0</v>
      </c>
      <c r="K30" s="64">
        <f>'User Input'!K49*K$10</f>
        <v>0</v>
      </c>
      <c r="L30" s="64">
        <f>'User Input'!L49*L$10</f>
        <v>0</v>
      </c>
      <c r="M30" s="64">
        <f>'User Input'!M49*M$10</f>
        <v>0</v>
      </c>
      <c r="N30" s="64">
        <f>'User Input'!N49*N$10</f>
        <v>0</v>
      </c>
      <c r="O30" s="64">
        <f>'User Input'!O49*O$10</f>
        <v>0</v>
      </c>
      <c r="P30" s="64">
        <f>'User Input'!P49*P$10</f>
        <v>0</v>
      </c>
      <c r="Q30" s="64">
        <f>'User Input'!Q49*Q$10</f>
        <v>0</v>
      </c>
      <c r="R30" s="64">
        <f>'User Input'!R49*R$10</f>
        <v>0</v>
      </c>
      <c r="S30" s="64">
        <f>'User Input'!S49*S$10</f>
        <v>0</v>
      </c>
      <c r="T30" s="64">
        <f>'User Input'!T49*T$10</f>
        <v>0</v>
      </c>
      <c r="U30" s="64">
        <f>'User Input'!U49*U$10</f>
        <v>0</v>
      </c>
      <c r="V30" s="64">
        <f>'User Input'!V49*V$10</f>
        <v>0</v>
      </c>
      <c r="W30" s="64">
        <f>'User Input'!W49*W$10</f>
        <v>0</v>
      </c>
      <c r="X30" s="64">
        <f>'User Input'!X49*X$10</f>
        <v>0</v>
      </c>
      <c r="Y30" s="64">
        <f>'User Input'!Y49*Y$10</f>
        <v>0</v>
      </c>
      <c r="Z30" s="64">
        <f>'User Input'!Z49*Z$10</f>
        <v>0</v>
      </c>
    </row>
    <row r="31" spans="2:26" ht="13.5" thickBot="1" x14ac:dyDescent="0.25">
      <c r="B31" s="13"/>
      <c r="C31" s="22" t="str">
        <f>'User Input'!D50</f>
        <v>Risk 4</v>
      </c>
      <c r="D31" s="67">
        <f t="shared" si="5"/>
        <v>0</v>
      </c>
      <c r="E31" s="697">
        <v>0</v>
      </c>
      <c r="F31" s="64">
        <f>'User Input'!F50*F$10</f>
        <v>0</v>
      </c>
      <c r="G31" s="64">
        <f>'User Input'!G50*G$10</f>
        <v>0</v>
      </c>
      <c r="H31" s="64">
        <f>'User Input'!H50*H$10</f>
        <v>0</v>
      </c>
      <c r="I31" s="64">
        <f>'User Input'!I50*I$10</f>
        <v>0</v>
      </c>
      <c r="J31" s="64">
        <f>'User Input'!J50*J$10</f>
        <v>0</v>
      </c>
      <c r="K31" s="64">
        <f>'User Input'!K50*K$10</f>
        <v>0</v>
      </c>
      <c r="L31" s="64">
        <f>'User Input'!L50*L$10</f>
        <v>0</v>
      </c>
      <c r="M31" s="64">
        <f>'User Input'!M50*M$10</f>
        <v>0</v>
      </c>
      <c r="N31" s="64">
        <f>'User Input'!N50*N$10</f>
        <v>0</v>
      </c>
      <c r="O31" s="64">
        <f>'User Input'!O50*O$10</f>
        <v>0</v>
      </c>
      <c r="P31" s="64">
        <f>'User Input'!P50*P$10</f>
        <v>0</v>
      </c>
      <c r="Q31" s="64">
        <f>'User Input'!Q50*Q$10</f>
        <v>0</v>
      </c>
      <c r="R31" s="64">
        <f>'User Input'!R50*R$10</f>
        <v>0</v>
      </c>
      <c r="S31" s="64">
        <f>'User Input'!S50*S$10</f>
        <v>0</v>
      </c>
      <c r="T31" s="64">
        <f>'User Input'!T50*T$10</f>
        <v>0</v>
      </c>
      <c r="U31" s="64">
        <f>'User Input'!U50*U$10</f>
        <v>0</v>
      </c>
      <c r="V31" s="64">
        <f>'User Input'!V50*V$10</f>
        <v>0</v>
      </c>
      <c r="W31" s="64">
        <f>'User Input'!W50*W$10</f>
        <v>0</v>
      </c>
      <c r="X31" s="64">
        <f>'User Input'!X50*X$10</f>
        <v>0</v>
      </c>
      <c r="Y31" s="64">
        <f>'User Input'!Y50*Y$10</f>
        <v>0</v>
      </c>
      <c r="Z31" s="64">
        <f>'User Input'!Z50*Z$10</f>
        <v>0</v>
      </c>
    </row>
    <row r="32" spans="2:26" ht="13.5" thickBot="1" x14ac:dyDescent="0.25">
      <c r="B32" s="13"/>
      <c r="C32" s="22" t="str">
        <f>'User Input'!D51</f>
        <v>Risk 5</v>
      </c>
      <c r="D32" s="67">
        <f t="shared" si="5"/>
        <v>0</v>
      </c>
      <c r="E32" s="697">
        <v>0</v>
      </c>
      <c r="F32" s="64">
        <f>'User Input'!F51*F$10</f>
        <v>0</v>
      </c>
      <c r="G32" s="64">
        <f>'User Input'!G51*G$10</f>
        <v>0</v>
      </c>
      <c r="H32" s="64">
        <f>'User Input'!H51*H$10</f>
        <v>0</v>
      </c>
      <c r="I32" s="64">
        <f>'User Input'!I51*I$10</f>
        <v>0</v>
      </c>
      <c r="J32" s="64">
        <f>'User Input'!J51*J$10</f>
        <v>0</v>
      </c>
      <c r="K32" s="64">
        <f>'User Input'!K51*K$10</f>
        <v>0</v>
      </c>
      <c r="L32" s="64">
        <f>'User Input'!L51*L$10</f>
        <v>0</v>
      </c>
      <c r="M32" s="64">
        <f>'User Input'!M51*M$10</f>
        <v>0</v>
      </c>
      <c r="N32" s="64">
        <f>'User Input'!N51*N$10</f>
        <v>0</v>
      </c>
      <c r="O32" s="64">
        <f>'User Input'!O51*O$10</f>
        <v>0</v>
      </c>
      <c r="P32" s="64">
        <f>'User Input'!P51*P$10</f>
        <v>0</v>
      </c>
      <c r="Q32" s="64">
        <f>'User Input'!Q51*Q$10</f>
        <v>0</v>
      </c>
      <c r="R32" s="64">
        <f>'User Input'!R51*R$10</f>
        <v>0</v>
      </c>
      <c r="S32" s="64">
        <f>'User Input'!S51*S$10</f>
        <v>0</v>
      </c>
      <c r="T32" s="64">
        <f>'User Input'!T51*T$10</f>
        <v>0</v>
      </c>
      <c r="U32" s="64">
        <f>'User Input'!U51*U$10</f>
        <v>0</v>
      </c>
      <c r="V32" s="64">
        <f>'User Input'!V51*V$10</f>
        <v>0</v>
      </c>
      <c r="W32" s="64">
        <f>'User Input'!W51*W$10</f>
        <v>0</v>
      </c>
      <c r="X32" s="64">
        <f>'User Input'!X51*X$10</f>
        <v>0</v>
      </c>
      <c r="Y32" s="64">
        <f>'User Input'!Y51*Y$10</f>
        <v>0</v>
      </c>
      <c r="Z32" s="64">
        <f>'User Input'!Z51*Z$10</f>
        <v>0</v>
      </c>
    </row>
    <row r="33" spans="1:26" ht="13.5" thickBot="1" x14ac:dyDescent="0.25">
      <c r="B33" s="13"/>
      <c r="C33" s="53" t="s">
        <v>2</v>
      </c>
      <c r="D33" s="67">
        <f>SUM(E33:Y33)</f>
        <v>6509.4526856466355</v>
      </c>
      <c r="E33" s="65">
        <f>SUM(E14:E32)</f>
        <v>0</v>
      </c>
      <c r="F33" s="66">
        <f t="shared" ref="F33:Y33" si="6">SUM(F14:F32)</f>
        <v>137.60466560277465</v>
      </c>
      <c r="G33" s="66">
        <f t="shared" si="6"/>
        <v>280.548392230937</v>
      </c>
      <c r="H33" s="66">
        <f t="shared" si="6"/>
        <v>285.99103104021719</v>
      </c>
      <c r="I33" s="66">
        <f t="shared" si="6"/>
        <v>291.53925704239737</v>
      </c>
      <c r="J33" s="66">
        <f>SUM(J14:J32)</f>
        <v>297.19511862901987</v>
      </c>
      <c r="K33" s="66">
        <f t="shared" si="6"/>
        <v>302.96070393042282</v>
      </c>
      <c r="L33" s="66">
        <f t="shared" si="6"/>
        <v>308.83814158667303</v>
      </c>
      <c r="M33" s="66">
        <f t="shared" si="6"/>
        <v>314.82960153345454</v>
      </c>
      <c r="N33" s="66">
        <f t="shared" si="6"/>
        <v>320.93729580320354</v>
      </c>
      <c r="O33" s="66">
        <f t="shared" si="6"/>
        <v>327.16347934178572</v>
      </c>
      <c r="P33" s="66">
        <f t="shared" si="6"/>
        <v>333.51045084101634</v>
      </c>
      <c r="Q33" s="66">
        <f t="shared" si="6"/>
        <v>339.98055358733205</v>
      </c>
      <c r="R33" s="66">
        <f t="shared" si="6"/>
        <v>346.57617632692626</v>
      </c>
      <c r="S33" s="66">
        <f t="shared" si="6"/>
        <v>353.29975414766864</v>
      </c>
      <c r="T33" s="66">
        <f t="shared" si="6"/>
        <v>360.15376937813335</v>
      </c>
      <c r="U33" s="66">
        <f t="shared" si="6"/>
        <v>367.14075250406916</v>
      </c>
      <c r="V33" s="66">
        <f t="shared" si="6"/>
        <v>374.26328310264807</v>
      </c>
      <c r="W33" s="66">
        <f t="shared" si="6"/>
        <v>381.52399079483945</v>
      </c>
      <c r="X33" s="66">
        <f t="shared" si="6"/>
        <v>388.92555621625934</v>
      </c>
      <c r="Y33" s="148">
        <f t="shared" si="6"/>
        <v>396.4707120068548</v>
      </c>
      <c r="Z33" s="148">
        <f t="shared" ref="Z33" si="7">SUM(Z14:Z32)</f>
        <v>0</v>
      </c>
    </row>
    <row r="34" spans="1:26" ht="13.5" thickBot="1" x14ac:dyDescent="0.25">
      <c r="B34" s="13"/>
      <c r="C34" s="54" t="s">
        <v>50</v>
      </c>
      <c r="D34" s="67">
        <f>SUM(E34:Y34)</f>
        <v>2025.0964560491279</v>
      </c>
      <c r="E34" s="77">
        <f>+E33/E$9</f>
        <v>0</v>
      </c>
      <c r="F34" s="77">
        <f t="shared" ref="F34:Z34" si="8">+F33/F$9</f>
        <v>90.799785792223034</v>
      </c>
      <c r="G34" s="77">
        <f t="shared" si="8"/>
        <v>170.35299831893289</v>
      </c>
      <c r="H34" s="77">
        <f t="shared" si="8"/>
        <v>159.80293225942779</v>
      </c>
      <c r="I34" s="77">
        <f t="shared" si="8"/>
        <v>149.90623828587528</v>
      </c>
      <c r="J34" s="77">
        <f t="shared" si="8"/>
        <v>140.62245266275997</v>
      </c>
      <c r="K34" s="77">
        <f t="shared" si="8"/>
        <v>131.91361759861738</v>
      </c>
      <c r="L34" s="77">
        <f t="shared" si="8"/>
        <v>123.74412605137623</v>
      </c>
      <c r="M34" s="77">
        <f t="shared" si="8"/>
        <v>116.08057614500132</v>
      </c>
      <c r="N34" s="77">
        <f t="shared" si="8"/>
        <v>108.89163460220333</v>
      </c>
      <c r="O34" s="77">
        <f t="shared" si="8"/>
        <v>102.14790863484502</v>
      </c>
      <c r="P34" s="77">
        <f t="shared" si="8"/>
        <v>95.821825768253404</v>
      </c>
      <c r="Q34" s="77">
        <f t="shared" si="8"/>
        <v>89.887521108086446</v>
      </c>
      <c r="R34" s="77">
        <f t="shared" si="8"/>
        <v>84.320731588831606</v>
      </c>
      <c r="S34" s="77">
        <f t="shared" si="8"/>
        <v>79.09869677156064</v>
      </c>
      <c r="T34" s="77">
        <f t="shared" si="8"/>
        <v>74.20006578533993</v>
      </c>
      <c r="U34" s="77">
        <f t="shared" si="8"/>
        <v>69.604810031816982</v>
      </c>
      <c r="V34" s="77">
        <f t="shared" si="8"/>
        <v>65.294141296065376</v>
      </c>
      <c r="W34" s="77">
        <f t="shared" si="8"/>
        <v>61.250434928875535</v>
      </c>
      <c r="X34" s="77">
        <f t="shared" si="8"/>
        <v>57.457157786413646</v>
      </c>
      <c r="Y34" s="77">
        <f t="shared" si="8"/>
        <v>53.898800632621771</v>
      </c>
      <c r="Z34" s="77">
        <f t="shared" si="8"/>
        <v>0</v>
      </c>
    </row>
    <row r="35" spans="1:26" x14ac:dyDescent="0.2">
      <c r="B35" s="10"/>
      <c r="C35" s="55"/>
      <c r="D35" s="55"/>
      <c r="E35" s="1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B36" s="371" t="str">
        <f>'User Input'!D53</f>
        <v>Option 1: Provide In Meter Capabilities</v>
      </c>
      <c r="C36" s="367"/>
      <c r="D36" s="372"/>
      <c r="E36" s="369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</row>
    <row r="37" spans="1:26" ht="13.5" thickBot="1" x14ac:dyDescent="0.25">
      <c r="B37" s="20"/>
      <c r="C37" s="5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7"/>
      <c r="Z37" s="17"/>
    </row>
    <row r="38" spans="1:26" ht="13.5" thickBot="1" x14ac:dyDescent="0.25">
      <c r="B38" s="52"/>
      <c r="C38" s="4" t="s">
        <v>76</v>
      </c>
      <c r="D38" s="67">
        <f>SUM(E38:Y38)</f>
        <v>2604.4397945063315</v>
      </c>
      <c r="E38" s="64">
        <f>'User Input'!F16*E10</f>
        <v>1447.7867148036742</v>
      </c>
      <c r="F38" s="64">
        <f>'User Input'!G16*F$10</f>
        <v>1156.6530797026574</v>
      </c>
      <c r="G38" s="64">
        <f>'User Input'!H16*G$10</f>
        <v>0</v>
      </c>
      <c r="H38" s="64">
        <f>'User Input'!I16*H$10</f>
        <v>0</v>
      </c>
      <c r="I38" s="64">
        <f>'User Input'!J16*I$10</f>
        <v>0</v>
      </c>
      <c r="J38" s="64">
        <f>'User Input'!K16*J$10</f>
        <v>0</v>
      </c>
      <c r="K38" s="64">
        <f>'User Input'!L16*K$10</f>
        <v>0</v>
      </c>
      <c r="L38" s="64">
        <f>'User Input'!M16*L$10</f>
        <v>0</v>
      </c>
      <c r="M38" s="64">
        <f>'User Input'!N16*M$10</f>
        <v>0</v>
      </c>
      <c r="N38" s="64">
        <f>'User Input'!O16*N$10</f>
        <v>0</v>
      </c>
      <c r="O38" s="64">
        <f>'User Input'!P16*O$10</f>
        <v>0</v>
      </c>
      <c r="P38" s="64">
        <f>'User Input'!Q16*P$10</f>
        <v>0</v>
      </c>
      <c r="Q38" s="64">
        <f>'User Input'!R16*Q$10</f>
        <v>0</v>
      </c>
      <c r="R38" s="64">
        <f>'User Input'!S16*R$10</f>
        <v>0</v>
      </c>
      <c r="S38" s="64">
        <f>'User Input'!T16*S$10</f>
        <v>0</v>
      </c>
      <c r="T38" s="64">
        <f>'User Input'!U16*T$10</f>
        <v>0</v>
      </c>
      <c r="U38" s="64">
        <f>'User Input'!V16*U$10</f>
        <v>0</v>
      </c>
      <c r="V38" s="64">
        <f>'User Input'!W16*V$10</f>
        <v>0</v>
      </c>
      <c r="W38" s="64">
        <f>'User Input'!X16*W$10</f>
        <v>0</v>
      </c>
      <c r="X38" s="64">
        <f>'User Input'!Y16*X$10</f>
        <v>0</v>
      </c>
      <c r="Y38" s="64">
        <f>'User Input'!Z16*Y$10</f>
        <v>0</v>
      </c>
      <c r="Z38" s="64">
        <f>'User Input'!AA16*Z$10</f>
        <v>0</v>
      </c>
    </row>
    <row r="39" spans="1:26" ht="13.5" thickBot="1" x14ac:dyDescent="0.25">
      <c r="B39" s="13"/>
      <c r="C39" s="22" t="str">
        <f>'User Input'!D56</f>
        <v>Maintenance Costs</v>
      </c>
      <c r="D39" s="67">
        <f t="shared" ref="D39:D56" si="9">SUM(E39:Y39)</f>
        <v>0</v>
      </c>
      <c r="E39" s="697">
        <v>0</v>
      </c>
      <c r="F39" s="64">
        <f>'User Input'!F56*F$10</f>
        <v>0</v>
      </c>
      <c r="G39" s="64">
        <f>'User Input'!G56*G$10</f>
        <v>0</v>
      </c>
      <c r="H39" s="64">
        <f>'User Input'!H56*H$10</f>
        <v>0</v>
      </c>
      <c r="I39" s="64">
        <f>'User Input'!I56*I$10</f>
        <v>0</v>
      </c>
      <c r="J39" s="64">
        <f>'User Input'!J56*J$10</f>
        <v>0</v>
      </c>
      <c r="K39" s="64">
        <f>'User Input'!K56*K$10</f>
        <v>0</v>
      </c>
      <c r="L39" s="64">
        <f>'User Input'!L56*L$10</f>
        <v>0</v>
      </c>
      <c r="M39" s="64">
        <f>'User Input'!M56*M$10</f>
        <v>0</v>
      </c>
      <c r="N39" s="64">
        <f>'User Input'!N56*N$10</f>
        <v>0</v>
      </c>
      <c r="O39" s="64">
        <f>'User Input'!O56*O$10</f>
        <v>0</v>
      </c>
      <c r="P39" s="64">
        <f>'User Input'!P56*P$10</f>
        <v>0</v>
      </c>
      <c r="Q39" s="64">
        <f>'User Input'!Q56*Q$10</f>
        <v>0</v>
      </c>
      <c r="R39" s="64">
        <f>'User Input'!R56*R$10</f>
        <v>0</v>
      </c>
      <c r="S39" s="64">
        <f>'User Input'!S56*S$10</f>
        <v>0</v>
      </c>
      <c r="T39" s="64">
        <f>'User Input'!T56*T$10</f>
        <v>0</v>
      </c>
      <c r="U39" s="64">
        <f>'User Input'!U56*U$10</f>
        <v>0</v>
      </c>
      <c r="V39" s="64">
        <f>'User Input'!V56*V$10</f>
        <v>0</v>
      </c>
      <c r="W39" s="64">
        <f>'User Input'!W56*W$10</f>
        <v>0</v>
      </c>
      <c r="X39" s="64">
        <f>'User Input'!X56*X$10</f>
        <v>0</v>
      </c>
      <c r="Y39" s="64">
        <f>'User Input'!Y56*Y$10</f>
        <v>0</v>
      </c>
      <c r="Z39" s="64">
        <f>'User Input'!Z56*Z$10</f>
        <v>0</v>
      </c>
    </row>
    <row r="40" spans="1:26" ht="13.5" thickBot="1" x14ac:dyDescent="0.25">
      <c r="B40" s="13"/>
      <c r="C40" s="137" t="str">
        <f>'User Input'!D58</f>
        <v>Negative Impact on Revenue (STPIS)</v>
      </c>
      <c r="D40" s="195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46"/>
      <c r="Z40" s="146"/>
    </row>
    <row r="41" spans="1:26" ht="13.5" thickBot="1" x14ac:dyDescent="0.25">
      <c r="B41" s="13"/>
      <c r="C41" s="136" t="str">
        <f>'User Input'!D59</f>
        <v>SAIFI sustained</v>
      </c>
      <c r="D41" s="67">
        <f t="shared" si="9"/>
        <v>0</v>
      </c>
      <c r="E41" s="259">
        <v>0</v>
      </c>
      <c r="F41" s="259">
        <v>0</v>
      </c>
      <c r="G41" s="697">
        <v>0</v>
      </c>
      <c r="H41" s="64">
        <f>IF('User Input'!$I$8=1,'User Input'!F59*'Administrator Input'!$F$41*H10,0)</f>
        <v>0</v>
      </c>
      <c r="I41" s="64">
        <f>IF('User Input'!$I$8=1,'User Input'!G59*'Administrator Input'!$F$41*I10,0)</f>
        <v>0</v>
      </c>
      <c r="J41" s="64">
        <f>IF('User Input'!$I$8=1,'User Input'!H59*'Administrator Input'!$F$41*J10,0)</f>
        <v>0</v>
      </c>
      <c r="K41" s="64">
        <f>IF('User Input'!$I$8=1,'User Input'!I59*'Administrator Input'!$F$41*K10,0)</f>
        <v>0</v>
      </c>
      <c r="L41" s="64">
        <f>IF('User Input'!$I$8=1,'User Input'!J59*'Administrator Input'!$F$41*L10,0)</f>
        <v>0</v>
      </c>
      <c r="M41" s="64">
        <f>IF('User Input'!$I$8=1,'User Input'!K59*'Administrator Input'!$F$41*M10,0)</f>
        <v>0</v>
      </c>
      <c r="N41" s="64">
        <f>IF('User Input'!$I$8=1,'User Input'!L59*'Administrator Input'!$F$41*N10,0)</f>
        <v>0</v>
      </c>
      <c r="O41" s="64">
        <f>IF('User Input'!$I$8=1,'User Input'!M59*'Administrator Input'!$F$41*O10,0)</f>
        <v>0</v>
      </c>
      <c r="P41" s="64">
        <f>IF('User Input'!$I$8=1,'User Input'!N59*'Administrator Input'!$F$41*P10,0)</f>
        <v>0</v>
      </c>
      <c r="Q41" s="64">
        <f>IF('User Input'!$I$8=1,'User Input'!O59*'Administrator Input'!$F$41*Q10,0)</f>
        <v>0</v>
      </c>
      <c r="R41" s="64">
        <f>IF('User Input'!$I$8=1,'User Input'!P59*'Administrator Input'!$F$41*R10,0)</f>
        <v>0</v>
      </c>
      <c r="S41" s="64">
        <f>IF('User Input'!$I$8=1,'User Input'!Q59*'Administrator Input'!$F$41*S10,0)</f>
        <v>0</v>
      </c>
      <c r="T41" s="64">
        <f>IF('User Input'!$I$8=1,'User Input'!R59*'Administrator Input'!$F$41*T10,0)</f>
        <v>0</v>
      </c>
      <c r="U41" s="64">
        <f>IF('User Input'!$I$8=1,'User Input'!S59*'Administrator Input'!$F$41*U10,0)</f>
        <v>0</v>
      </c>
      <c r="V41" s="64">
        <f>IF('User Input'!$I$8=1,'User Input'!T59*'Administrator Input'!$F$41*V10,0)</f>
        <v>0</v>
      </c>
      <c r="W41" s="64">
        <f>IF('User Input'!$I$8=1,'User Input'!U59*'Administrator Input'!$F$41*W10,0)</f>
        <v>0</v>
      </c>
      <c r="X41" s="64">
        <f>IF('User Input'!$I$8=1,'User Input'!V59*'Administrator Input'!$F$41*X10,0)</f>
        <v>0</v>
      </c>
      <c r="Y41" s="64">
        <f>IF('User Input'!$I$8=1,'User Input'!W59*'Administrator Input'!$F$41*Y10,0)</f>
        <v>0</v>
      </c>
      <c r="Z41" s="64">
        <f>IF('User Input'!$I$8=1,'User Input'!X59*'Administrator Input'!$F$41*Z10,0)</f>
        <v>0</v>
      </c>
    </row>
    <row r="42" spans="1:26" ht="13.5" thickBot="1" x14ac:dyDescent="0.25">
      <c r="B42" s="13"/>
      <c r="C42" s="136" t="str">
        <f>'User Input'!D60</f>
        <v>SAIDI accidental</v>
      </c>
      <c r="D42" s="67">
        <f t="shared" si="9"/>
        <v>0</v>
      </c>
      <c r="E42" s="259">
        <v>0</v>
      </c>
      <c r="F42" s="259">
        <v>0</v>
      </c>
      <c r="G42" s="697">
        <v>0</v>
      </c>
      <c r="H42" s="64">
        <f>IF('User Input'!$I$8=1,'User Input'!F60*'Administrator Input'!$F$42*H10,0)</f>
        <v>0</v>
      </c>
      <c r="I42" s="64">
        <f>IF('User Input'!$I$8=1,'User Input'!G60*'Administrator Input'!$F$42*I10,0)</f>
        <v>0</v>
      </c>
      <c r="J42" s="64">
        <f>IF('User Input'!$I$8=1,'User Input'!H60*'Administrator Input'!$F$42*J10,0)</f>
        <v>0</v>
      </c>
      <c r="K42" s="64">
        <f>IF('User Input'!$I$8=1,'User Input'!I60*'Administrator Input'!$F$42*K10,0)</f>
        <v>0</v>
      </c>
      <c r="L42" s="64">
        <f>IF('User Input'!$I$8=1,'User Input'!J60*'Administrator Input'!$F$42*L10,0)</f>
        <v>0</v>
      </c>
      <c r="M42" s="64">
        <f>IF('User Input'!$I$8=1,'User Input'!K60*'Administrator Input'!$F$42*M10,0)</f>
        <v>0</v>
      </c>
      <c r="N42" s="64">
        <f>IF('User Input'!$I$8=1,'User Input'!L60*'Administrator Input'!$F$42*N10,0)</f>
        <v>0</v>
      </c>
      <c r="O42" s="64">
        <f>IF('User Input'!$I$8=1,'User Input'!M60*'Administrator Input'!$F$42*O10,0)</f>
        <v>0</v>
      </c>
      <c r="P42" s="64">
        <f>IF('User Input'!$I$8=1,'User Input'!N60*'Administrator Input'!$F$42*P10,0)</f>
        <v>0</v>
      </c>
      <c r="Q42" s="64">
        <f>IF('User Input'!$I$8=1,'User Input'!O60*'Administrator Input'!$F$42*Q10,0)</f>
        <v>0</v>
      </c>
      <c r="R42" s="64">
        <f>IF('User Input'!$I$8=1,'User Input'!P60*'Administrator Input'!$F$42*R10,0)</f>
        <v>0</v>
      </c>
      <c r="S42" s="64">
        <f>IF('User Input'!$I$8=1,'User Input'!Q60*'Administrator Input'!$F$42*S10,0)</f>
        <v>0</v>
      </c>
      <c r="T42" s="64">
        <f>IF('User Input'!$I$8=1,'User Input'!R60*'Administrator Input'!$F$42*T10,0)</f>
        <v>0</v>
      </c>
      <c r="U42" s="64">
        <f>IF('User Input'!$I$8=1,'User Input'!S60*'Administrator Input'!$F$42*U10,0)</f>
        <v>0</v>
      </c>
      <c r="V42" s="64">
        <f>IF('User Input'!$I$8=1,'User Input'!T60*'Administrator Input'!$F$42*V10,0)</f>
        <v>0</v>
      </c>
      <c r="W42" s="64">
        <f>IF('User Input'!$I$8=1,'User Input'!U60*'Administrator Input'!$F$42*W10,0)</f>
        <v>0</v>
      </c>
      <c r="X42" s="64">
        <f>IF('User Input'!$I$8=1,'User Input'!V60*'Administrator Input'!$F$42*X10,0)</f>
        <v>0</v>
      </c>
      <c r="Y42" s="64">
        <f>IF('User Input'!$I$8=1,'User Input'!W60*'Administrator Input'!$F$42*Y10,0)</f>
        <v>0</v>
      </c>
      <c r="Z42" s="64">
        <f>IF('User Input'!$I$8=1,'User Input'!X60*'Administrator Input'!$F$42*Z10,0)</f>
        <v>0</v>
      </c>
    </row>
    <row r="43" spans="1:26" ht="13.5" thickBot="1" x14ac:dyDescent="0.25">
      <c r="B43" s="13"/>
      <c r="C43" s="136" t="str">
        <f>'User Input'!D61</f>
        <v>MAIFI momentary</v>
      </c>
      <c r="D43" s="67">
        <f t="shared" si="9"/>
        <v>0</v>
      </c>
      <c r="E43" s="259">
        <v>0</v>
      </c>
      <c r="F43" s="259">
        <v>0</v>
      </c>
      <c r="G43" s="697">
        <v>0</v>
      </c>
      <c r="H43" s="64">
        <f>IF('User Input'!$I$8=1,'User Input'!F61*'Administrator Input'!$F$43*H10,0)</f>
        <v>0</v>
      </c>
      <c r="I43" s="64">
        <f>IF('User Input'!$I$8=1,'User Input'!G61*'Administrator Input'!$F$43*I10,0)</f>
        <v>0</v>
      </c>
      <c r="J43" s="64">
        <f>IF('User Input'!$I$8=1,'User Input'!H61*'Administrator Input'!$F$43*J10,0)</f>
        <v>0</v>
      </c>
      <c r="K43" s="64">
        <f>IF('User Input'!$I$8=1,'User Input'!I61*'Administrator Input'!$F$43*K10,0)</f>
        <v>0</v>
      </c>
      <c r="L43" s="64">
        <f>IF('User Input'!$I$8=1,'User Input'!J61*'Administrator Input'!$F$43*L10,0)</f>
        <v>0</v>
      </c>
      <c r="M43" s="64">
        <f>IF('User Input'!$I$8=1,'User Input'!K61*'Administrator Input'!$F$43*M10,0)</f>
        <v>0</v>
      </c>
      <c r="N43" s="64">
        <f>IF('User Input'!$I$8=1,'User Input'!L61*'Administrator Input'!$F$43*N10,0)</f>
        <v>0</v>
      </c>
      <c r="O43" s="64">
        <f>IF('User Input'!$I$8=1,'User Input'!M61*'Administrator Input'!$F$43*O10,0)</f>
        <v>0</v>
      </c>
      <c r="P43" s="64">
        <f>IF('User Input'!$I$8=1,'User Input'!N61*'Administrator Input'!$F$43*P10,0)</f>
        <v>0</v>
      </c>
      <c r="Q43" s="64">
        <f>IF('User Input'!$I$8=1,'User Input'!O61*'Administrator Input'!$F$43*Q10,0)</f>
        <v>0</v>
      </c>
      <c r="R43" s="64">
        <f>IF('User Input'!$I$8=1,'User Input'!P61*'Administrator Input'!$F$43*R10,0)</f>
        <v>0</v>
      </c>
      <c r="S43" s="64">
        <f>IF('User Input'!$I$8=1,'User Input'!Q61*'Administrator Input'!$F$43*S10,0)</f>
        <v>0</v>
      </c>
      <c r="T43" s="64">
        <f>IF('User Input'!$I$8=1,'User Input'!R61*'Administrator Input'!$F$43*T10,0)</f>
        <v>0</v>
      </c>
      <c r="U43" s="64">
        <f>IF('User Input'!$I$8=1,'User Input'!S61*'Administrator Input'!$F$43*U10,0)</f>
        <v>0</v>
      </c>
      <c r="V43" s="64">
        <f>IF('User Input'!$I$8=1,'User Input'!T61*'Administrator Input'!$F$43*V10,0)</f>
        <v>0</v>
      </c>
      <c r="W43" s="64">
        <f>IF('User Input'!$I$8=1,'User Input'!U61*'Administrator Input'!$F$43*W10,0)</f>
        <v>0</v>
      </c>
      <c r="X43" s="64">
        <f>IF('User Input'!$I$8=1,'User Input'!V61*'Administrator Input'!$F$43*X10,0)</f>
        <v>0</v>
      </c>
      <c r="Y43" s="64">
        <f>IF('User Input'!$I$8=1,'User Input'!W61*'Administrator Input'!$F$43*Y10,0)</f>
        <v>0</v>
      </c>
      <c r="Z43" s="64">
        <f>IF('User Input'!$I$8=1,'User Input'!X61*'Administrator Input'!$F$43*Z10,0)</f>
        <v>0</v>
      </c>
    </row>
    <row r="44" spans="1:26" ht="13.5" thickBot="1" x14ac:dyDescent="0.25">
      <c r="B44" s="13"/>
      <c r="C44" s="136" t="str">
        <f>'User Input'!D62</f>
        <v>Call centre response</v>
      </c>
      <c r="D44" s="67">
        <f t="shared" si="9"/>
        <v>0</v>
      </c>
      <c r="E44" s="259">
        <v>0</v>
      </c>
      <c r="F44" s="259">
        <v>0</v>
      </c>
      <c r="G44" s="697">
        <v>0</v>
      </c>
      <c r="H44" s="64">
        <f>IF('User Input'!$I$8=1,'User Input'!F62*'Administrator Input'!$F$44*H10,0)</f>
        <v>0</v>
      </c>
      <c r="I44" s="64">
        <f>IF('User Input'!$I$8=1,'User Input'!G62*'Administrator Input'!$F$44*I10,0)</f>
        <v>0</v>
      </c>
      <c r="J44" s="64">
        <f>IF('User Input'!$I$8=1,'User Input'!H62*'Administrator Input'!$F$44*J10,0)</f>
        <v>0</v>
      </c>
      <c r="K44" s="64">
        <f>IF('User Input'!$I$8=1,'User Input'!I62*'Administrator Input'!$F$44*K10,0)</f>
        <v>0</v>
      </c>
      <c r="L44" s="64">
        <f>IF('User Input'!$I$8=1,'User Input'!J62*'Administrator Input'!$F$44*L10,0)</f>
        <v>0</v>
      </c>
      <c r="M44" s="64">
        <f>IF('User Input'!$I$8=1,'User Input'!K62*'Administrator Input'!$F$44*M10,0)</f>
        <v>0</v>
      </c>
      <c r="N44" s="64">
        <f>IF('User Input'!$I$8=1,'User Input'!L62*'Administrator Input'!$F$44*N10,0)</f>
        <v>0</v>
      </c>
      <c r="O44" s="64">
        <f>IF('User Input'!$I$8=1,'User Input'!M62*'Administrator Input'!$F$44*O10,0)</f>
        <v>0</v>
      </c>
      <c r="P44" s="64">
        <f>IF('User Input'!$I$8=1,'User Input'!N62*'Administrator Input'!$F$44*P10,0)</f>
        <v>0</v>
      </c>
      <c r="Q44" s="64">
        <f>IF('User Input'!$I$8=1,'User Input'!O62*'Administrator Input'!$F$44*Q10,0)</f>
        <v>0</v>
      </c>
      <c r="R44" s="64">
        <f>IF('User Input'!$I$8=1,'User Input'!P62*'Administrator Input'!$F$44*R10,0)</f>
        <v>0</v>
      </c>
      <c r="S44" s="64">
        <f>IF('User Input'!$I$8=1,'User Input'!Q62*'Administrator Input'!$F$44*S10,0)</f>
        <v>0</v>
      </c>
      <c r="T44" s="64">
        <f>IF('User Input'!$I$8=1,'User Input'!R62*'Administrator Input'!$F$44*T10,0)</f>
        <v>0</v>
      </c>
      <c r="U44" s="64">
        <f>IF('User Input'!$I$8=1,'User Input'!S62*'Administrator Input'!$F$44*U10,0)</f>
        <v>0</v>
      </c>
      <c r="V44" s="64">
        <f>IF('User Input'!$I$8=1,'User Input'!T62*'Administrator Input'!$F$44*V10,0)</f>
        <v>0</v>
      </c>
      <c r="W44" s="64">
        <f>IF('User Input'!$I$8=1,'User Input'!U62*'Administrator Input'!$F$44*W10,0)</f>
        <v>0</v>
      </c>
      <c r="X44" s="64">
        <f>IF('User Input'!$I$8=1,'User Input'!V62*'Administrator Input'!$F$44*X10,0)</f>
        <v>0</v>
      </c>
      <c r="Y44" s="64">
        <f>IF('User Input'!$I$8=1,'User Input'!W62*'Administrator Input'!$F$44*Y10,0)</f>
        <v>0</v>
      </c>
      <c r="Z44" s="64">
        <f>IF('User Input'!$I$8=1,'User Input'!X62*'Administrator Input'!$F$44*Z10,0)</f>
        <v>0</v>
      </c>
    </row>
    <row r="45" spans="1:26" ht="13.5" thickBot="1" x14ac:dyDescent="0.25">
      <c r="A45" s="138"/>
      <c r="B45" s="142"/>
      <c r="C45" s="137" t="str">
        <f>'User Input'!D64</f>
        <v>Network Outage Costs</v>
      </c>
      <c r="D45" s="67">
        <f t="shared" si="9"/>
        <v>0</v>
      </c>
      <c r="E45" s="697">
        <v>0</v>
      </c>
      <c r="F45" s="141">
        <f>'User Input'!F65*'Administrator Input'!$F$49*F10</f>
        <v>0</v>
      </c>
      <c r="G45" s="141">
        <f>'User Input'!G65*'Administrator Input'!$F$49*G10</f>
        <v>0</v>
      </c>
      <c r="H45" s="141">
        <f>'User Input'!H65*'Administrator Input'!$F$49*H10</f>
        <v>0</v>
      </c>
      <c r="I45" s="141">
        <f>'User Input'!I65*'Administrator Input'!$F$49*I10</f>
        <v>0</v>
      </c>
      <c r="J45" s="141">
        <f>'User Input'!J65*'Administrator Input'!$F$49*J10</f>
        <v>0</v>
      </c>
      <c r="K45" s="141">
        <f>'User Input'!K65*'Administrator Input'!$F$49*K10</f>
        <v>0</v>
      </c>
      <c r="L45" s="141">
        <f>'User Input'!L65*'Administrator Input'!$F$49*L10</f>
        <v>0</v>
      </c>
      <c r="M45" s="141">
        <f>'User Input'!M65*'Administrator Input'!$F$49*M10</f>
        <v>0</v>
      </c>
      <c r="N45" s="141">
        <f>'User Input'!N65*'Administrator Input'!$F$49*N10</f>
        <v>0</v>
      </c>
      <c r="O45" s="141">
        <f>'User Input'!O65*'Administrator Input'!$F$49*O10</f>
        <v>0</v>
      </c>
      <c r="P45" s="141">
        <f>'User Input'!P65*'Administrator Input'!$F$49*P10</f>
        <v>0</v>
      </c>
      <c r="Q45" s="141">
        <f>'User Input'!Q65*'Administrator Input'!$F$49*Q10</f>
        <v>0</v>
      </c>
      <c r="R45" s="141">
        <f>'User Input'!R65*'Administrator Input'!$F$49*R10</f>
        <v>0</v>
      </c>
      <c r="S45" s="141">
        <f>'User Input'!S65*'Administrator Input'!$F$49*S10</f>
        <v>0</v>
      </c>
      <c r="T45" s="141">
        <f>'User Input'!T65*'Administrator Input'!$F$49*T10</f>
        <v>0</v>
      </c>
      <c r="U45" s="141">
        <f>'User Input'!U65*'Administrator Input'!$F$49*U10</f>
        <v>0</v>
      </c>
      <c r="V45" s="141">
        <f>'User Input'!V65*'Administrator Input'!$F$49*V10</f>
        <v>0</v>
      </c>
      <c r="W45" s="141">
        <f>'User Input'!W65*'Administrator Input'!$F$49*W10</f>
        <v>0</v>
      </c>
      <c r="X45" s="141">
        <f>'User Input'!X65*'Administrator Input'!$F$49*X10</f>
        <v>0</v>
      </c>
      <c r="Y45" s="141">
        <f>'User Input'!Y65*'Administrator Input'!$F$49*Y10</f>
        <v>0</v>
      </c>
      <c r="Z45" s="141">
        <f>'User Input'!Z65*'Administrator Input'!$F$49*Z10</f>
        <v>0</v>
      </c>
    </row>
    <row r="46" spans="1:26" ht="13.5" thickBot="1" x14ac:dyDescent="0.25">
      <c r="A46" s="138"/>
      <c r="B46" s="142"/>
      <c r="C46" s="137" t="str">
        <f>'User Input'!D68</f>
        <v>Loss of F Factor Benefit</v>
      </c>
      <c r="D46" s="67">
        <f t="shared" si="9"/>
        <v>0</v>
      </c>
      <c r="E46" s="697">
        <v>0</v>
      </c>
      <c r="F46" s="141">
        <f>'User Input'!F68*'Administrator Input'!$F$54</f>
        <v>0</v>
      </c>
      <c r="G46" s="141">
        <f>'User Input'!G68*'Administrator Input'!$F$54</f>
        <v>0</v>
      </c>
      <c r="H46" s="141">
        <f>'User Input'!H68*'Administrator Input'!$F$54</f>
        <v>0</v>
      </c>
      <c r="I46" s="141">
        <f>'User Input'!I68*'Administrator Input'!$F$54</f>
        <v>0</v>
      </c>
      <c r="J46" s="141">
        <f>'User Input'!J68*'Administrator Input'!$F$54</f>
        <v>0</v>
      </c>
      <c r="K46" s="141">
        <f>'User Input'!K68*'Administrator Input'!$F$54</f>
        <v>0</v>
      </c>
      <c r="L46" s="141">
        <f>'User Input'!L68*'Administrator Input'!$F$54</f>
        <v>0</v>
      </c>
      <c r="M46" s="141">
        <f>'User Input'!M68*'Administrator Input'!$F$54</f>
        <v>0</v>
      </c>
      <c r="N46" s="141">
        <f>'User Input'!N68*'Administrator Input'!$F$54</f>
        <v>0</v>
      </c>
      <c r="O46" s="141">
        <f>'User Input'!O68*'Administrator Input'!$F$54</f>
        <v>0</v>
      </c>
      <c r="P46" s="141">
        <f>'User Input'!P68*'Administrator Input'!$F$54</f>
        <v>0</v>
      </c>
      <c r="Q46" s="141">
        <f>'User Input'!Q68*'Administrator Input'!$F$54</f>
        <v>0</v>
      </c>
      <c r="R46" s="141">
        <f>'User Input'!R68*'Administrator Input'!$F$54</f>
        <v>0</v>
      </c>
      <c r="S46" s="141">
        <f>'User Input'!S68*'Administrator Input'!$F$54</f>
        <v>0</v>
      </c>
      <c r="T46" s="141">
        <f>'User Input'!T68*'Administrator Input'!$F$54</f>
        <v>0</v>
      </c>
      <c r="U46" s="141">
        <f>'User Input'!U68*'Administrator Input'!$F$54</f>
        <v>0</v>
      </c>
      <c r="V46" s="141">
        <f>'User Input'!V68*'Administrator Input'!$F$54</f>
        <v>0</v>
      </c>
      <c r="W46" s="141">
        <f>'User Input'!W68*'Administrator Input'!$F$54</f>
        <v>0</v>
      </c>
      <c r="X46" s="141">
        <f>'User Input'!X68*'Administrator Input'!$F$54</f>
        <v>0</v>
      </c>
      <c r="Y46" s="141">
        <f>'User Input'!Y68*'Administrator Input'!$F$54</f>
        <v>0</v>
      </c>
      <c r="Z46" s="141">
        <f>'User Input'!Z68*'Administrator Input'!$F$54</f>
        <v>0</v>
      </c>
    </row>
    <row r="47" spans="1:26" ht="13.5" thickBot="1" x14ac:dyDescent="0.25">
      <c r="B47" s="13"/>
      <c r="C47" s="22" t="str">
        <f>'User Input'!D71</f>
        <v>Cost 1</v>
      </c>
      <c r="D47" s="67">
        <f t="shared" si="9"/>
        <v>0</v>
      </c>
      <c r="E47" s="697">
        <v>0</v>
      </c>
      <c r="F47" s="64">
        <f>'User Input'!F71*F$10</f>
        <v>0</v>
      </c>
      <c r="G47" s="64">
        <f>'User Input'!G71*G$10</f>
        <v>0</v>
      </c>
      <c r="H47" s="64">
        <f>'User Input'!H71*H$10</f>
        <v>0</v>
      </c>
      <c r="I47" s="64">
        <f>'User Input'!I71*I$10</f>
        <v>0</v>
      </c>
      <c r="J47" s="64">
        <f>'User Input'!J71*J$10</f>
        <v>0</v>
      </c>
      <c r="K47" s="64">
        <f>'User Input'!K71*K$10</f>
        <v>0</v>
      </c>
      <c r="L47" s="64">
        <f>'User Input'!L71*L$10</f>
        <v>0</v>
      </c>
      <c r="M47" s="64">
        <f>'User Input'!M71*M$10</f>
        <v>0</v>
      </c>
      <c r="N47" s="64">
        <f>'User Input'!N71*N$10</f>
        <v>0</v>
      </c>
      <c r="O47" s="64">
        <f>'User Input'!O71*O$10</f>
        <v>0</v>
      </c>
      <c r="P47" s="64">
        <f>'User Input'!P71*P$10</f>
        <v>0</v>
      </c>
      <c r="Q47" s="64">
        <f>'User Input'!Q71*Q$10</f>
        <v>0</v>
      </c>
      <c r="R47" s="64">
        <f>'User Input'!R71*R$10</f>
        <v>0</v>
      </c>
      <c r="S47" s="64">
        <f>'User Input'!S71*S$10</f>
        <v>0</v>
      </c>
      <c r="T47" s="64">
        <f>'User Input'!T71*T$10</f>
        <v>0</v>
      </c>
      <c r="U47" s="64">
        <f>'User Input'!U71*U$10</f>
        <v>0</v>
      </c>
      <c r="V47" s="64">
        <f>'User Input'!V71*V$10</f>
        <v>0</v>
      </c>
      <c r="W47" s="64">
        <f>'User Input'!W71*W$10</f>
        <v>0</v>
      </c>
      <c r="X47" s="64">
        <f>'User Input'!X71*X$10</f>
        <v>0</v>
      </c>
      <c r="Y47" s="64">
        <f>'User Input'!Y71*Y$10</f>
        <v>0</v>
      </c>
      <c r="Z47" s="64">
        <f>'User Input'!Z71*Z$10</f>
        <v>0</v>
      </c>
    </row>
    <row r="48" spans="1:26" ht="13.5" thickBot="1" x14ac:dyDescent="0.25">
      <c r="B48" s="13"/>
      <c r="C48" s="22" t="str">
        <f>'User Input'!D72</f>
        <v>Cost 2</v>
      </c>
      <c r="D48" s="67">
        <f t="shared" si="9"/>
        <v>0</v>
      </c>
      <c r="E48" s="697">
        <v>0</v>
      </c>
      <c r="F48" s="64">
        <f>'User Input'!F72*F$10</f>
        <v>0</v>
      </c>
      <c r="G48" s="64">
        <f>'User Input'!G72*G$10</f>
        <v>0</v>
      </c>
      <c r="H48" s="64">
        <f>'User Input'!H72*H$10</f>
        <v>0</v>
      </c>
      <c r="I48" s="64">
        <f>'User Input'!I72*I$10</f>
        <v>0</v>
      </c>
      <c r="J48" s="64">
        <f>'User Input'!J72*J$10</f>
        <v>0</v>
      </c>
      <c r="K48" s="64">
        <f>'User Input'!K72*K$10</f>
        <v>0</v>
      </c>
      <c r="L48" s="64">
        <f>'User Input'!L72*L$10</f>
        <v>0</v>
      </c>
      <c r="M48" s="64">
        <f>'User Input'!M72*M$10</f>
        <v>0</v>
      </c>
      <c r="N48" s="64">
        <f>'User Input'!N72*N$10</f>
        <v>0</v>
      </c>
      <c r="O48" s="64">
        <f>'User Input'!O72*O$10</f>
        <v>0</v>
      </c>
      <c r="P48" s="64">
        <f>'User Input'!P72*P$10</f>
        <v>0</v>
      </c>
      <c r="Q48" s="64">
        <f>'User Input'!Q72*Q$10</f>
        <v>0</v>
      </c>
      <c r="R48" s="64">
        <f>'User Input'!R72*R$10</f>
        <v>0</v>
      </c>
      <c r="S48" s="64">
        <f>'User Input'!S72*S$10</f>
        <v>0</v>
      </c>
      <c r="T48" s="64">
        <f>'User Input'!T72*T$10</f>
        <v>0</v>
      </c>
      <c r="U48" s="64">
        <f>'User Input'!U72*U$10</f>
        <v>0</v>
      </c>
      <c r="V48" s="64">
        <f>'User Input'!V72*V$10</f>
        <v>0</v>
      </c>
      <c r="W48" s="64">
        <f>'User Input'!W72*W$10</f>
        <v>0</v>
      </c>
      <c r="X48" s="64">
        <f>'User Input'!X72*X$10</f>
        <v>0</v>
      </c>
      <c r="Y48" s="64">
        <f>'User Input'!Y72*Y$10</f>
        <v>0</v>
      </c>
      <c r="Z48" s="64">
        <f>'User Input'!Z72*Z$10</f>
        <v>0</v>
      </c>
    </row>
    <row r="49" spans="2:26" ht="13.5" thickBot="1" x14ac:dyDescent="0.25">
      <c r="B49" s="13"/>
      <c r="C49" s="22" t="str">
        <f>'User Input'!D73</f>
        <v>Cost 3</v>
      </c>
      <c r="D49" s="67">
        <f t="shared" si="9"/>
        <v>0</v>
      </c>
      <c r="E49" s="697">
        <v>0</v>
      </c>
      <c r="F49" s="64">
        <f>'User Input'!F73*F$10</f>
        <v>0</v>
      </c>
      <c r="G49" s="64">
        <f>'User Input'!G73*G$10</f>
        <v>0</v>
      </c>
      <c r="H49" s="64">
        <f>'User Input'!H73*H$10</f>
        <v>0</v>
      </c>
      <c r="I49" s="64">
        <f>'User Input'!I73*I$10</f>
        <v>0</v>
      </c>
      <c r="J49" s="64">
        <f>'User Input'!J73*J$10</f>
        <v>0</v>
      </c>
      <c r="K49" s="64">
        <f>'User Input'!K73*K$10</f>
        <v>0</v>
      </c>
      <c r="L49" s="64">
        <f>'User Input'!L73*L$10</f>
        <v>0</v>
      </c>
      <c r="M49" s="64">
        <f>'User Input'!M73*M$10</f>
        <v>0</v>
      </c>
      <c r="N49" s="64">
        <f>'User Input'!N73*N$10</f>
        <v>0</v>
      </c>
      <c r="O49" s="64">
        <f>'User Input'!O73*O$10</f>
        <v>0</v>
      </c>
      <c r="P49" s="64">
        <f>'User Input'!P73*P$10</f>
        <v>0</v>
      </c>
      <c r="Q49" s="64">
        <f>'User Input'!Q73*Q$10</f>
        <v>0</v>
      </c>
      <c r="R49" s="64">
        <f>'User Input'!R73*R$10</f>
        <v>0</v>
      </c>
      <c r="S49" s="64">
        <f>'User Input'!S73*S$10</f>
        <v>0</v>
      </c>
      <c r="T49" s="64">
        <f>'User Input'!T73*T$10</f>
        <v>0</v>
      </c>
      <c r="U49" s="64">
        <f>'User Input'!U73*U$10</f>
        <v>0</v>
      </c>
      <c r="V49" s="64">
        <f>'User Input'!V73*V$10</f>
        <v>0</v>
      </c>
      <c r="W49" s="64">
        <f>'User Input'!W73*W$10</f>
        <v>0</v>
      </c>
      <c r="X49" s="64">
        <f>'User Input'!X73*X$10</f>
        <v>0</v>
      </c>
      <c r="Y49" s="64">
        <f>'User Input'!Y73*Y$10</f>
        <v>0</v>
      </c>
      <c r="Z49" s="64">
        <f>'User Input'!Z73*Z$10</f>
        <v>0</v>
      </c>
    </row>
    <row r="50" spans="2:26" ht="13.5" thickBot="1" x14ac:dyDescent="0.25">
      <c r="B50" s="13"/>
      <c r="C50" s="22" t="str">
        <f>'User Input'!D74</f>
        <v>Cost 4</v>
      </c>
      <c r="D50" s="67">
        <f t="shared" si="9"/>
        <v>0</v>
      </c>
      <c r="E50" s="697">
        <v>0</v>
      </c>
      <c r="F50" s="64">
        <f>'User Input'!F74*F$10</f>
        <v>0</v>
      </c>
      <c r="G50" s="64">
        <f>'User Input'!G74*G$10</f>
        <v>0</v>
      </c>
      <c r="H50" s="64">
        <f>'User Input'!H74*H$10</f>
        <v>0</v>
      </c>
      <c r="I50" s="64">
        <f>'User Input'!I74*I$10</f>
        <v>0</v>
      </c>
      <c r="J50" s="64">
        <f>'User Input'!J74*J$10</f>
        <v>0</v>
      </c>
      <c r="K50" s="64">
        <f>'User Input'!K74*K$10</f>
        <v>0</v>
      </c>
      <c r="L50" s="64">
        <f>'User Input'!L74*L$10</f>
        <v>0</v>
      </c>
      <c r="M50" s="64">
        <f>'User Input'!M74*M$10</f>
        <v>0</v>
      </c>
      <c r="N50" s="64">
        <f>'User Input'!N74*N$10</f>
        <v>0</v>
      </c>
      <c r="O50" s="64">
        <f>'User Input'!O74*O$10</f>
        <v>0</v>
      </c>
      <c r="P50" s="64">
        <f>'User Input'!P74*P$10</f>
        <v>0</v>
      </c>
      <c r="Q50" s="64">
        <f>'User Input'!Q74*Q$10</f>
        <v>0</v>
      </c>
      <c r="R50" s="64">
        <f>'User Input'!R74*R$10</f>
        <v>0</v>
      </c>
      <c r="S50" s="64">
        <f>'User Input'!S74*S$10</f>
        <v>0</v>
      </c>
      <c r="T50" s="64">
        <f>'User Input'!T74*T$10</f>
        <v>0</v>
      </c>
      <c r="U50" s="64">
        <f>'User Input'!U74*U$10</f>
        <v>0</v>
      </c>
      <c r="V50" s="64">
        <f>'User Input'!V74*V$10</f>
        <v>0</v>
      </c>
      <c r="W50" s="64">
        <f>'User Input'!W74*W$10</f>
        <v>0</v>
      </c>
      <c r="X50" s="64">
        <f>'User Input'!X74*X$10</f>
        <v>0</v>
      </c>
      <c r="Y50" s="64">
        <f>'User Input'!Y74*Y$10</f>
        <v>0</v>
      </c>
      <c r="Z50" s="64">
        <f>'User Input'!Z74*Z$10</f>
        <v>0</v>
      </c>
    </row>
    <row r="51" spans="2:26" ht="13.5" thickBot="1" x14ac:dyDescent="0.25">
      <c r="B51" s="13"/>
      <c r="C51" s="22" t="str">
        <f>'User Input'!D75</f>
        <v>Cost 5</v>
      </c>
      <c r="D51" s="67">
        <f t="shared" si="9"/>
        <v>0</v>
      </c>
      <c r="E51" s="697">
        <v>0</v>
      </c>
      <c r="F51" s="64">
        <f>'User Input'!F75*F$10</f>
        <v>0</v>
      </c>
      <c r="G51" s="64">
        <f>'User Input'!G75*G$10</f>
        <v>0</v>
      </c>
      <c r="H51" s="64">
        <f>'User Input'!H75*H$10</f>
        <v>0</v>
      </c>
      <c r="I51" s="64">
        <f>'User Input'!I75*I$10</f>
        <v>0</v>
      </c>
      <c r="J51" s="64">
        <f>'User Input'!J75*J$10</f>
        <v>0</v>
      </c>
      <c r="K51" s="64">
        <f>'User Input'!K75*K$10</f>
        <v>0</v>
      </c>
      <c r="L51" s="64">
        <f>'User Input'!L75*L$10</f>
        <v>0</v>
      </c>
      <c r="M51" s="64">
        <f>'User Input'!M75*M$10</f>
        <v>0</v>
      </c>
      <c r="N51" s="64">
        <f>'User Input'!N75*N$10</f>
        <v>0</v>
      </c>
      <c r="O51" s="64">
        <f>'User Input'!O75*O$10</f>
        <v>0</v>
      </c>
      <c r="P51" s="64">
        <f>'User Input'!P75*P$10</f>
        <v>0</v>
      </c>
      <c r="Q51" s="64">
        <f>'User Input'!Q75*Q$10</f>
        <v>0</v>
      </c>
      <c r="R51" s="64">
        <f>'User Input'!R75*R$10</f>
        <v>0</v>
      </c>
      <c r="S51" s="64">
        <f>'User Input'!S75*S$10</f>
        <v>0</v>
      </c>
      <c r="T51" s="64">
        <f>'User Input'!T75*T$10</f>
        <v>0</v>
      </c>
      <c r="U51" s="64">
        <f>'User Input'!U75*U$10</f>
        <v>0</v>
      </c>
      <c r="V51" s="64">
        <f>'User Input'!V75*V$10</f>
        <v>0</v>
      </c>
      <c r="W51" s="64">
        <f>'User Input'!W75*W$10</f>
        <v>0</v>
      </c>
      <c r="X51" s="64">
        <f>'User Input'!X75*X$10</f>
        <v>0</v>
      </c>
      <c r="Y51" s="64">
        <f>'User Input'!Y75*Y$10</f>
        <v>0</v>
      </c>
      <c r="Z51" s="64">
        <f>'User Input'!Z75*Z$10</f>
        <v>0</v>
      </c>
    </row>
    <row r="52" spans="2:26" ht="13.5" thickBot="1" x14ac:dyDescent="0.25">
      <c r="B52" s="13"/>
      <c r="C52" s="22" t="str">
        <f>'User Input'!D76</f>
        <v>Risk 1</v>
      </c>
      <c r="D52" s="67">
        <f t="shared" si="9"/>
        <v>0</v>
      </c>
      <c r="E52" s="697">
        <v>0</v>
      </c>
      <c r="F52" s="64">
        <f>'User Input'!F76*F$10</f>
        <v>0</v>
      </c>
      <c r="G52" s="64">
        <f>'User Input'!G76*G$10</f>
        <v>0</v>
      </c>
      <c r="H52" s="64">
        <f>'User Input'!H76*H$10</f>
        <v>0</v>
      </c>
      <c r="I52" s="64">
        <f>'User Input'!I76*I$10</f>
        <v>0</v>
      </c>
      <c r="J52" s="64">
        <f>'User Input'!J76*J$10</f>
        <v>0</v>
      </c>
      <c r="K52" s="64">
        <f>'User Input'!K76*K$10</f>
        <v>0</v>
      </c>
      <c r="L52" s="64">
        <f>'User Input'!L76*L$10</f>
        <v>0</v>
      </c>
      <c r="M52" s="64">
        <f>'User Input'!M76*M$10</f>
        <v>0</v>
      </c>
      <c r="N52" s="64">
        <f>'User Input'!N76*N$10</f>
        <v>0</v>
      </c>
      <c r="O52" s="64">
        <f>'User Input'!O76*O$10</f>
        <v>0</v>
      </c>
      <c r="P52" s="64">
        <f>'User Input'!P76*P$10</f>
        <v>0</v>
      </c>
      <c r="Q52" s="64">
        <f>'User Input'!Q76*Q$10</f>
        <v>0</v>
      </c>
      <c r="R52" s="64">
        <f>'User Input'!R76*R$10</f>
        <v>0</v>
      </c>
      <c r="S52" s="64">
        <f>'User Input'!S76*S$10</f>
        <v>0</v>
      </c>
      <c r="T52" s="64">
        <f>'User Input'!T76*T$10</f>
        <v>0</v>
      </c>
      <c r="U52" s="64">
        <f>'User Input'!U76*U$10</f>
        <v>0</v>
      </c>
      <c r="V52" s="64">
        <f>'User Input'!V76*V$10</f>
        <v>0</v>
      </c>
      <c r="W52" s="64">
        <f>'User Input'!W76*W$10</f>
        <v>0</v>
      </c>
      <c r="X52" s="64">
        <f>'User Input'!X76*X$10</f>
        <v>0</v>
      </c>
      <c r="Y52" s="64">
        <f>'User Input'!Y76*Y$10</f>
        <v>0</v>
      </c>
      <c r="Z52" s="64">
        <f>'User Input'!Z76*Z$10</f>
        <v>0</v>
      </c>
    </row>
    <row r="53" spans="2:26" ht="13.5" thickBot="1" x14ac:dyDescent="0.25">
      <c r="B53" s="13"/>
      <c r="C53" s="22" t="str">
        <f>'User Input'!D77</f>
        <v>Risk 2</v>
      </c>
      <c r="D53" s="67">
        <f t="shared" si="9"/>
        <v>0</v>
      </c>
      <c r="E53" s="697">
        <v>0</v>
      </c>
      <c r="F53" s="64">
        <f>'User Input'!F77*F$10</f>
        <v>0</v>
      </c>
      <c r="G53" s="64">
        <f>'User Input'!G77*G$10</f>
        <v>0</v>
      </c>
      <c r="H53" s="64">
        <f>'User Input'!H77*H$10</f>
        <v>0</v>
      </c>
      <c r="I53" s="64">
        <f>'User Input'!I77*I$10</f>
        <v>0</v>
      </c>
      <c r="J53" s="64">
        <f>'User Input'!J77*J$10</f>
        <v>0</v>
      </c>
      <c r="K53" s="64">
        <f>'User Input'!K77*K$10</f>
        <v>0</v>
      </c>
      <c r="L53" s="64">
        <f>'User Input'!L77*L$10</f>
        <v>0</v>
      </c>
      <c r="M53" s="64">
        <f>'User Input'!M77*M$10</f>
        <v>0</v>
      </c>
      <c r="N53" s="64">
        <f>'User Input'!N77*N$10</f>
        <v>0</v>
      </c>
      <c r="O53" s="64">
        <f>'User Input'!O77*O$10</f>
        <v>0</v>
      </c>
      <c r="P53" s="64">
        <f>'User Input'!P77*P$10</f>
        <v>0</v>
      </c>
      <c r="Q53" s="64">
        <f>'User Input'!Q77*Q$10</f>
        <v>0</v>
      </c>
      <c r="R53" s="64">
        <f>'User Input'!R77*R$10</f>
        <v>0</v>
      </c>
      <c r="S53" s="64">
        <f>'User Input'!S77*S$10</f>
        <v>0</v>
      </c>
      <c r="T53" s="64">
        <f>'User Input'!T77*T$10</f>
        <v>0</v>
      </c>
      <c r="U53" s="64">
        <f>'User Input'!U77*U$10</f>
        <v>0</v>
      </c>
      <c r="V53" s="64">
        <f>'User Input'!V77*V$10</f>
        <v>0</v>
      </c>
      <c r="W53" s="64">
        <f>'User Input'!W77*W$10</f>
        <v>0</v>
      </c>
      <c r="X53" s="64">
        <f>'User Input'!X77*X$10</f>
        <v>0</v>
      </c>
      <c r="Y53" s="64">
        <f>'User Input'!Y77*Y$10</f>
        <v>0</v>
      </c>
      <c r="Z53" s="64">
        <f>'User Input'!Z77*Z$10</f>
        <v>0</v>
      </c>
    </row>
    <row r="54" spans="2:26" ht="13.5" thickBot="1" x14ac:dyDescent="0.25">
      <c r="B54" s="13"/>
      <c r="C54" s="22" t="str">
        <f>'User Input'!D78</f>
        <v>Risk 3</v>
      </c>
      <c r="D54" s="67">
        <f t="shared" si="9"/>
        <v>0</v>
      </c>
      <c r="E54" s="697">
        <v>0</v>
      </c>
      <c r="F54" s="64">
        <f>'User Input'!F78*F$10</f>
        <v>0</v>
      </c>
      <c r="G54" s="64">
        <f>'User Input'!G78*G$10</f>
        <v>0</v>
      </c>
      <c r="H54" s="64">
        <f>'User Input'!H78*H$10</f>
        <v>0</v>
      </c>
      <c r="I54" s="64">
        <f>'User Input'!I78*I$10</f>
        <v>0</v>
      </c>
      <c r="J54" s="64">
        <f>'User Input'!J78*J$10</f>
        <v>0</v>
      </c>
      <c r="K54" s="64">
        <f>'User Input'!K78*K$10</f>
        <v>0</v>
      </c>
      <c r="L54" s="64">
        <f>'User Input'!L78*L$10</f>
        <v>0</v>
      </c>
      <c r="M54" s="64">
        <f>'User Input'!M78*M$10</f>
        <v>0</v>
      </c>
      <c r="N54" s="64">
        <f>'User Input'!N78*N$10</f>
        <v>0</v>
      </c>
      <c r="O54" s="64">
        <f>'User Input'!O78*O$10</f>
        <v>0</v>
      </c>
      <c r="P54" s="64">
        <f>'User Input'!P78*P$10</f>
        <v>0</v>
      </c>
      <c r="Q54" s="64">
        <f>'User Input'!Q78*Q$10</f>
        <v>0</v>
      </c>
      <c r="R54" s="64">
        <f>'User Input'!R78*R$10</f>
        <v>0</v>
      </c>
      <c r="S54" s="64">
        <f>'User Input'!S78*S$10</f>
        <v>0</v>
      </c>
      <c r="T54" s="64">
        <f>'User Input'!T78*T$10</f>
        <v>0</v>
      </c>
      <c r="U54" s="64">
        <f>'User Input'!U78*U$10</f>
        <v>0</v>
      </c>
      <c r="V54" s="64">
        <f>'User Input'!V78*V$10</f>
        <v>0</v>
      </c>
      <c r="W54" s="64">
        <f>'User Input'!W78*W$10</f>
        <v>0</v>
      </c>
      <c r="X54" s="64">
        <f>'User Input'!X78*X$10</f>
        <v>0</v>
      </c>
      <c r="Y54" s="64">
        <f>'User Input'!Y78*Y$10</f>
        <v>0</v>
      </c>
      <c r="Z54" s="64">
        <f>'User Input'!Z78*Z$10</f>
        <v>0</v>
      </c>
    </row>
    <row r="55" spans="2:26" ht="13.5" thickBot="1" x14ac:dyDescent="0.25">
      <c r="B55" s="13"/>
      <c r="C55" s="22" t="str">
        <f>'User Input'!D79</f>
        <v>Risk 4</v>
      </c>
      <c r="D55" s="67">
        <f t="shared" si="9"/>
        <v>0</v>
      </c>
      <c r="E55" s="697">
        <v>0</v>
      </c>
      <c r="F55" s="64">
        <f>'User Input'!F79*F$10</f>
        <v>0</v>
      </c>
      <c r="G55" s="64">
        <f>'User Input'!G79*G$10</f>
        <v>0</v>
      </c>
      <c r="H55" s="64">
        <f>'User Input'!H79*H$10</f>
        <v>0</v>
      </c>
      <c r="I55" s="64">
        <f>'User Input'!I79*I$10</f>
        <v>0</v>
      </c>
      <c r="J55" s="64">
        <f>'User Input'!J79*J$10</f>
        <v>0</v>
      </c>
      <c r="K55" s="64">
        <f>'User Input'!K79*K$10</f>
        <v>0</v>
      </c>
      <c r="L55" s="64">
        <f>'User Input'!L79*L$10</f>
        <v>0</v>
      </c>
      <c r="M55" s="64">
        <f>'User Input'!M79*M$10</f>
        <v>0</v>
      </c>
      <c r="N55" s="64">
        <f>'User Input'!N79*N$10</f>
        <v>0</v>
      </c>
      <c r="O55" s="64">
        <f>'User Input'!O79*O$10</f>
        <v>0</v>
      </c>
      <c r="P55" s="64">
        <f>'User Input'!P79*P$10</f>
        <v>0</v>
      </c>
      <c r="Q55" s="64">
        <f>'User Input'!Q79*Q$10</f>
        <v>0</v>
      </c>
      <c r="R55" s="64">
        <f>'User Input'!R79*R$10</f>
        <v>0</v>
      </c>
      <c r="S55" s="64">
        <f>'User Input'!S79*S$10</f>
        <v>0</v>
      </c>
      <c r="T55" s="64">
        <f>'User Input'!T79*T$10</f>
        <v>0</v>
      </c>
      <c r="U55" s="64">
        <f>'User Input'!U79*U$10</f>
        <v>0</v>
      </c>
      <c r="V55" s="64">
        <f>'User Input'!V79*V$10</f>
        <v>0</v>
      </c>
      <c r="W55" s="64">
        <f>'User Input'!W79*W$10</f>
        <v>0</v>
      </c>
      <c r="X55" s="64">
        <f>'User Input'!X79*X$10</f>
        <v>0</v>
      </c>
      <c r="Y55" s="64">
        <f>'User Input'!Y79*Y$10</f>
        <v>0</v>
      </c>
      <c r="Z55" s="64">
        <f>'User Input'!Z79*Z$10</f>
        <v>0</v>
      </c>
    </row>
    <row r="56" spans="2:26" ht="13.5" thickBot="1" x14ac:dyDescent="0.25">
      <c r="B56" s="13"/>
      <c r="C56" s="22" t="str">
        <f>'User Input'!D80</f>
        <v>Risk 5</v>
      </c>
      <c r="D56" s="67">
        <f t="shared" si="9"/>
        <v>0</v>
      </c>
      <c r="E56" s="697">
        <v>0</v>
      </c>
      <c r="F56" s="64">
        <f>'User Input'!F80*F$10</f>
        <v>0</v>
      </c>
      <c r="G56" s="64">
        <f>'User Input'!G80*G$10</f>
        <v>0</v>
      </c>
      <c r="H56" s="64">
        <f>'User Input'!H80*H$10</f>
        <v>0</v>
      </c>
      <c r="I56" s="64">
        <f>'User Input'!I80*I$10</f>
        <v>0</v>
      </c>
      <c r="J56" s="64">
        <f>'User Input'!J80*J$10</f>
        <v>0</v>
      </c>
      <c r="K56" s="64">
        <f>'User Input'!K80*K$10</f>
        <v>0</v>
      </c>
      <c r="L56" s="64">
        <f>'User Input'!L80*L$10</f>
        <v>0</v>
      </c>
      <c r="M56" s="64">
        <f>'User Input'!M80*M$10</f>
        <v>0</v>
      </c>
      <c r="N56" s="64">
        <f>'User Input'!N80*N$10</f>
        <v>0</v>
      </c>
      <c r="O56" s="64">
        <f>'User Input'!O80*O$10</f>
        <v>0</v>
      </c>
      <c r="P56" s="64">
        <f>'User Input'!P80*P$10</f>
        <v>0</v>
      </c>
      <c r="Q56" s="64">
        <f>'User Input'!Q80*Q$10</f>
        <v>0</v>
      </c>
      <c r="R56" s="64">
        <f>'User Input'!R80*R$10</f>
        <v>0</v>
      </c>
      <c r="S56" s="64">
        <f>'User Input'!S80*S$10</f>
        <v>0</v>
      </c>
      <c r="T56" s="64">
        <f>'User Input'!T80*T$10</f>
        <v>0</v>
      </c>
      <c r="U56" s="64">
        <f>'User Input'!U80*U$10</f>
        <v>0</v>
      </c>
      <c r="V56" s="64">
        <f>'User Input'!V80*V$10</f>
        <v>0</v>
      </c>
      <c r="W56" s="64">
        <f>'User Input'!W80*W$10</f>
        <v>0</v>
      </c>
      <c r="X56" s="64">
        <f>'User Input'!X80*X$10</f>
        <v>0</v>
      </c>
      <c r="Y56" s="64">
        <f>'User Input'!Y80*Y$10</f>
        <v>0</v>
      </c>
      <c r="Z56" s="64">
        <f>'User Input'!Z80*Z$10</f>
        <v>0</v>
      </c>
    </row>
    <row r="57" spans="2:26" ht="13.5" thickBot="1" x14ac:dyDescent="0.25">
      <c r="B57" s="13"/>
      <c r="C57" s="53" t="s">
        <v>2</v>
      </c>
      <c r="D57" s="67">
        <f>SUM(E57:Y57)</f>
        <v>2604.4397945063315</v>
      </c>
      <c r="E57" s="68">
        <f>SUM(E38:E56)</f>
        <v>1447.7867148036742</v>
      </c>
      <c r="F57" s="69">
        <f t="shared" ref="F57:Y57" si="10">SUM(F38:F56)</f>
        <v>1156.6530797026574</v>
      </c>
      <c r="G57" s="69">
        <f t="shared" si="10"/>
        <v>0</v>
      </c>
      <c r="H57" s="69">
        <f t="shared" si="10"/>
        <v>0</v>
      </c>
      <c r="I57" s="69">
        <f t="shared" si="10"/>
        <v>0</v>
      </c>
      <c r="J57" s="69">
        <f t="shared" si="10"/>
        <v>0</v>
      </c>
      <c r="K57" s="69">
        <f t="shared" si="10"/>
        <v>0</v>
      </c>
      <c r="L57" s="69">
        <f t="shared" si="10"/>
        <v>0</v>
      </c>
      <c r="M57" s="69">
        <f t="shared" si="10"/>
        <v>0</v>
      </c>
      <c r="N57" s="69">
        <f t="shared" si="10"/>
        <v>0</v>
      </c>
      <c r="O57" s="69">
        <f t="shared" si="10"/>
        <v>0</v>
      </c>
      <c r="P57" s="69">
        <f t="shared" si="10"/>
        <v>0</v>
      </c>
      <c r="Q57" s="69">
        <f t="shared" si="10"/>
        <v>0</v>
      </c>
      <c r="R57" s="69">
        <f t="shared" si="10"/>
        <v>0</v>
      </c>
      <c r="S57" s="69">
        <f t="shared" si="10"/>
        <v>0</v>
      </c>
      <c r="T57" s="69">
        <f t="shared" si="10"/>
        <v>0</v>
      </c>
      <c r="U57" s="69">
        <f t="shared" si="10"/>
        <v>0</v>
      </c>
      <c r="V57" s="69">
        <f t="shared" si="10"/>
        <v>0</v>
      </c>
      <c r="W57" s="69">
        <f t="shared" si="10"/>
        <v>0</v>
      </c>
      <c r="X57" s="69">
        <f t="shared" si="10"/>
        <v>0</v>
      </c>
      <c r="Y57" s="150">
        <f t="shared" si="10"/>
        <v>0</v>
      </c>
      <c r="Z57" s="150">
        <f t="shared" ref="Z57" si="11">SUM(Z38:Z56)</f>
        <v>0</v>
      </c>
    </row>
    <row r="58" spans="2:26" ht="13.5" thickBot="1" x14ac:dyDescent="0.25">
      <c r="B58" s="13"/>
      <c r="C58" s="54" t="s">
        <v>50</v>
      </c>
      <c r="D58" s="67">
        <f>SUM(E58:Y58)</f>
        <v>1801.3927485540428</v>
      </c>
      <c r="E58" s="77">
        <f>+E57/E$9</f>
        <v>1038.1638899040736</v>
      </c>
      <c r="F58" s="77">
        <f t="shared" ref="F58:Z58" si="12">+F57/F$9</f>
        <v>763.2288586499692</v>
      </c>
      <c r="G58" s="77">
        <f t="shared" si="12"/>
        <v>0</v>
      </c>
      <c r="H58" s="77">
        <f t="shared" si="12"/>
        <v>0</v>
      </c>
      <c r="I58" s="77">
        <f t="shared" si="12"/>
        <v>0</v>
      </c>
      <c r="J58" s="77">
        <f t="shared" si="12"/>
        <v>0</v>
      </c>
      <c r="K58" s="77">
        <f t="shared" si="12"/>
        <v>0</v>
      </c>
      <c r="L58" s="77">
        <f t="shared" si="12"/>
        <v>0</v>
      </c>
      <c r="M58" s="77">
        <f t="shared" si="12"/>
        <v>0</v>
      </c>
      <c r="N58" s="77">
        <f t="shared" si="12"/>
        <v>0</v>
      </c>
      <c r="O58" s="77">
        <f t="shared" si="12"/>
        <v>0</v>
      </c>
      <c r="P58" s="77">
        <f t="shared" si="12"/>
        <v>0</v>
      </c>
      <c r="Q58" s="77">
        <f t="shared" si="12"/>
        <v>0</v>
      </c>
      <c r="R58" s="77">
        <f t="shared" si="12"/>
        <v>0</v>
      </c>
      <c r="S58" s="77">
        <f t="shared" si="12"/>
        <v>0</v>
      </c>
      <c r="T58" s="77">
        <f t="shared" si="12"/>
        <v>0</v>
      </c>
      <c r="U58" s="77">
        <f t="shared" si="12"/>
        <v>0</v>
      </c>
      <c r="V58" s="77">
        <f t="shared" si="12"/>
        <v>0</v>
      </c>
      <c r="W58" s="77">
        <f t="shared" si="12"/>
        <v>0</v>
      </c>
      <c r="X58" s="77">
        <f t="shared" si="12"/>
        <v>0</v>
      </c>
      <c r="Y58" s="77">
        <f t="shared" si="12"/>
        <v>0</v>
      </c>
      <c r="Z58" s="77">
        <f t="shared" si="12"/>
        <v>0</v>
      </c>
    </row>
    <row r="59" spans="2:26" x14ac:dyDescent="0.2">
      <c r="B59" s="10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6"/>
      <c r="Z59" s="56"/>
    </row>
    <row r="60" spans="2:26" x14ac:dyDescent="0.2">
      <c r="B60" s="371" t="str">
        <f>'User Input'!D82</f>
        <v>Option 2: Provide In Meter Capabilities with Near Real-time Centralised Analytics</v>
      </c>
      <c r="C60" s="367"/>
      <c r="D60" s="372"/>
      <c r="E60" s="369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</row>
    <row r="61" spans="2:26" ht="13.5" thickBot="1" x14ac:dyDescent="0.25">
      <c r="B61" s="20"/>
      <c r="C61" s="5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7"/>
      <c r="Z61" s="17"/>
    </row>
    <row r="62" spans="2:26" ht="13.5" thickBot="1" x14ac:dyDescent="0.25">
      <c r="B62" s="52"/>
      <c r="C62" s="4" t="s">
        <v>76</v>
      </c>
      <c r="D62" s="67">
        <f>SUM(E62:Y62)</f>
        <v>11654.361307086248</v>
      </c>
      <c r="E62" s="64">
        <f>'User Input'!F17*E10</f>
        <v>6479.3250430971002</v>
      </c>
      <c r="F62" s="64">
        <f>'User Input'!G17*F$10</f>
        <v>5175.0362639891491</v>
      </c>
      <c r="G62" s="64">
        <f>'User Input'!H17*G$10</f>
        <v>0</v>
      </c>
      <c r="H62" s="64">
        <f>'User Input'!I17*H$10</f>
        <v>0</v>
      </c>
      <c r="I62" s="64">
        <f>'User Input'!J17*I$10</f>
        <v>0</v>
      </c>
      <c r="J62" s="64">
        <f>'User Input'!K17*J$10</f>
        <v>0</v>
      </c>
      <c r="K62" s="64">
        <f>'User Input'!L17*K$10</f>
        <v>0</v>
      </c>
      <c r="L62" s="64">
        <f>'User Input'!M17*L$10</f>
        <v>0</v>
      </c>
      <c r="M62" s="64">
        <f>'User Input'!N17*M$10</f>
        <v>0</v>
      </c>
      <c r="N62" s="64">
        <f>'User Input'!O17*N$10</f>
        <v>0</v>
      </c>
      <c r="O62" s="64">
        <f>'User Input'!P17*O$10</f>
        <v>0</v>
      </c>
      <c r="P62" s="64">
        <f>'User Input'!Q17*P$10</f>
        <v>0</v>
      </c>
      <c r="Q62" s="64">
        <f>'User Input'!R17*Q$10</f>
        <v>0</v>
      </c>
      <c r="R62" s="64">
        <f>'User Input'!S17*R$10</f>
        <v>0</v>
      </c>
      <c r="S62" s="64">
        <f>'User Input'!T17*S$10</f>
        <v>0</v>
      </c>
      <c r="T62" s="64">
        <f>'User Input'!U17*T$10</f>
        <v>0</v>
      </c>
      <c r="U62" s="64">
        <f>'User Input'!V17*U$10</f>
        <v>0</v>
      </c>
      <c r="V62" s="64">
        <f>'User Input'!W17*V$10</f>
        <v>0</v>
      </c>
      <c r="W62" s="64">
        <f>'User Input'!X17*W$10</f>
        <v>0</v>
      </c>
      <c r="X62" s="64">
        <f>'User Input'!Y17*X$10</f>
        <v>0</v>
      </c>
      <c r="Y62" s="64">
        <f>'User Input'!Z17*Y$10</f>
        <v>0</v>
      </c>
      <c r="Z62" s="64">
        <f>'User Input'!AA17*Z$10</f>
        <v>0</v>
      </c>
    </row>
    <row r="63" spans="2:26" ht="13.5" thickBot="1" x14ac:dyDescent="0.25">
      <c r="B63" s="13"/>
      <c r="C63" s="22" t="str">
        <f>'User Input'!D85</f>
        <v>Maintenance Costs</v>
      </c>
      <c r="D63" s="67">
        <f t="shared" ref="D63:D80" si="13">SUM(E63:Y63)</f>
        <v>0</v>
      </c>
      <c r="E63" s="697">
        <v>0</v>
      </c>
      <c r="F63" s="64">
        <f>'User Input'!F85*F$10</f>
        <v>0</v>
      </c>
      <c r="G63" s="64">
        <f>'User Input'!G85*G$10</f>
        <v>0</v>
      </c>
      <c r="H63" s="64">
        <f>'User Input'!H85*H$10</f>
        <v>0</v>
      </c>
      <c r="I63" s="64">
        <f>'User Input'!I85*I$10</f>
        <v>0</v>
      </c>
      <c r="J63" s="64">
        <f>'User Input'!J85*J$10</f>
        <v>0</v>
      </c>
      <c r="K63" s="64">
        <f>'User Input'!K85*K$10</f>
        <v>0</v>
      </c>
      <c r="L63" s="64">
        <f>'User Input'!L85*L$10</f>
        <v>0</v>
      </c>
      <c r="M63" s="64">
        <f>'User Input'!M85*M$10</f>
        <v>0</v>
      </c>
      <c r="N63" s="64">
        <f>'User Input'!N85*N$10</f>
        <v>0</v>
      </c>
      <c r="O63" s="64">
        <f>'User Input'!O85*O$10</f>
        <v>0</v>
      </c>
      <c r="P63" s="64">
        <f>'User Input'!P85*P$10</f>
        <v>0</v>
      </c>
      <c r="Q63" s="64">
        <f>'User Input'!Q85*Q$10</f>
        <v>0</v>
      </c>
      <c r="R63" s="64">
        <f>'User Input'!R85*R$10</f>
        <v>0</v>
      </c>
      <c r="S63" s="64">
        <f>'User Input'!S85*S$10</f>
        <v>0</v>
      </c>
      <c r="T63" s="64">
        <f>'User Input'!T85*T$10</f>
        <v>0</v>
      </c>
      <c r="U63" s="64">
        <f>'User Input'!U85*U$10</f>
        <v>0</v>
      </c>
      <c r="V63" s="64">
        <f>'User Input'!V85*V$10</f>
        <v>0</v>
      </c>
      <c r="W63" s="64">
        <f>'User Input'!W85*W$10</f>
        <v>0</v>
      </c>
      <c r="X63" s="64">
        <f>'User Input'!X85*X$10</f>
        <v>0</v>
      </c>
      <c r="Y63" s="64">
        <f>'User Input'!Y85*Y$10</f>
        <v>0</v>
      </c>
      <c r="Z63" s="64">
        <f>'User Input'!Z85*Z$10</f>
        <v>0</v>
      </c>
    </row>
    <row r="64" spans="2:26" ht="13.5" thickBot="1" x14ac:dyDescent="0.25">
      <c r="B64" s="13"/>
      <c r="C64" s="137" t="str">
        <f>'User Input'!D87</f>
        <v>Negative Impact on Revenue (STPIS)</v>
      </c>
      <c r="D64" s="195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46"/>
      <c r="Z64" s="146"/>
    </row>
    <row r="65" spans="1:26" ht="13.5" thickBot="1" x14ac:dyDescent="0.25">
      <c r="B65" s="13"/>
      <c r="C65" s="140" t="str">
        <f>'User Input'!D88</f>
        <v>SAIFI sustained</v>
      </c>
      <c r="D65" s="67">
        <f t="shared" si="13"/>
        <v>0</v>
      </c>
      <c r="E65" s="259">
        <v>0</v>
      </c>
      <c r="F65" s="259">
        <v>0</v>
      </c>
      <c r="G65" s="697">
        <v>0</v>
      </c>
      <c r="H65" s="64">
        <f>IF('User Input'!$I$8=1,'User Input'!F88*'Administrator Input'!$F$41*H10,0)</f>
        <v>0</v>
      </c>
      <c r="I65" s="64">
        <f>IF('User Input'!$I$8=1,'User Input'!G88*'Administrator Input'!$F$41*I10,0)</f>
        <v>0</v>
      </c>
      <c r="J65" s="64">
        <f>IF('User Input'!$I$8=1,'User Input'!H88*'Administrator Input'!$F$41*J10,0)</f>
        <v>0</v>
      </c>
      <c r="K65" s="64">
        <f>IF('User Input'!$I$8=1,'User Input'!I88*'Administrator Input'!$F$41*K10,0)</f>
        <v>0</v>
      </c>
      <c r="L65" s="64">
        <f>IF('User Input'!$I$8=1,'User Input'!J88*'Administrator Input'!$F$41*L10,0)</f>
        <v>0</v>
      </c>
      <c r="M65" s="64">
        <f>IF('User Input'!$I$8=1,'User Input'!K88*'Administrator Input'!$F$41*M10,0)</f>
        <v>0</v>
      </c>
      <c r="N65" s="64">
        <f>IF('User Input'!$I$8=1,'User Input'!L88*'Administrator Input'!$F$41*N10,0)</f>
        <v>0</v>
      </c>
      <c r="O65" s="64">
        <f>IF('User Input'!$I$8=1,'User Input'!M88*'Administrator Input'!$F$41*O10,0)</f>
        <v>0</v>
      </c>
      <c r="P65" s="64">
        <f>IF('User Input'!$I$8=1,'User Input'!N88*'Administrator Input'!$F$41*P10,0)</f>
        <v>0</v>
      </c>
      <c r="Q65" s="64">
        <f>IF('User Input'!$I$8=1,'User Input'!O88*'Administrator Input'!$F$41*Q10,0)</f>
        <v>0</v>
      </c>
      <c r="R65" s="64">
        <f>IF('User Input'!$I$8=1,'User Input'!P88*'Administrator Input'!$F$41*R10,0)</f>
        <v>0</v>
      </c>
      <c r="S65" s="64">
        <f>IF('User Input'!$I$8=1,'User Input'!Q88*'Administrator Input'!$F$41*S10,0)</f>
        <v>0</v>
      </c>
      <c r="T65" s="64">
        <f>IF('User Input'!$I$8=1,'User Input'!R88*'Administrator Input'!$F$41*T10,0)</f>
        <v>0</v>
      </c>
      <c r="U65" s="64">
        <f>IF('User Input'!$I$8=1,'User Input'!S88*'Administrator Input'!$F$41*U10,0)</f>
        <v>0</v>
      </c>
      <c r="V65" s="64">
        <f>IF('User Input'!$I$8=1,'User Input'!T88*'Administrator Input'!$F$41*V10,0)</f>
        <v>0</v>
      </c>
      <c r="W65" s="64">
        <f>IF('User Input'!$I$8=1,'User Input'!U88*'Administrator Input'!$F$41*W10,0)</f>
        <v>0</v>
      </c>
      <c r="X65" s="64">
        <f>IF('User Input'!$I$8=1,'User Input'!V88*'Administrator Input'!$F$41*X10,0)</f>
        <v>0</v>
      </c>
      <c r="Y65" s="64">
        <f>IF('User Input'!$I$8=1,'User Input'!W88*'Administrator Input'!$F$41*Y10,0)</f>
        <v>0</v>
      </c>
      <c r="Z65" s="64">
        <f>IF('User Input'!$I$8=1,'User Input'!X88*'Administrator Input'!$F$41*Z10,0)</f>
        <v>0</v>
      </c>
    </row>
    <row r="66" spans="1:26" ht="13.5" thickBot="1" x14ac:dyDescent="0.25">
      <c r="B66" s="13"/>
      <c r="C66" s="140" t="str">
        <f>'User Input'!D89</f>
        <v>SAIDI accidental</v>
      </c>
      <c r="D66" s="67">
        <f t="shared" si="13"/>
        <v>0</v>
      </c>
      <c r="E66" s="259">
        <v>0</v>
      </c>
      <c r="F66" s="259">
        <v>0</v>
      </c>
      <c r="G66" s="697">
        <v>0</v>
      </c>
      <c r="H66" s="64">
        <f>IF('User Input'!$I$8=1,'User Input'!F89*'Administrator Input'!$F$42*H10,0)</f>
        <v>0</v>
      </c>
      <c r="I66" s="64">
        <f>IF('User Input'!$I$8=1,'User Input'!G89*'Administrator Input'!$F$42*I10,0)</f>
        <v>0</v>
      </c>
      <c r="J66" s="64">
        <f>IF('User Input'!$I$8=1,'User Input'!H89*'Administrator Input'!$F$42*J10,0)</f>
        <v>0</v>
      </c>
      <c r="K66" s="64">
        <f>IF('User Input'!$I$8=1,'User Input'!I89*'Administrator Input'!$F$42*K10,0)</f>
        <v>0</v>
      </c>
      <c r="L66" s="64">
        <f>IF('User Input'!$I$8=1,'User Input'!J89*'Administrator Input'!$F$42*L10,0)</f>
        <v>0</v>
      </c>
      <c r="M66" s="64">
        <f>IF('User Input'!$I$8=1,'User Input'!K89*'Administrator Input'!$F$42*M10,0)</f>
        <v>0</v>
      </c>
      <c r="N66" s="64">
        <f>IF('User Input'!$I$8=1,'User Input'!L89*'Administrator Input'!$F$42*N10,0)</f>
        <v>0</v>
      </c>
      <c r="O66" s="64">
        <f>IF('User Input'!$I$8=1,'User Input'!M89*'Administrator Input'!$F$42*O10,0)</f>
        <v>0</v>
      </c>
      <c r="P66" s="64">
        <f>IF('User Input'!$I$8=1,'User Input'!N89*'Administrator Input'!$F$42*P10,0)</f>
        <v>0</v>
      </c>
      <c r="Q66" s="64">
        <f>IF('User Input'!$I$8=1,'User Input'!O89*'Administrator Input'!$F$42*Q10,0)</f>
        <v>0</v>
      </c>
      <c r="R66" s="64">
        <f>IF('User Input'!$I$8=1,'User Input'!P89*'Administrator Input'!$F$42*R10,0)</f>
        <v>0</v>
      </c>
      <c r="S66" s="64">
        <f>IF('User Input'!$I$8=1,'User Input'!Q89*'Administrator Input'!$F$42*S10,0)</f>
        <v>0</v>
      </c>
      <c r="T66" s="64">
        <f>IF('User Input'!$I$8=1,'User Input'!R89*'Administrator Input'!$F$42*T10,0)</f>
        <v>0</v>
      </c>
      <c r="U66" s="64">
        <f>IF('User Input'!$I$8=1,'User Input'!S89*'Administrator Input'!$F$42*U10,0)</f>
        <v>0</v>
      </c>
      <c r="V66" s="64">
        <f>IF('User Input'!$I$8=1,'User Input'!T89*'Administrator Input'!$F$42*V10,0)</f>
        <v>0</v>
      </c>
      <c r="W66" s="64">
        <f>IF('User Input'!$I$8=1,'User Input'!U89*'Administrator Input'!$F$42*W10,0)</f>
        <v>0</v>
      </c>
      <c r="X66" s="64">
        <f>IF('User Input'!$I$8=1,'User Input'!V89*'Administrator Input'!$F$42*X10,0)</f>
        <v>0</v>
      </c>
      <c r="Y66" s="64">
        <f>IF('User Input'!$I$8=1,'User Input'!W89*'Administrator Input'!$F$42*Y10,0)</f>
        <v>0</v>
      </c>
      <c r="Z66" s="64">
        <f>IF('User Input'!$I$8=1,'User Input'!X89*'Administrator Input'!$F$42*Z10,0)</f>
        <v>0</v>
      </c>
    </row>
    <row r="67" spans="1:26" ht="13.5" thickBot="1" x14ac:dyDescent="0.25">
      <c r="B67" s="13"/>
      <c r="C67" s="140" t="str">
        <f>'User Input'!D90</f>
        <v>MAIFI momentary</v>
      </c>
      <c r="D67" s="67">
        <f t="shared" si="13"/>
        <v>0</v>
      </c>
      <c r="E67" s="259">
        <v>0</v>
      </c>
      <c r="F67" s="259">
        <v>0</v>
      </c>
      <c r="G67" s="697">
        <v>0</v>
      </c>
      <c r="H67" s="64">
        <f>IF('User Input'!$I$8=1,'User Input'!F90*'Administrator Input'!$F$43*H10,0)</f>
        <v>0</v>
      </c>
      <c r="I67" s="64">
        <f>IF('User Input'!$I$8=1,'User Input'!G90*'Administrator Input'!$F$43*I10,0)</f>
        <v>0</v>
      </c>
      <c r="J67" s="64">
        <f>IF('User Input'!$I$8=1,'User Input'!H90*'Administrator Input'!$F$43*J10,0)</f>
        <v>0</v>
      </c>
      <c r="K67" s="64">
        <f>IF('User Input'!$I$8=1,'User Input'!I90*'Administrator Input'!$F$43*K10,0)</f>
        <v>0</v>
      </c>
      <c r="L67" s="64">
        <f>IF('User Input'!$I$8=1,'User Input'!J90*'Administrator Input'!$F$43*L10,0)</f>
        <v>0</v>
      </c>
      <c r="M67" s="64">
        <f>IF('User Input'!$I$8=1,'User Input'!K90*'Administrator Input'!$F$43*M10,0)</f>
        <v>0</v>
      </c>
      <c r="N67" s="64">
        <f>IF('User Input'!$I$8=1,'User Input'!L90*'Administrator Input'!$F$43*N10,0)</f>
        <v>0</v>
      </c>
      <c r="O67" s="64">
        <f>IF('User Input'!$I$8=1,'User Input'!M90*'Administrator Input'!$F$43*O10,0)</f>
        <v>0</v>
      </c>
      <c r="P67" s="64">
        <f>IF('User Input'!$I$8=1,'User Input'!N90*'Administrator Input'!$F$43*P10,0)</f>
        <v>0</v>
      </c>
      <c r="Q67" s="64">
        <f>IF('User Input'!$I$8=1,'User Input'!O90*'Administrator Input'!$F$43*Q10,0)</f>
        <v>0</v>
      </c>
      <c r="R67" s="64">
        <f>IF('User Input'!$I$8=1,'User Input'!P90*'Administrator Input'!$F$43*R10,0)</f>
        <v>0</v>
      </c>
      <c r="S67" s="64">
        <f>IF('User Input'!$I$8=1,'User Input'!Q90*'Administrator Input'!$F$43*S10,0)</f>
        <v>0</v>
      </c>
      <c r="T67" s="64">
        <f>IF('User Input'!$I$8=1,'User Input'!R90*'Administrator Input'!$F$43*T10,0)</f>
        <v>0</v>
      </c>
      <c r="U67" s="64">
        <f>IF('User Input'!$I$8=1,'User Input'!S90*'Administrator Input'!$F$43*U10,0)</f>
        <v>0</v>
      </c>
      <c r="V67" s="64">
        <f>IF('User Input'!$I$8=1,'User Input'!T90*'Administrator Input'!$F$43*V10,0)</f>
        <v>0</v>
      </c>
      <c r="W67" s="64">
        <f>IF('User Input'!$I$8=1,'User Input'!U90*'Administrator Input'!$F$43*W10,0)</f>
        <v>0</v>
      </c>
      <c r="X67" s="64">
        <f>IF('User Input'!$I$8=1,'User Input'!V90*'Administrator Input'!$F$43*X10,0)</f>
        <v>0</v>
      </c>
      <c r="Y67" s="64">
        <f>IF('User Input'!$I$8=1,'User Input'!W90*'Administrator Input'!$F$43*Y10,0)</f>
        <v>0</v>
      </c>
      <c r="Z67" s="64">
        <f>IF('User Input'!$I$8=1,'User Input'!X90*'Administrator Input'!$F$43*Z10,0)</f>
        <v>0</v>
      </c>
    </row>
    <row r="68" spans="1:26" ht="13.5" thickBot="1" x14ac:dyDescent="0.25">
      <c r="B68" s="13"/>
      <c r="C68" s="140" t="str">
        <f>'User Input'!D91</f>
        <v>Call centre response</v>
      </c>
      <c r="D68" s="67">
        <f t="shared" si="13"/>
        <v>0</v>
      </c>
      <c r="E68" s="259">
        <v>0</v>
      </c>
      <c r="F68" s="259">
        <v>0</v>
      </c>
      <c r="G68" s="697">
        <v>0</v>
      </c>
      <c r="H68" s="64">
        <f>IF('User Input'!$I$8=1,'User Input'!F91*'Administrator Input'!$F$44*H10,0)</f>
        <v>0</v>
      </c>
      <c r="I68" s="64">
        <f>IF('User Input'!$I$8=1,'User Input'!G91*'Administrator Input'!$F$44*I10,0)</f>
        <v>0</v>
      </c>
      <c r="J68" s="64">
        <f>IF('User Input'!$I$8=1,'User Input'!H91*'Administrator Input'!$F$44*J10,0)</f>
        <v>0</v>
      </c>
      <c r="K68" s="64">
        <f>IF('User Input'!$I$8=1,'User Input'!I91*'Administrator Input'!$F$44*K10,0)</f>
        <v>0</v>
      </c>
      <c r="L68" s="64">
        <f>IF('User Input'!$I$8=1,'User Input'!J91*'Administrator Input'!$F$44*L10,0)</f>
        <v>0</v>
      </c>
      <c r="M68" s="64">
        <f>IF('User Input'!$I$8=1,'User Input'!K91*'Administrator Input'!$F$44*M10,0)</f>
        <v>0</v>
      </c>
      <c r="N68" s="64">
        <f>IF('User Input'!$I$8=1,'User Input'!L91*'Administrator Input'!$F$44*N10,0)</f>
        <v>0</v>
      </c>
      <c r="O68" s="64">
        <f>IF('User Input'!$I$8=1,'User Input'!M91*'Administrator Input'!$F$44*O10,0)</f>
        <v>0</v>
      </c>
      <c r="P68" s="64">
        <f>IF('User Input'!$I$8=1,'User Input'!N91*'Administrator Input'!$F$44*P10,0)</f>
        <v>0</v>
      </c>
      <c r="Q68" s="64">
        <f>IF('User Input'!$I$8=1,'User Input'!O91*'Administrator Input'!$F$44*Q10,0)</f>
        <v>0</v>
      </c>
      <c r="R68" s="64">
        <f>IF('User Input'!$I$8=1,'User Input'!P91*'Administrator Input'!$F$44*R10,0)</f>
        <v>0</v>
      </c>
      <c r="S68" s="64">
        <f>IF('User Input'!$I$8=1,'User Input'!Q91*'Administrator Input'!$F$44*S10,0)</f>
        <v>0</v>
      </c>
      <c r="T68" s="64">
        <f>IF('User Input'!$I$8=1,'User Input'!R91*'Administrator Input'!$F$44*T10,0)</f>
        <v>0</v>
      </c>
      <c r="U68" s="64">
        <f>IF('User Input'!$I$8=1,'User Input'!S91*'Administrator Input'!$F$44*U10,0)</f>
        <v>0</v>
      </c>
      <c r="V68" s="64">
        <f>IF('User Input'!$I$8=1,'User Input'!T91*'Administrator Input'!$F$44*V10,0)</f>
        <v>0</v>
      </c>
      <c r="W68" s="64">
        <f>IF('User Input'!$I$8=1,'User Input'!U91*'Administrator Input'!$F$44*W10,0)</f>
        <v>0</v>
      </c>
      <c r="X68" s="64">
        <f>IF('User Input'!$I$8=1,'User Input'!V91*'Administrator Input'!$F$44*X10,0)</f>
        <v>0</v>
      </c>
      <c r="Y68" s="64">
        <f>IF('User Input'!$I$8=1,'User Input'!W91*'Administrator Input'!$F$44*Y10,0)</f>
        <v>0</v>
      </c>
      <c r="Z68" s="64">
        <f>IF('User Input'!$I$8=1,'User Input'!X91*'Administrator Input'!$F$44*Z10,0)</f>
        <v>0</v>
      </c>
    </row>
    <row r="69" spans="1:26" ht="13.5" thickBot="1" x14ac:dyDescent="0.25">
      <c r="A69" s="138"/>
      <c r="B69" s="142"/>
      <c r="C69" s="137" t="str">
        <f>'User Input'!D93</f>
        <v>Network Outage Costs</v>
      </c>
      <c r="D69" s="67">
        <f t="shared" si="13"/>
        <v>0</v>
      </c>
      <c r="E69" s="697">
        <v>0</v>
      </c>
      <c r="F69" s="141">
        <f>'User Input'!F94*'Administrator Input'!$F$49*F10</f>
        <v>0</v>
      </c>
      <c r="G69" s="141">
        <f>'User Input'!G94*'Administrator Input'!$F$49*G10</f>
        <v>0</v>
      </c>
      <c r="H69" s="141">
        <f>'User Input'!H94*'Administrator Input'!$F$49*H10</f>
        <v>0</v>
      </c>
      <c r="I69" s="141">
        <f>'User Input'!I94*'Administrator Input'!$F$49*I10</f>
        <v>0</v>
      </c>
      <c r="J69" s="141">
        <f>'User Input'!J94*'Administrator Input'!$F$49*J10</f>
        <v>0</v>
      </c>
      <c r="K69" s="141">
        <f>'User Input'!K94*'Administrator Input'!$F$49*K10</f>
        <v>0</v>
      </c>
      <c r="L69" s="141">
        <f>'User Input'!L94*'Administrator Input'!$F$49*L10</f>
        <v>0</v>
      </c>
      <c r="M69" s="141">
        <f>'User Input'!M94*'Administrator Input'!$F$49*M10</f>
        <v>0</v>
      </c>
      <c r="N69" s="141">
        <f>'User Input'!N94*'Administrator Input'!$F$49*N10</f>
        <v>0</v>
      </c>
      <c r="O69" s="141">
        <f>'User Input'!O94*'Administrator Input'!$F$49*O10</f>
        <v>0</v>
      </c>
      <c r="P69" s="141">
        <f>'User Input'!P94*'Administrator Input'!$F$49*P10</f>
        <v>0</v>
      </c>
      <c r="Q69" s="141">
        <f>'User Input'!Q94*'Administrator Input'!$F$49*Q10</f>
        <v>0</v>
      </c>
      <c r="R69" s="141">
        <f>'User Input'!R94*'Administrator Input'!$F$49*R10</f>
        <v>0</v>
      </c>
      <c r="S69" s="141">
        <f>'User Input'!S94*'Administrator Input'!$F$49*S10</f>
        <v>0</v>
      </c>
      <c r="T69" s="141">
        <f>'User Input'!T94*'Administrator Input'!$F$49*T10</f>
        <v>0</v>
      </c>
      <c r="U69" s="141">
        <f>'User Input'!U94*'Administrator Input'!$F$49*U10</f>
        <v>0</v>
      </c>
      <c r="V69" s="141">
        <f>'User Input'!V94*'Administrator Input'!$F$49*V10</f>
        <v>0</v>
      </c>
      <c r="W69" s="141">
        <f>'User Input'!W94*'Administrator Input'!$F$49*W10</f>
        <v>0</v>
      </c>
      <c r="X69" s="141">
        <f>'User Input'!X94*'Administrator Input'!$F$49*X10</f>
        <v>0</v>
      </c>
      <c r="Y69" s="141">
        <f>'User Input'!Y94*'Administrator Input'!$F$49*Y10</f>
        <v>0</v>
      </c>
      <c r="Z69" s="141">
        <f>'User Input'!Z94*'Administrator Input'!$F$49*Z10</f>
        <v>0</v>
      </c>
    </row>
    <row r="70" spans="1:26" ht="13.5" thickBot="1" x14ac:dyDescent="0.25">
      <c r="A70" s="138"/>
      <c r="B70" s="142"/>
      <c r="C70" s="137" t="str">
        <f>'User Input'!D97</f>
        <v>Loss of F Factor Benefit</v>
      </c>
      <c r="D70" s="67">
        <f t="shared" si="13"/>
        <v>0</v>
      </c>
      <c r="E70" s="697">
        <v>0</v>
      </c>
      <c r="F70" s="141">
        <f>'User Input'!F97*'Administrator Input'!$F$54</f>
        <v>0</v>
      </c>
      <c r="G70" s="141">
        <f>'User Input'!G97*'Administrator Input'!$F$54</f>
        <v>0</v>
      </c>
      <c r="H70" s="141">
        <f>'User Input'!H97*'Administrator Input'!$F$54</f>
        <v>0</v>
      </c>
      <c r="I70" s="141">
        <f>'User Input'!I97*'Administrator Input'!$F$54</f>
        <v>0</v>
      </c>
      <c r="J70" s="141">
        <f>'User Input'!J97*'Administrator Input'!$F$54</f>
        <v>0</v>
      </c>
      <c r="K70" s="141">
        <f>'User Input'!K97*'Administrator Input'!$F$54</f>
        <v>0</v>
      </c>
      <c r="L70" s="141">
        <f>'User Input'!L97*'Administrator Input'!$F$54</f>
        <v>0</v>
      </c>
      <c r="M70" s="141">
        <f>'User Input'!M97*'Administrator Input'!$F$54</f>
        <v>0</v>
      </c>
      <c r="N70" s="141">
        <f>'User Input'!N97*'Administrator Input'!$F$54</f>
        <v>0</v>
      </c>
      <c r="O70" s="141">
        <f>'User Input'!O97*'Administrator Input'!$F$54</f>
        <v>0</v>
      </c>
      <c r="P70" s="141">
        <f>'User Input'!P97*'Administrator Input'!$F$54</f>
        <v>0</v>
      </c>
      <c r="Q70" s="141">
        <f>'User Input'!Q97*'Administrator Input'!$F$54</f>
        <v>0</v>
      </c>
      <c r="R70" s="141">
        <f>'User Input'!R97*'Administrator Input'!$F$54</f>
        <v>0</v>
      </c>
      <c r="S70" s="141">
        <f>'User Input'!S97*'Administrator Input'!$F$54</f>
        <v>0</v>
      </c>
      <c r="T70" s="141">
        <f>'User Input'!T97*'Administrator Input'!$F$54</f>
        <v>0</v>
      </c>
      <c r="U70" s="141">
        <f>'User Input'!U97*'Administrator Input'!$F$54</f>
        <v>0</v>
      </c>
      <c r="V70" s="141">
        <f>'User Input'!V97*'Administrator Input'!$F$54</f>
        <v>0</v>
      </c>
      <c r="W70" s="141">
        <f>'User Input'!W97*'Administrator Input'!$F$54</f>
        <v>0</v>
      </c>
      <c r="X70" s="141">
        <f>'User Input'!X97*'Administrator Input'!$F$54</f>
        <v>0</v>
      </c>
      <c r="Y70" s="141">
        <f>'User Input'!Y97*'Administrator Input'!$F$54</f>
        <v>0</v>
      </c>
      <c r="Z70" s="141">
        <f>'User Input'!Z97*'Administrator Input'!$F$54</f>
        <v>0</v>
      </c>
    </row>
    <row r="71" spans="1:26" ht="13.5" thickBot="1" x14ac:dyDescent="0.25">
      <c r="B71" s="13"/>
      <c r="C71" s="22" t="str">
        <f>'User Input'!D100</f>
        <v>Cost 1</v>
      </c>
      <c r="D71" s="67">
        <f t="shared" si="13"/>
        <v>0</v>
      </c>
      <c r="E71" s="697">
        <v>0</v>
      </c>
      <c r="F71" s="64">
        <f>'User Input'!F100*F$10</f>
        <v>0</v>
      </c>
      <c r="G71" s="64">
        <f>'User Input'!G100*G$10</f>
        <v>0</v>
      </c>
      <c r="H71" s="64">
        <f>'User Input'!H100*H$10</f>
        <v>0</v>
      </c>
      <c r="I71" s="64">
        <f>'User Input'!I100*I$10</f>
        <v>0</v>
      </c>
      <c r="J71" s="64">
        <f>'User Input'!J100*J$10</f>
        <v>0</v>
      </c>
      <c r="K71" s="64">
        <f>'User Input'!K100*K$10</f>
        <v>0</v>
      </c>
      <c r="L71" s="64">
        <f>'User Input'!L100*L$10</f>
        <v>0</v>
      </c>
      <c r="M71" s="64">
        <f>'User Input'!M100*M$10</f>
        <v>0</v>
      </c>
      <c r="N71" s="64">
        <f>'User Input'!N100*N$10</f>
        <v>0</v>
      </c>
      <c r="O71" s="64">
        <f>'User Input'!O100*O$10</f>
        <v>0</v>
      </c>
      <c r="P71" s="64">
        <f>'User Input'!P100*P$10</f>
        <v>0</v>
      </c>
      <c r="Q71" s="64">
        <f>'User Input'!Q100*Q$10</f>
        <v>0</v>
      </c>
      <c r="R71" s="64">
        <f>'User Input'!R100*R$10</f>
        <v>0</v>
      </c>
      <c r="S71" s="64">
        <f>'User Input'!S100*S$10</f>
        <v>0</v>
      </c>
      <c r="T71" s="64">
        <f>'User Input'!T100*T$10</f>
        <v>0</v>
      </c>
      <c r="U71" s="64">
        <f>'User Input'!U100*U$10</f>
        <v>0</v>
      </c>
      <c r="V71" s="64">
        <f>'User Input'!V100*V$10</f>
        <v>0</v>
      </c>
      <c r="W71" s="64">
        <f>'User Input'!W100*W$10</f>
        <v>0</v>
      </c>
      <c r="X71" s="64">
        <f>'User Input'!X100*X$10</f>
        <v>0</v>
      </c>
      <c r="Y71" s="64">
        <f>'User Input'!Y100*Y$10</f>
        <v>0</v>
      </c>
      <c r="Z71" s="64">
        <f>'User Input'!Z100*Z$10</f>
        <v>0</v>
      </c>
    </row>
    <row r="72" spans="1:26" ht="13.5" thickBot="1" x14ac:dyDescent="0.25">
      <c r="B72" s="13"/>
      <c r="C72" s="22" t="str">
        <f>'User Input'!D101</f>
        <v>Cost 2</v>
      </c>
      <c r="D72" s="67">
        <f t="shared" si="13"/>
        <v>0</v>
      </c>
      <c r="E72" s="697">
        <v>0</v>
      </c>
      <c r="F72" s="64">
        <f>'User Input'!F101*F$10</f>
        <v>0</v>
      </c>
      <c r="G72" s="64">
        <f>'User Input'!G101*G$10</f>
        <v>0</v>
      </c>
      <c r="H72" s="64">
        <f>'User Input'!H101*H$10</f>
        <v>0</v>
      </c>
      <c r="I72" s="64">
        <f>'User Input'!I101*I$10</f>
        <v>0</v>
      </c>
      <c r="J72" s="64">
        <f>'User Input'!J101*J$10</f>
        <v>0</v>
      </c>
      <c r="K72" s="64">
        <f>'User Input'!K101*K$10</f>
        <v>0</v>
      </c>
      <c r="L72" s="64">
        <f>'User Input'!L101*L$10</f>
        <v>0</v>
      </c>
      <c r="M72" s="64">
        <f>'User Input'!M101*M$10</f>
        <v>0</v>
      </c>
      <c r="N72" s="64">
        <f>'User Input'!N101*N$10</f>
        <v>0</v>
      </c>
      <c r="O72" s="64">
        <f>'User Input'!O101*O$10</f>
        <v>0</v>
      </c>
      <c r="P72" s="64">
        <f>'User Input'!P101*P$10</f>
        <v>0</v>
      </c>
      <c r="Q72" s="64">
        <f>'User Input'!Q101*Q$10</f>
        <v>0</v>
      </c>
      <c r="R72" s="64">
        <f>'User Input'!R101*R$10</f>
        <v>0</v>
      </c>
      <c r="S72" s="64">
        <f>'User Input'!S101*S$10</f>
        <v>0</v>
      </c>
      <c r="T72" s="64">
        <f>'User Input'!T101*T$10</f>
        <v>0</v>
      </c>
      <c r="U72" s="64">
        <f>'User Input'!U101*U$10</f>
        <v>0</v>
      </c>
      <c r="V72" s="64">
        <f>'User Input'!V101*V$10</f>
        <v>0</v>
      </c>
      <c r="W72" s="64">
        <f>'User Input'!W101*W$10</f>
        <v>0</v>
      </c>
      <c r="X72" s="64">
        <f>'User Input'!X101*X$10</f>
        <v>0</v>
      </c>
      <c r="Y72" s="64">
        <f>'User Input'!Y101*Y$10</f>
        <v>0</v>
      </c>
      <c r="Z72" s="64">
        <f>'User Input'!Z101*Z$10</f>
        <v>0</v>
      </c>
    </row>
    <row r="73" spans="1:26" ht="13.5" thickBot="1" x14ac:dyDescent="0.25">
      <c r="B73" s="13"/>
      <c r="C73" s="22" t="str">
        <f>'User Input'!D102</f>
        <v>Cost 3</v>
      </c>
      <c r="D73" s="67">
        <f t="shared" si="13"/>
        <v>0</v>
      </c>
      <c r="E73" s="697">
        <v>0</v>
      </c>
      <c r="F73" s="64">
        <f>'User Input'!F102*F$10</f>
        <v>0</v>
      </c>
      <c r="G73" s="64">
        <f>'User Input'!G102*G$10</f>
        <v>0</v>
      </c>
      <c r="H73" s="64">
        <f>'User Input'!H102*H$10</f>
        <v>0</v>
      </c>
      <c r="I73" s="64">
        <f>'User Input'!I102*I$10</f>
        <v>0</v>
      </c>
      <c r="J73" s="64">
        <f>'User Input'!J102*J$10</f>
        <v>0</v>
      </c>
      <c r="K73" s="64">
        <f>'User Input'!K102*K$10</f>
        <v>0</v>
      </c>
      <c r="L73" s="64">
        <f>'User Input'!L102*L$10</f>
        <v>0</v>
      </c>
      <c r="M73" s="64">
        <f>'User Input'!M102*M$10</f>
        <v>0</v>
      </c>
      <c r="N73" s="64">
        <f>'User Input'!N102*N$10</f>
        <v>0</v>
      </c>
      <c r="O73" s="64">
        <f>'User Input'!O102*O$10</f>
        <v>0</v>
      </c>
      <c r="P73" s="64">
        <f>'User Input'!P102*P$10</f>
        <v>0</v>
      </c>
      <c r="Q73" s="64">
        <f>'User Input'!Q102*Q$10</f>
        <v>0</v>
      </c>
      <c r="R73" s="64">
        <f>'User Input'!R102*R$10</f>
        <v>0</v>
      </c>
      <c r="S73" s="64">
        <f>'User Input'!S102*S$10</f>
        <v>0</v>
      </c>
      <c r="T73" s="64">
        <f>'User Input'!T102*T$10</f>
        <v>0</v>
      </c>
      <c r="U73" s="64">
        <f>'User Input'!U102*U$10</f>
        <v>0</v>
      </c>
      <c r="V73" s="64">
        <f>'User Input'!V102*V$10</f>
        <v>0</v>
      </c>
      <c r="W73" s="64">
        <f>'User Input'!W102*W$10</f>
        <v>0</v>
      </c>
      <c r="X73" s="64">
        <f>'User Input'!X102*X$10</f>
        <v>0</v>
      </c>
      <c r="Y73" s="64">
        <f>'User Input'!Y102*Y$10</f>
        <v>0</v>
      </c>
      <c r="Z73" s="64">
        <f>'User Input'!Z102*Z$10</f>
        <v>0</v>
      </c>
    </row>
    <row r="74" spans="1:26" ht="13.5" thickBot="1" x14ac:dyDescent="0.25">
      <c r="B74" s="13"/>
      <c r="C74" s="22" t="str">
        <f>'User Input'!D103</f>
        <v>Cost 4</v>
      </c>
      <c r="D74" s="67">
        <f t="shared" si="13"/>
        <v>0</v>
      </c>
      <c r="E74" s="697">
        <v>0</v>
      </c>
      <c r="F74" s="64">
        <f>'User Input'!F103*F$10</f>
        <v>0</v>
      </c>
      <c r="G74" s="64">
        <f>'User Input'!G103*G$10</f>
        <v>0</v>
      </c>
      <c r="H74" s="64">
        <f>'User Input'!H103*H$10</f>
        <v>0</v>
      </c>
      <c r="I74" s="64">
        <f>'User Input'!I103*I$10</f>
        <v>0</v>
      </c>
      <c r="J74" s="64">
        <f>'User Input'!J103*J$10</f>
        <v>0</v>
      </c>
      <c r="K74" s="64">
        <f>'User Input'!K103*K$10</f>
        <v>0</v>
      </c>
      <c r="L74" s="64">
        <f>'User Input'!L103*L$10</f>
        <v>0</v>
      </c>
      <c r="M74" s="64">
        <f>'User Input'!M103*M$10</f>
        <v>0</v>
      </c>
      <c r="N74" s="64">
        <f>'User Input'!N103*N$10</f>
        <v>0</v>
      </c>
      <c r="O74" s="64">
        <f>'User Input'!O103*O$10</f>
        <v>0</v>
      </c>
      <c r="P74" s="64">
        <f>'User Input'!P103*P$10</f>
        <v>0</v>
      </c>
      <c r="Q74" s="64">
        <f>'User Input'!Q103*Q$10</f>
        <v>0</v>
      </c>
      <c r="R74" s="64">
        <f>'User Input'!R103*R$10</f>
        <v>0</v>
      </c>
      <c r="S74" s="64">
        <f>'User Input'!S103*S$10</f>
        <v>0</v>
      </c>
      <c r="T74" s="64">
        <f>'User Input'!T103*T$10</f>
        <v>0</v>
      </c>
      <c r="U74" s="64">
        <f>'User Input'!U103*U$10</f>
        <v>0</v>
      </c>
      <c r="V74" s="64">
        <f>'User Input'!V103*V$10</f>
        <v>0</v>
      </c>
      <c r="W74" s="64">
        <f>'User Input'!W103*W$10</f>
        <v>0</v>
      </c>
      <c r="X74" s="64">
        <f>'User Input'!X103*X$10</f>
        <v>0</v>
      </c>
      <c r="Y74" s="64">
        <f>'User Input'!Y103*Y$10</f>
        <v>0</v>
      </c>
      <c r="Z74" s="64">
        <f>'User Input'!Z103*Z$10</f>
        <v>0</v>
      </c>
    </row>
    <row r="75" spans="1:26" ht="13.5" thickBot="1" x14ac:dyDescent="0.25">
      <c r="B75" s="13"/>
      <c r="C75" s="22" t="str">
        <f>'User Input'!D104</f>
        <v>Cost 5</v>
      </c>
      <c r="D75" s="67">
        <f t="shared" si="13"/>
        <v>0</v>
      </c>
      <c r="E75" s="697">
        <v>0</v>
      </c>
      <c r="F75" s="64">
        <f>'User Input'!F104*F$10</f>
        <v>0</v>
      </c>
      <c r="G75" s="64">
        <f>'User Input'!G104*G$10</f>
        <v>0</v>
      </c>
      <c r="H75" s="64">
        <f>'User Input'!H104*H$10</f>
        <v>0</v>
      </c>
      <c r="I75" s="64">
        <f>'User Input'!I104*I$10</f>
        <v>0</v>
      </c>
      <c r="J75" s="64">
        <f>'User Input'!J104*J$10</f>
        <v>0</v>
      </c>
      <c r="K75" s="64">
        <f>'User Input'!K104*K$10</f>
        <v>0</v>
      </c>
      <c r="L75" s="64">
        <f>'User Input'!L104*L$10</f>
        <v>0</v>
      </c>
      <c r="M75" s="64">
        <f>'User Input'!M104*M$10</f>
        <v>0</v>
      </c>
      <c r="N75" s="64">
        <f>'User Input'!N104*N$10</f>
        <v>0</v>
      </c>
      <c r="O75" s="64">
        <f>'User Input'!O104*O$10</f>
        <v>0</v>
      </c>
      <c r="P75" s="64">
        <f>'User Input'!P104*P$10</f>
        <v>0</v>
      </c>
      <c r="Q75" s="64">
        <f>'User Input'!Q104*Q$10</f>
        <v>0</v>
      </c>
      <c r="R75" s="64">
        <f>'User Input'!R104*R$10</f>
        <v>0</v>
      </c>
      <c r="S75" s="64">
        <f>'User Input'!S104*S$10</f>
        <v>0</v>
      </c>
      <c r="T75" s="64">
        <f>'User Input'!T104*T$10</f>
        <v>0</v>
      </c>
      <c r="U75" s="64">
        <f>'User Input'!U104*U$10</f>
        <v>0</v>
      </c>
      <c r="V75" s="64">
        <f>'User Input'!V104*V$10</f>
        <v>0</v>
      </c>
      <c r="W75" s="64">
        <f>'User Input'!W104*W$10</f>
        <v>0</v>
      </c>
      <c r="X75" s="64">
        <f>'User Input'!X104*X$10</f>
        <v>0</v>
      </c>
      <c r="Y75" s="64">
        <f>'User Input'!Y104*Y$10</f>
        <v>0</v>
      </c>
      <c r="Z75" s="64">
        <f>'User Input'!Z104*Z$10</f>
        <v>0</v>
      </c>
    </row>
    <row r="76" spans="1:26" ht="13.5" thickBot="1" x14ac:dyDescent="0.25">
      <c r="B76" s="13"/>
      <c r="C76" s="22" t="str">
        <f>'User Input'!D105</f>
        <v>Risk 1</v>
      </c>
      <c r="D76" s="67">
        <f t="shared" si="13"/>
        <v>0</v>
      </c>
      <c r="E76" s="697">
        <v>0</v>
      </c>
      <c r="F76" s="64">
        <f>'User Input'!F105*F$10</f>
        <v>0</v>
      </c>
      <c r="G76" s="64">
        <f>'User Input'!G105*G$10</f>
        <v>0</v>
      </c>
      <c r="H76" s="64">
        <f>'User Input'!H105*H$10</f>
        <v>0</v>
      </c>
      <c r="I76" s="64">
        <f>'User Input'!I105*I$10</f>
        <v>0</v>
      </c>
      <c r="J76" s="64">
        <f>'User Input'!J105*J$10</f>
        <v>0</v>
      </c>
      <c r="K76" s="64">
        <f>'User Input'!K105*K$10</f>
        <v>0</v>
      </c>
      <c r="L76" s="64">
        <f>'User Input'!L105*L$10</f>
        <v>0</v>
      </c>
      <c r="M76" s="64">
        <f>'User Input'!M105*M$10</f>
        <v>0</v>
      </c>
      <c r="N76" s="64">
        <f>'User Input'!N105*N$10</f>
        <v>0</v>
      </c>
      <c r="O76" s="64">
        <f>'User Input'!O105*O$10</f>
        <v>0</v>
      </c>
      <c r="P76" s="64">
        <f>'User Input'!P105*P$10</f>
        <v>0</v>
      </c>
      <c r="Q76" s="64">
        <f>'User Input'!Q105*Q$10</f>
        <v>0</v>
      </c>
      <c r="R76" s="64">
        <f>'User Input'!R105*R$10</f>
        <v>0</v>
      </c>
      <c r="S76" s="64">
        <f>'User Input'!S105*S$10</f>
        <v>0</v>
      </c>
      <c r="T76" s="64">
        <f>'User Input'!T105*T$10</f>
        <v>0</v>
      </c>
      <c r="U76" s="64">
        <f>'User Input'!U105*U$10</f>
        <v>0</v>
      </c>
      <c r="V76" s="64">
        <f>'User Input'!V105*V$10</f>
        <v>0</v>
      </c>
      <c r="W76" s="64">
        <f>'User Input'!W105*W$10</f>
        <v>0</v>
      </c>
      <c r="X76" s="64">
        <f>'User Input'!X105*X$10</f>
        <v>0</v>
      </c>
      <c r="Y76" s="64">
        <f>'User Input'!Y105*Y$10</f>
        <v>0</v>
      </c>
      <c r="Z76" s="64">
        <f>'User Input'!Z105*Z$10</f>
        <v>0</v>
      </c>
    </row>
    <row r="77" spans="1:26" ht="13.5" thickBot="1" x14ac:dyDescent="0.25">
      <c r="B77" s="13"/>
      <c r="C77" s="22" t="str">
        <f>'User Input'!D106</f>
        <v>Risk 2</v>
      </c>
      <c r="D77" s="67">
        <f t="shared" si="13"/>
        <v>0</v>
      </c>
      <c r="E77" s="697">
        <v>0</v>
      </c>
      <c r="F77" s="64">
        <f>'User Input'!F106*F$10</f>
        <v>0</v>
      </c>
      <c r="G77" s="64">
        <f>'User Input'!G106*G$10</f>
        <v>0</v>
      </c>
      <c r="H77" s="64">
        <f>'User Input'!H106*H$10</f>
        <v>0</v>
      </c>
      <c r="I77" s="64">
        <f>'User Input'!I106*I$10</f>
        <v>0</v>
      </c>
      <c r="J77" s="64">
        <f>'User Input'!J106*J$10</f>
        <v>0</v>
      </c>
      <c r="K77" s="64">
        <f>'User Input'!K106*K$10</f>
        <v>0</v>
      </c>
      <c r="L77" s="64">
        <f>'User Input'!L106*L$10</f>
        <v>0</v>
      </c>
      <c r="M77" s="64">
        <f>'User Input'!M106*M$10</f>
        <v>0</v>
      </c>
      <c r="N77" s="64">
        <f>'User Input'!N106*N$10</f>
        <v>0</v>
      </c>
      <c r="O77" s="64">
        <f>'User Input'!O106*O$10</f>
        <v>0</v>
      </c>
      <c r="P77" s="64">
        <f>'User Input'!P106*P$10</f>
        <v>0</v>
      </c>
      <c r="Q77" s="64">
        <f>'User Input'!Q106*Q$10</f>
        <v>0</v>
      </c>
      <c r="R77" s="64">
        <f>'User Input'!R106*R$10</f>
        <v>0</v>
      </c>
      <c r="S77" s="64">
        <f>'User Input'!S106*S$10</f>
        <v>0</v>
      </c>
      <c r="T77" s="64">
        <f>'User Input'!T106*T$10</f>
        <v>0</v>
      </c>
      <c r="U77" s="64">
        <f>'User Input'!U106*U$10</f>
        <v>0</v>
      </c>
      <c r="V77" s="64">
        <f>'User Input'!V106*V$10</f>
        <v>0</v>
      </c>
      <c r="W77" s="64">
        <f>'User Input'!W106*W$10</f>
        <v>0</v>
      </c>
      <c r="X77" s="64">
        <f>'User Input'!X106*X$10</f>
        <v>0</v>
      </c>
      <c r="Y77" s="64">
        <f>'User Input'!Y106*Y$10</f>
        <v>0</v>
      </c>
      <c r="Z77" s="64">
        <f>'User Input'!Z106*Z$10</f>
        <v>0</v>
      </c>
    </row>
    <row r="78" spans="1:26" ht="13.5" thickBot="1" x14ac:dyDescent="0.25">
      <c r="B78" s="13"/>
      <c r="C78" s="22" t="str">
        <f>'User Input'!D107</f>
        <v>Risk 3</v>
      </c>
      <c r="D78" s="67">
        <f t="shared" si="13"/>
        <v>0</v>
      </c>
      <c r="E78" s="697">
        <v>0</v>
      </c>
      <c r="F78" s="64">
        <f>'User Input'!F107*F$10</f>
        <v>0</v>
      </c>
      <c r="G78" s="64">
        <f>'User Input'!G107*G$10</f>
        <v>0</v>
      </c>
      <c r="H78" s="64">
        <f>'User Input'!H107*H$10</f>
        <v>0</v>
      </c>
      <c r="I78" s="64">
        <f>'User Input'!I107*I$10</f>
        <v>0</v>
      </c>
      <c r="J78" s="64">
        <f>'User Input'!J107*J$10</f>
        <v>0</v>
      </c>
      <c r="K78" s="64">
        <f>'User Input'!K107*K$10</f>
        <v>0</v>
      </c>
      <c r="L78" s="64">
        <f>'User Input'!L107*L$10</f>
        <v>0</v>
      </c>
      <c r="M78" s="64">
        <f>'User Input'!M107*M$10</f>
        <v>0</v>
      </c>
      <c r="N78" s="64">
        <f>'User Input'!N107*N$10</f>
        <v>0</v>
      </c>
      <c r="O78" s="64">
        <f>'User Input'!O107*O$10</f>
        <v>0</v>
      </c>
      <c r="P78" s="64">
        <f>'User Input'!P107*P$10</f>
        <v>0</v>
      </c>
      <c r="Q78" s="64">
        <f>'User Input'!Q107*Q$10</f>
        <v>0</v>
      </c>
      <c r="R78" s="64">
        <f>'User Input'!R107*R$10</f>
        <v>0</v>
      </c>
      <c r="S78" s="64">
        <f>'User Input'!S107*S$10</f>
        <v>0</v>
      </c>
      <c r="T78" s="64">
        <f>'User Input'!T107*T$10</f>
        <v>0</v>
      </c>
      <c r="U78" s="64">
        <f>'User Input'!U107*U$10</f>
        <v>0</v>
      </c>
      <c r="V78" s="64">
        <f>'User Input'!V107*V$10</f>
        <v>0</v>
      </c>
      <c r="W78" s="64">
        <f>'User Input'!W107*W$10</f>
        <v>0</v>
      </c>
      <c r="X78" s="64">
        <f>'User Input'!X107*X$10</f>
        <v>0</v>
      </c>
      <c r="Y78" s="64">
        <f>'User Input'!Y107*Y$10</f>
        <v>0</v>
      </c>
      <c r="Z78" s="64">
        <f>'User Input'!Z107*Z$10</f>
        <v>0</v>
      </c>
    </row>
    <row r="79" spans="1:26" ht="13.5" thickBot="1" x14ac:dyDescent="0.25">
      <c r="B79" s="13"/>
      <c r="C79" s="22" t="str">
        <f>'User Input'!D108</f>
        <v>Risk 4</v>
      </c>
      <c r="D79" s="67">
        <f t="shared" si="13"/>
        <v>0</v>
      </c>
      <c r="E79" s="697">
        <v>0</v>
      </c>
      <c r="F79" s="64">
        <f>'User Input'!F108*F$10</f>
        <v>0</v>
      </c>
      <c r="G79" s="64">
        <f>'User Input'!G108*G$10</f>
        <v>0</v>
      </c>
      <c r="H79" s="64">
        <f>'User Input'!H108*H$10</f>
        <v>0</v>
      </c>
      <c r="I79" s="64">
        <f>'User Input'!I108*I$10</f>
        <v>0</v>
      </c>
      <c r="J79" s="64">
        <f>'User Input'!J108*J$10</f>
        <v>0</v>
      </c>
      <c r="K79" s="64">
        <f>'User Input'!K108*K$10</f>
        <v>0</v>
      </c>
      <c r="L79" s="64">
        <f>'User Input'!L108*L$10</f>
        <v>0</v>
      </c>
      <c r="M79" s="64">
        <f>'User Input'!M108*M$10</f>
        <v>0</v>
      </c>
      <c r="N79" s="64">
        <f>'User Input'!N108*N$10</f>
        <v>0</v>
      </c>
      <c r="O79" s="64">
        <f>'User Input'!O108*O$10</f>
        <v>0</v>
      </c>
      <c r="P79" s="64">
        <f>'User Input'!P108*P$10</f>
        <v>0</v>
      </c>
      <c r="Q79" s="64">
        <f>'User Input'!Q108*Q$10</f>
        <v>0</v>
      </c>
      <c r="R79" s="64">
        <f>'User Input'!R108*R$10</f>
        <v>0</v>
      </c>
      <c r="S79" s="64">
        <f>'User Input'!S108*S$10</f>
        <v>0</v>
      </c>
      <c r="T79" s="64">
        <f>'User Input'!T108*T$10</f>
        <v>0</v>
      </c>
      <c r="U79" s="64">
        <f>'User Input'!U108*U$10</f>
        <v>0</v>
      </c>
      <c r="V79" s="64">
        <f>'User Input'!V108*V$10</f>
        <v>0</v>
      </c>
      <c r="W79" s="64">
        <f>'User Input'!W108*W$10</f>
        <v>0</v>
      </c>
      <c r="X79" s="64">
        <f>'User Input'!X108*X$10</f>
        <v>0</v>
      </c>
      <c r="Y79" s="64">
        <f>'User Input'!Y108*Y$10</f>
        <v>0</v>
      </c>
      <c r="Z79" s="64">
        <f>'User Input'!Z108*Z$10</f>
        <v>0</v>
      </c>
    </row>
    <row r="80" spans="1:26" ht="13.5" thickBot="1" x14ac:dyDescent="0.25">
      <c r="B80" s="13"/>
      <c r="C80" s="22" t="str">
        <f>'User Input'!D109</f>
        <v>Risk 5</v>
      </c>
      <c r="D80" s="67">
        <f t="shared" si="13"/>
        <v>0</v>
      </c>
      <c r="E80" s="697">
        <v>0</v>
      </c>
      <c r="F80" s="64">
        <f>'User Input'!F109*F$10</f>
        <v>0</v>
      </c>
      <c r="G80" s="64">
        <f>'User Input'!G109*G$10</f>
        <v>0</v>
      </c>
      <c r="H80" s="64">
        <f>'User Input'!H109*H$10</f>
        <v>0</v>
      </c>
      <c r="I80" s="64">
        <f>'User Input'!I109*I$10</f>
        <v>0</v>
      </c>
      <c r="J80" s="64">
        <f>'User Input'!J109*J$10</f>
        <v>0</v>
      </c>
      <c r="K80" s="64">
        <f>'User Input'!K109*K$10</f>
        <v>0</v>
      </c>
      <c r="L80" s="64">
        <f>'User Input'!L109*L$10</f>
        <v>0</v>
      </c>
      <c r="M80" s="64">
        <f>'User Input'!M109*M$10</f>
        <v>0</v>
      </c>
      <c r="N80" s="64">
        <f>'User Input'!N109*N$10</f>
        <v>0</v>
      </c>
      <c r="O80" s="64">
        <f>'User Input'!O109*O$10</f>
        <v>0</v>
      </c>
      <c r="P80" s="64">
        <f>'User Input'!P109*P$10</f>
        <v>0</v>
      </c>
      <c r="Q80" s="64">
        <f>'User Input'!Q109*Q$10</f>
        <v>0</v>
      </c>
      <c r="R80" s="64">
        <f>'User Input'!R109*R$10</f>
        <v>0</v>
      </c>
      <c r="S80" s="64">
        <f>'User Input'!S109*S$10</f>
        <v>0</v>
      </c>
      <c r="T80" s="64">
        <f>'User Input'!T109*T$10</f>
        <v>0</v>
      </c>
      <c r="U80" s="64">
        <f>'User Input'!U109*U$10</f>
        <v>0</v>
      </c>
      <c r="V80" s="64">
        <f>'User Input'!V109*V$10</f>
        <v>0</v>
      </c>
      <c r="W80" s="64">
        <f>'User Input'!W109*W$10</f>
        <v>0</v>
      </c>
      <c r="X80" s="64">
        <f>'User Input'!X109*X$10</f>
        <v>0</v>
      </c>
      <c r="Y80" s="64">
        <f>'User Input'!Y109*Y$10</f>
        <v>0</v>
      </c>
      <c r="Z80" s="64">
        <f>'User Input'!Z109*Z$10</f>
        <v>0</v>
      </c>
    </row>
    <row r="81" spans="1:26" ht="13.5" thickBot="1" x14ac:dyDescent="0.25">
      <c r="B81" s="13"/>
      <c r="C81" s="53" t="s">
        <v>2</v>
      </c>
      <c r="D81" s="67">
        <f>SUM(E81:Y81)</f>
        <v>11654.361307086248</v>
      </c>
      <c r="E81" s="68">
        <f>SUM(E62:E80)</f>
        <v>6479.3250430971002</v>
      </c>
      <c r="F81" s="69">
        <f t="shared" ref="F81:Y81" si="14">SUM(F62:F80)</f>
        <v>5175.0362639891491</v>
      </c>
      <c r="G81" s="69">
        <f t="shared" si="14"/>
        <v>0</v>
      </c>
      <c r="H81" s="69">
        <f t="shared" si="14"/>
        <v>0</v>
      </c>
      <c r="I81" s="69">
        <f t="shared" si="14"/>
        <v>0</v>
      </c>
      <c r="J81" s="69">
        <f t="shared" si="14"/>
        <v>0</v>
      </c>
      <c r="K81" s="69">
        <f t="shared" si="14"/>
        <v>0</v>
      </c>
      <c r="L81" s="69">
        <f t="shared" si="14"/>
        <v>0</v>
      </c>
      <c r="M81" s="69">
        <f t="shared" si="14"/>
        <v>0</v>
      </c>
      <c r="N81" s="69">
        <f t="shared" si="14"/>
        <v>0</v>
      </c>
      <c r="O81" s="69">
        <f t="shared" si="14"/>
        <v>0</v>
      </c>
      <c r="P81" s="69">
        <f t="shared" si="14"/>
        <v>0</v>
      </c>
      <c r="Q81" s="69">
        <f t="shared" si="14"/>
        <v>0</v>
      </c>
      <c r="R81" s="69">
        <f t="shared" si="14"/>
        <v>0</v>
      </c>
      <c r="S81" s="69">
        <f t="shared" si="14"/>
        <v>0</v>
      </c>
      <c r="T81" s="69">
        <f t="shared" si="14"/>
        <v>0</v>
      </c>
      <c r="U81" s="69">
        <f t="shared" si="14"/>
        <v>0</v>
      </c>
      <c r="V81" s="69">
        <f t="shared" si="14"/>
        <v>0</v>
      </c>
      <c r="W81" s="69">
        <f t="shared" si="14"/>
        <v>0</v>
      </c>
      <c r="X81" s="69">
        <f t="shared" si="14"/>
        <v>0</v>
      </c>
      <c r="Y81" s="150">
        <f t="shared" si="14"/>
        <v>0</v>
      </c>
      <c r="Z81" s="150">
        <f t="shared" ref="Z81" si="15">SUM(Z62:Z80)</f>
        <v>0</v>
      </c>
    </row>
    <row r="82" spans="1:26" ht="13.5" thickBot="1" x14ac:dyDescent="0.25">
      <c r="B82" s="13"/>
      <c r="C82" s="54" t="s">
        <v>50</v>
      </c>
      <c r="D82" s="67">
        <f>SUM(E82:Y82)</f>
        <v>8060.9255822332543</v>
      </c>
      <c r="E82" s="77">
        <f>+E81/E$9</f>
        <v>4646.1272381593308</v>
      </c>
      <c r="F82" s="77">
        <f t="shared" ref="F82" si="16">+F81/F$9</f>
        <v>3414.798344073924</v>
      </c>
      <c r="G82" s="77">
        <f t="shared" ref="G82" si="17">+G81/G$9</f>
        <v>0</v>
      </c>
      <c r="H82" s="77">
        <f t="shared" ref="H82" si="18">+H81/H$9</f>
        <v>0</v>
      </c>
      <c r="I82" s="77">
        <f t="shared" ref="I82" si="19">+I81/I$9</f>
        <v>0</v>
      </c>
      <c r="J82" s="77">
        <f t="shared" ref="J82" si="20">+J81/J$9</f>
        <v>0</v>
      </c>
      <c r="K82" s="77">
        <f t="shared" ref="K82" si="21">+K81/K$9</f>
        <v>0</v>
      </c>
      <c r="L82" s="77">
        <f t="shared" ref="L82" si="22">+L81/L$9</f>
        <v>0</v>
      </c>
      <c r="M82" s="77">
        <f t="shared" ref="M82" si="23">+M81/M$9</f>
        <v>0</v>
      </c>
      <c r="N82" s="77">
        <f t="shared" ref="N82" si="24">+N81/N$9</f>
        <v>0</v>
      </c>
      <c r="O82" s="77">
        <f t="shared" ref="O82" si="25">+O81/O$9</f>
        <v>0</v>
      </c>
      <c r="P82" s="77">
        <f t="shared" ref="P82" si="26">+P81/P$9</f>
        <v>0</v>
      </c>
      <c r="Q82" s="77">
        <f t="shared" ref="Q82" si="27">+Q81/Q$9</f>
        <v>0</v>
      </c>
      <c r="R82" s="77">
        <f t="shared" ref="R82" si="28">+R81/R$9</f>
        <v>0</v>
      </c>
      <c r="S82" s="77">
        <f t="shared" ref="S82" si="29">+S81/S$9</f>
        <v>0</v>
      </c>
      <c r="T82" s="77">
        <f t="shared" ref="T82" si="30">+T81/T$9</f>
        <v>0</v>
      </c>
      <c r="U82" s="77">
        <f t="shared" ref="U82" si="31">+U81/U$9</f>
        <v>0</v>
      </c>
      <c r="V82" s="77">
        <f t="shared" ref="V82" si="32">+V81/V$9</f>
        <v>0</v>
      </c>
      <c r="W82" s="77">
        <f t="shared" ref="W82" si="33">+W81/W$9</f>
        <v>0</v>
      </c>
      <c r="X82" s="77">
        <f t="shared" ref="X82" si="34">+X81/X$9</f>
        <v>0</v>
      </c>
      <c r="Y82" s="77">
        <f t="shared" ref="Y82" si="35">+Y81/Y$9</f>
        <v>0</v>
      </c>
      <c r="Z82" s="77">
        <f t="shared" ref="Z82" si="36">+Z81/Z$9</f>
        <v>0</v>
      </c>
    </row>
    <row r="83" spans="1:26" x14ac:dyDescent="0.2">
      <c r="B83" s="21"/>
      <c r="C83" s="11"/>
      <c r="D83" s="1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6"/>
      <c r="Z83" s="56"/>
    </row>
    <row r="84" spans="1:26" x14ac:dyDescent="0.2">
      <c r="B84" s="371" t="str">
        <f>'User Input'!D111</f>
        <v xml:space="preserve">Option 3: </v>
      </c>
      <c r="C84" s="367"/>
      <c r="D84" s="372"/>
      <c r="E84" s="369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</row>
    <row r="85" spans="1:26" ht="13.5" thickBot="1" x14ac:dyDescent="0.25">
      <c r="B85" s="20"/>
      <c r="C85" s="5"/>
      <c r="D85" s="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7"/>
      <c r="Z85" s="17"/>
    </row>
    <row r="86" spans="1:26" ht="13.5" thickBot="1" x14ac:dyDescent="0.25">
      <c r="B86" s="52"/>
      <c r="C86" s="4" t="s">
        <v>76</v>
      </c>
      <c r="D86" s="67">
        <f>SUM(E86:Y86)</f>
        <v>0</v>
      </c>
      <c r="E86" s="64">
        <f>'User Input'!F18*E10</f>
        <v>0</v>
      </c>
      <c r="F86" s="64">
        <f>'User Input'!G18*F$10</f>
        <v>0</v>
      </c>
      <c r="G86" s="64">
        <f>'User Input'!H18*G$10</f>
        <v>0</v>
      </c>
      <c r="H86" s="64">
        <f>'User Input'!I18*H$10</f>
        <v>0</v>
      </c>
      <c r="I86" s="64">
        <f>'User Input'!J18*I$10</f>
        <v>0</v>
      </c>
      <c r="J86" s="64">
        <f>'User Input'!K18*J$10</f>
        <v>0</v>
      </c>
      <c r="K86" s="64">
        <f>'User Input'!L18*K$10</f>
        <v>0</v>
      </c>
      <c r="L86" s="64">
        <f>'User Input'!M18*L$10</f>
        <v>0</v>
      </c>
      <c r="M86" s="64">
        <f>'User Input'!N18*M$10</f>
        <v>0</v>
      </c>
      <c r="N86" s="64">
        <f>'User Input'!O18*N$10</f>
        <v>0</v>
      </c>
      <c r="O86" s="64">
        <f>'User Input'!P18*O$10</f>
        <v>0</v>
      </c>
      <c r="P86" s="64">
        <f>'User Input'!Q18*P$10</f>
        <v>0</v>
      </c>
      <c r="Q86" s="64">
        <f>'User Input'!R18*Q$10</f>
        <v>0</v>
      </c>
      <c r="R86" s="64">
        <f>'User Input'!S18*R$10</f>
        <v>0</v>
      </c>
      <c r="S86" s="64">
        <f>'User Input'!T18*S$10</f>
        <v>0</v>
      </c>
      <c r="T86" s="64">
        <f>'User Input'!U18*T$10</f>
        <v>0</v>
      </c>
      <c r="U86" s="64">
        <f>'User Input'!V18*U$10</f>
        <v>0</v>
      </c>
      <c r="V86" s="64">
        <f>'User Input'!W18*V$10</f>
        <v>0</v>
      </c>
      <c r="W86" s="64">
        <f>'User Input'!X18*W$10</f>
        <v>0</v>
      </c>
      <c r="X86" s="64">
        <f>'User Input'!Y18*X$10</f>
        <v>0</v>
      </c>
      <c r="Y86" s="64">
        <f>'User Input'!Z18*Y$10</f>
        <v>0</v>
      </c>
      <c r="Z86" s="64">
        <f>'User Input'!AA18*Z$10</f>
        <v>0</v>
      </c>
    </row>
    <row r="87" spans="1:26" ht="13.5" thickBot="1" x14ac:dyDescent="0.25">
      <c r="B87" s="13"/>
      <c r="C87" s="22" t="str">
        <f>'User Input'!D114</f>
        <v>Maintenance Costs</v>
      </c>
      <c r="D87" s="67">
        <f t="shared" ref="D87:D104" si="37">SUM(E87:Y87)</f>
        <v>0</v>
      </c>
      <c r="E87" s="697">
        <v>0</v>
      </c>
      <c r="F87" s="64">
        <f>'User Input'!F114*F$10</f>
        <v>0</v>
      </c>
      <c r="G87" s="64">
        <f>'User Input'!G114*G$10</f>
        <v>0</v>
      </c>
      <c r="H87" s="64">
        <f>'User Input'!H114*H$10</f>
        <v>0</v>
      </c>
      <c r="I87" s="64">
        <f>'User Input'!I114*I$10</f>
        <v>0</v>
      </c>
      <c r="J87" s="64">
        <f>'User Input'!J114*J$10</f>
        <v>0</v>
      </c>
      <c r="K87" s="64">
        <f>'User Input'!K114*K$10</f>
        <v>0</v>
      </c>
      <c r="L87" s="64">
        <f>'User Input'!L114*L$10</f>
        <v>0</v>
      </c>
      <c r="M87" s="64">
        <f>'User Input'!M114*M$10</f>
        <v>0</v>
      </c>
      <c r="N87" s="64">
        <f>'User Input'!N114*N$10</f>
        <v>0</v>
      </c>
      <c r="O87" s="64">
        <f>'User Input'!O114*O$10</f>
        <v>0</v>
      </c>
      <c r="P87" s="64">
        <f>'User Input'!P114*P$10</f>
        <v>0</v>
      </c>
      <c r="Q87" s="64">
        <f>'User Input'!Q114*Q$10</f>
        <v>0</v>
      </c>
      <c r="R87" s="64">
        <f>'User Input'!R114*R$10</f>
        <v>0</v>
      </c>
      <c r="S87" s="64">
        <f>'User Input'!S114*S$10</f>
        <v>0</v>
      </c>
      <c r="T87" s="64">
        <f>'User Input'!T114*T$10</f>
        <v>0</v>
      </c>
      <c r="U87" s="64">
        <f>'User Input'!U114*U$10</f>
        <v>0</v>
      </c>
      <c r="V87" s="64">
        <f>'User Input'!V114*V$10</f>
        <v>0</v>
      </c>
      <c r="W87" s="64">
        <f>'User Input'!W114*W$10</f>
        <v>0</v>
      </c>
      <c r="X87" s="64">
        <f>'User Input'!X114*X$10</f>
        <v>0</v>
      </c>
      <c r="Y87" s="64">
        <f>'User Input'!Y114*Y$10</f>
        <v>0</v>
      </c>
      <c r="Z87" s="64">
        <f>'User Input'!Z114*Z$10</f>
        <v>0</v>
      </c>
    </row>
    <row r="88" spans="1:26" ht="13.5" thickBot="1" x14ac:dyDescent="0.25">
      <c r="B88" s="13"/>
      <c r="C88" s="137" t="str">
        <f>'User Input'!D116</f>
        <v>Negative Impact on Revenue (STPIS)</v>
      </c>
      <c r="D88" s="195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46"/>
      <c r="Z88" s="146"/>
    </row>
    <row r="89" spans="1:26" ht="13.5" thickBot="1" x14ac:dyDescent="0.25">
      <c r="B89" s="13"/>
      <c r="C89" s="140" t="str">
        <f>'User Input'!D117</f>
        <v>SAIFI sustained</v>
      </c>
      <c r="D89" s="67">
        <f t="shared" si="37"/>
        <v>0</v>
      </c>
      <c r="E89" s="259">
        <v>0</v>
      </c>
      <c r="F89" s="259">
        <v>0</v>
      </c>
      <c r="G89" s="697">
        <v>0</v>
      </c>
      <c r="H89" s="64">
        <f>IF('User Input'!$I$8=1,'User Input'!F117*'Administrator Input'!$F$41*H10,0)</f>
        <v>0</v>
      </c>
      <c r="I89" s="64">
        <f>IF('User Input'!$I$8=1,'User Input'!G117*'Administrator Input'!$F$41*I10,0)</f>
        <v>0</v>
      </c>
      <c r="J89" s="64">
        <f>IF('User Input'!$I$8=1,'User Input'!H117*'Administrator Input'!$F$41*J10,0)</f>
        <v>0</v>
      </c>
      <c r="K89" s="64">
        <f>IF('User Input'!$I$8=1,'User Input'!I117*'Administrator Input'!$F$41*K10,0)</f>
        <v>0</v>
      </c>
      <c r="L89" s="64">
        <f>IF('User Input'!$I$8=1,'User Input'!J117*'Administrator Input'!$F$41*L10,0)</f>
        <v>0</v>
      </c>
      <c r="M89" s="64">
        <f>IF('User Input'!$I$8=1,'User Input'!K117*'Administrator Input'!$F$41*M10,0)</f>
        <v>0</v>
      </c>
      <c r="N89" s="64">
        <f>IF('User Input'!$I$8=1,'User Input'!L117*'Administrator Input'!$F$41*N10,0)</f>
        <v>0</v>
      </c>
      <c r="O89" s="64">
        <f>IF('User Input'!$I$8=1,'User Input'!M117*'Administrator Input'!$F$41*O10,0)</f>
        <v>0</v>
      </c>
      <c r="P89" s="64">
        <f>IF('User Input'!$I$8=1,'User Input'!N117*'Administrator Input'!$F$41*P10,0)</f>
        <v>0</v>
      </c>
      <c r="Q89" s="64">
        <f>IF('User Input'!$I$8=1,'User Input'!O117*'Administrator Input'!$F$41*Q10,0)</f>
        <v>0</v>
      </c>
      <c r="R89" s="64">
        <f>IF('User Input'!$I$8=1,'User Input'!P117*'Administrator Input'!$F$41*R10,0)</f>
        <v>0</v>
      </c>
      <c r="S89" s="64">
        <f>IF('User Input'!$I$8=1,'User Input'!Q117*'Administrator Input'!$F$41*S10,0)</f>
        <v>0</v>
      </c>
      <c r="T89" s="64">
        <f>IF('User Input'!$I$8=1,'User Input'!R117*'Administrator Input'!$F$41*T10,0)</f>
        <v>0</v>
      </c>
      <c r="U89" s="64">
        <f>IF('User Input'!$I$8=1,'User Input'!S117*'Administrator Input'!$F$41*U10,0)</f>
        <v>0</v>
      </c>
      <c r="V89" s="64">
        <f>IF('User Input'!$I$8=1,'User Input'!T117*'Administrator Input'!$F$41*V10,0)</f>
        <v>0</v>
      </c>
      <c r="W89" s="64">
        <f>IF('User Input'!$I$8=1,'User Input'!U117*'Administrator Input'!$F$41*W10,0)</f>
        <v>0</v>
      </c>
      <c r="X89" s="64">
        <f>IF('User Input'!$I$8=1,'User Input'!V117*'Administrator Input'!$F$41*X10,0)</f>
        <v>0</v>
      </c>
      <c r="Y89" s="64">
        <f>IF('User Input'!$I$8=1,'User Input'!W117*'Administrator Input'!$F$41*Y10,0)</f>
        <v>0</v>
      </c>
      <c r="Z89" s="64">
        <f>IF('User Input'!$I$8=1,'User Input'!X117*'Administrator Input'!$F$41*Z10,0)</f>
        <v>0</v>
      </c>
    </row>
    <row r="90" spans="1:26" ht="13.5" thickBot="1" x14ac:dyDescent="0.25">
      <c r="B90" s="13"/>
      <c r="C90" s="140" t="str">
        <f>'User Input'!D118</f>
        <v>SAIDI accidental</v>
      </c>
      <c r="D90" s="67">
        <f t="shared" si="37"/>
        <v>0</v>
      </c>
      <c r="E90" s="259">
        <v>0</v>
      </c>
      <c r="F90" s="259">
        <v>0</v>
      </c>
      <c r="G90" s="697">
        <v>0</v>
      </c>
      <c r="H90" s="64">
        <f>IF('User Input'!$I$8=1,'User Input'!F118*'Administrator Input'!$F$42*H10,0)</f>
        <v>0</v>
      </c>
      <c r="I90" s="64">
        <f>IF('User Input'!$I$8=1,'User Input'!G118*'Administrator Input'!$F$42*I10,0)</f>
        <v>0</v>
      </c>
      <c r="J90" s="64">
        <f>IF('User Input'!$I$8=1,'User Input'!H118*'Administrator Input'!$F$42*J10,0)</f>
        <v>0</v>
      </c>
      <c r="K90" s="64">
        <f>IF('User Input'!$I$8=1,'User Input'!I118*'Administrator Input'!$F$42*K10,0)</f>
        <v>0</v>
      </c>
      <c r="L90" s="64">
        <f>IF('User Input'!$I$8=1,'User Input'!J118*'Administrator Input'!$F$42*L10,0)</f>
        <v>0</v>
      </c>
      <c r="M90" s="64">
        <f>IF('User Input'!$I$8=1,'User Input'!K118*'Administrator Input'!$F$42*M10,0)</f>
        <v>0</v>
      </c>
      <c r="N90" s="64">
        <f>IF('User Input'!$I$8=1,'User Input'!L118*'Administrator Input'!$F$42*N10,0)</f>
        <v>0</v>
      </c>
      <c r="O90" s="64">
        <f>IF('User Input'!$I$8=1,'User Input'!M118*'Administrator Input'!$F$42*O10,0)</f>
        <v>0</v>
      </c>
      <c r="P90" s="64">
        <f>IF('User Input'!$I$8=1,'User Input'!N118*'Administrator Input'!$F$42*P10,0)</f>
        <v>0</v>
      </c>
      <c r="Q90" s="64">
        <f>IF('User Input'!$I$8=1,'User Input'!O118*'Administrator Input'!$F$42*Q10,0)</f>
        <v>0</v>
      </c>
      <c r="R90" s="64">
        <f>IF('User Input'!$I$8=1,'User Input'!P118*'Administrator Input'!$F$42*R10,0)</f>
        <v>0</v>
      </c>
      <c r="S90" s="64">
        <f>IF('User Input'!$I$8=1,'User Input'!Q118*'Administrator Input'!$F$42*S10,0)</f>
        <v>0</v>
      </c>
      <c r="T90" s="64">
        <f>IF('User Input'!$I$8=1,'User Input'!R118*'Administrator Input'!$F$42*T10,0)</f>
        <v>0</v>
      </c>
      <c r="U90" s="64">
        <f>IF('User Input'!$I$8=1,'User Input'!S118*'Administrator Input'!$F$42*U10,0)</f>
        <v>0</v>
      </c>
      <c r="V90" s="64">
        <f>IF('User Input'!$I$8=1,'User Input'!T118*'Administrator Input'!$F$42*V10,0)</f>
        <v>0</v>
      </c>
      <c r="W90" s="64">
        <f>IF('User Input'!$I$8=1,'User Input'!U118*'Administrator Input'!$F$42*W10,0)</f>
        <v>0</v>
      </c>
      <c r="X90" s="64">
        <f>IF('User Input'!$I$8=1,'User Input'!V118*'Administrator Input'!$F$42*X10,0)</f>
        <v>0</v>
      </c>
      <c r="Y90" s="64">
        <f>IF('User Input'!$I$8=1,'User Input'!W118*'Administrator Input'!$F$42*Y10,0)</f>
        <v>0</v>
      </c>
      <c r="Z90" s="64">
        <f>IF('User Input'!$I$8=1,'User Input'!X118*'Administrator Input'!$F$42*Z10,0)</f>
        <v>0</v>
      </c>
    </row>
    <row r="91" spans="1:26" ht="13.5" thickBot="1" x14ac:dyDescent="0.25">
      <c r="B91" s="13"/>
      <c r="C91" s="140" t="str">
        <f>'User Input'!D119</f>
        <v>MAIFI momentary</v>
      </c>
      <c r="D91" s="67">
        <f t="shared" si="37"/>
        <v>0</v>
      </c>
      <c r="E91" s="259">
        <v>0</v>
      </c>
      <c r="F91" s="259">
        <v>0</v>
      </c>
      <c r="G91" s="697">
        <v>0</v>
      </c>
      <c r="H91" s="64">
        <f>IF('User Input'!$I$8=1,'User Input'!F119*'Administrator Input'!$F$43*H10,0)</f>
        <v>0</v>
      </c>
      <c r="I91" s="64">
        <f>IF('User Input'!$I$8=1,'User Input'!G119*'Administrator Input'!$F$43*I10,0)</f>
        <v>0</v>
      </c>
      <c r="J91" s="64">
        <f>IF('User Input'!$I$8=1,'User Input'!H119*'Administrator Input'!$F$43*J10,0)</f>
        <v>0</v>
      </c>
      <c r="K91" s="64">
        <f>IF('User Input'!$I$8=1,'User Input'!I119*'Administrator Input'!$F$43*K10,0)</f>
        <v>0</v>
      </c>
      <c r="L91" s="64">
        <f>IF('User Input'!$I$8=1,'User Input'!J119*'Administrator Input'!$F$43*L10,0)</f>
        <v>0</v>
      </c>
      <c r="M91" s="64">
        <f>IF('User Input'!$I$8=1,'User Input'!K119*'Administrator Input'!$F$43*M10,0)</f>
        <v>0</v>
      </c>
      <c r="N91" s="64">
        <f>IF('User Input'!$I$8=1,'User Input'!L119*'Administrator Input'!$F$43*N10,0)</f>
        <v>0</v>
      </c>
      <c r="O91" s="64">
        <f>IF('User Input'!$I$8=1,'User Input'!M119*'Administrator Input'!$F$43*O10,0)</f>
        <v>0</v>
      </c>
      <c r="P91" s="64">
        <f>IF('User Input'!$I$8=1,'User Input'!N119*'Administrator Input'!$F$43*P10,0)</f>
        <v>0</v>
      </c>
      <c r="Q91" s="64">
        <f>IF('User Input'!$I$8=1,'User Input'!O119*'Administrator Input'!$F$43*Q10,0)</f>
        <v>0</v>
      </c>
      <c r="R91" s="64">
        <f>IF('User Input'!$I$8=1,'User Input'!P119*'Administrator Input'!$F$43*R10,0)</f>
        <v>0</v>
      </c>
      <c r="S91" s="64">
        <f>IF('User Input'!$I$8=1,'User Input'!Q119*'Administrator Input'!$F$43*S10,0)</f>
        <v>0</v>
      </c>
      <c r="T91" s="64">
        <f>IF('User Input'!$I$8=1,'User Input'!R119*'Administrator Input'!$F$43*T10,0)</f>
        <v>0</v>
      </c>
      <c r="U91" s="64">
        <f>IF('User Input'!$I$8=1,'User Input'!S119*'Administrator Input'!$F$43*U10,0)</f>
        <v>0</v>
      </c>
      <c r="V91" s="64">
        <f>IF('User Input'!$I$8=1,'User Input'!T119*'Administrator Input'!$F$43*V10,0)</f>
        <v>0</v>
      </c>
      <c r="W91" s="64">
        <f>IF('User Input'!$I$8=1,'User Input'!U119*'Administrator Input'!$F$43*W10,0)</f>
        <v>0</v>
      </c>
      <c r="X91" s="64">
        <f>IF('User Input'!$I$8=1,'User Input'!V119*'Administrator Input'!$F$43*X10,0)</f>
        <v>0</v>
      </c>
      <c r="Y91" s="64">
        <f>IF('User Input'!$I$8=1,'User Input'!W119*'Administrator Input'!$F$43*Y10,0)</f>
        <v>0</v>
      </c>
      <c r="Z91" s="64">
        <f>IF('User Input'!$I$8=1,'User Input'!X119*'Administrator Input'!$F$43*Z10,0)</f>
        <v>0</v>
      </c>
    </row>
    <row r="92" spans="1:26" ht="13.5" thickBot="1" x14ac:dyDescent="0.25">
      <c r="B92" s="13"/>
      <c r="C92" s="140" t="str">
        <f>'User Input'!D120</f>
        <v>Call centre response</v>
      </c>
      <c r="D92" s="67">
        <f t="shared" si="37"/>
        <v>0</v>
      </c>
      <c r="E92" s="259">
        <v>0</v>
      </c>
      <c r="F92" s="259">
        <v>0</v>
      </c>
      <c r="G92" s="697">
        <v>0</v>
      </c>
      <c r="H92" s="64">
        <f>IF('User Input'!$I$8=1,'User Input'!F120*'Administrator Input'!$F$44*H10,0)</f>
        <v>0</v>
      </c>
      <c r="I92" s="64">
        <f>IF('User Input'!$I$8=1,'User Input'!G120*'Administrator Input'!$F$44*I10,0)</f>
        <v>0</v>
      </c>
      <c r="J92" s="64">
        <f>IF('User Input'!$I$8=1,'User Input'!H120*'Administrator Input'!$F$44*J10,0)</f>
        <v>0</v>
      </c>
      <c r="K92" s="64">
        <f>IF('User Input'!$I$8=1,'User Input'!I120*'Administrator Input'!$F$44*K10,0)</f>
        <v>0</v>
      </c>
      <c r="L92" s="64">
        <f>IF('User Input'!$I$8=1,'User Input'!J120*'Administrator Input'!$F$44*L10,0)</f>
        <v>0</v>
      </c>
      <c r="M92" s="64">
        <f>IF('User Input'!$I$8=1,'User Input'!K120*'Administrator Input'!$F$44*M10,0)</f>
        <v>0</v>
      </c>
      <c r="N92" s="64">
        <f>IF('User Input'!$I$8=1,'User Input'!L120*'Administrator Input'!$F$44*N10,0)</f>
        <v>0</v>
      </c>
      <c r="O92" s="64">
        <f>IF('User Input'!$I$8=1,'User Input'!M120*'Administrator Input'!$F$44*O10,0)</f>
        <v>0</v>
      </c>
      <c r="P92" s="64">
        <f>IF('User Input'!$I$8=1,'User Input'!N120*'Administrator Input'!$F$44*P10,0)</f>
        <v>0</v>
      </c>
      <c r="Q92" s="64">
        <f>IF('User Input'!$I$8=1,'User Input'!O120*'Administrator Input'!$F$44*Q10,0)</f>
        <v>0</v>
      </c>
      <c r="R92" s="64">
        <f>IF('User Input'!$I$8=1,'User Input'!P120*'Administrator Input'!$F$44*R10,0)</f>
        <v>0</v>
      </c>
      <c r="S92" s="64">
        <f>IF('User Input'!$I$8=1,'User Input'!Q120*'Administrator Input'!$F$44*S10,0)</f>
        <v>0</v>
      </c>
      <c r="T92" s="64">
        <f>IF('User Input'!$I$8=1,'User Input'!R120*'Administrator Input'!$F$44*T10,0)</f>
        <v>0</v>
      </c>
      <c r="U92" s="64">
        <f>IF('User Input'!$I$8=1,'User Input'!S120*'Administrator Input'!$F$44*U10,0)</f>
        <v>0</v>
      </c>
      <c r="V92" s="64">
        <f>IF('User Input'!$I$8=1,'User Input'!T120*'Administrator Input'!$F$44*V10,0)</f>
        <v>0</v>
      </c>
      <c r="W92" s="64">
        <f>IF('User Input'!$I$8=1,'User Input'!U120*'Administrator Input'!$F$44*W10,0)</f>
        <v>0</v>
      </c>
      <c r="X92" s="64">
        <f>IF('User Input'!$I$8=1,'User Input'!V120*'Administrator Input'!$F$44*X10,0)</f>
        <v>0</v>
      </c>
      <c r="Y92" s="64">
        <f>IF('User Input'!$I$8=1,'User Input'!W120*'Administrator Input'!$F$44*Y10,0)</f>
        <v>0</v>
      </c>
      <c r="Z92" s="64">
        <f>IF('User Input'!$I$8=1,'User Input'!X120*'Administrator Input'!$F$44*Z10,0)</f>
        <v>0</v>
      </c>
    </row>
    <row r="93" spans="1:26" ht="13.5" thickBot="1" x14ac:dyDescent="0.25">
      <c r="A93" s="143"/>
      <c r="B93" s="144"/>
      <c r="C93" s="137" t="str">
        <f>'User Input'!D122</f>
        <v>Network Outage Costs</v>
      </c>
      <c r="D93" s="67">
        <f t="shared" si="37"/>
        <v>0</v>
      </c>
      <c r="E93" s="697">
        <v>0</v>
      </c>
      <c r="F93" s="64">
        <f>'User Input'!F123*'Administrator Input'!$F$49*F10</f>
        <v>0</v>
      </c>
      <c r="G93" s="64">
        <f>'User Input'!G123*'Administrator Input'!$F$49*G10</f>
        <v>0</v>
      </c>
      <c r="H93" s="64">
        <f>'User Input'!H123*'Administrator Input'!$F$49*H10</f>
        <v>0</v>
      </c>
      <c r="I93" s="64">
        <f>'User Input'!I123*'Administrator Input'!$F$49*I10</f>
        <v>0</v>
      </c>
      <c r="J93" s="64">
        <f>'User Input'!J123*'Administrator Input'!$F$49*J10</f>
        <v>0</v>
      </c>
      <c r="K93" s="64">
        <f>'User Input'!K123*'Administrator Input'!$F$49*K10</f>
        <v>0</v>
      </c>
      <c r="L93" s="64">
        <f>'User Input'!L123*'Administrator Input'!$F$49*L10</f>
        <v>0</v>
      </c>
      <c r="M93" s="64">
        <f>'User Input'!M123*'Administrator Input'!$F$49*M10</f>
        <v>0</v>
      </c>
      <c r="N93" s="64">
        <f>'User Input'!N123*'Administrator Input'!$F$49*N10</f>
        <v>0</v>
      </c>
      <c r="O93" s="64">
        <f>'User Input'!O123*'Administrator Input'!$F$49*O10</f>
        <v>0</v>
      </c>
      <c r="P93" s="64">
        <f>'User Input'!P123*'Administrator Input'!$F$49*P10</f>
        <v>0</v>
      </c>
      <c r="Q93" s="64">
        <f>'User Input'!Q123*'Administrator Input'!$F$49*Q10</f>
        <v>0</v>
      </c>
      <c r="R93" s="64">
        <f>'User Input'!R123*'Administrator Input'!$F$49*R10</f>
        <v>0</v>
      </c>
      <c r="S93" s="64">
        <f>'User Input'!S123*'Administrator Input'!$F$49*S10</f>
        <v>0</v>
      </c>
      <c r="T93" s="64">
        <f>'User Input'!T123*'Administrator Input'!$F$49*T10</f>
        <v>0</v>
      </c>
      <c r="U93" s="64">
        <f>'User Input'!U123*'Administrator Input'!$F$49*U10</f>
        <v>0</v>
      </c>
      <c r="V93" s="64">
        <f>'User Input'!V123*'Administrator Input'!$F$49*V10</f>
        <v>0</v>
      </c>
      <c r="W93" s="64">
        <f>'User Input'!W123*'Administrator Input'!$F$49*W10</f>
        <v>0</v>
      </c>
      <c r="X93" s="64">
        <f>'User Input'!X123*'Administrator Input'!$F$49*X10</f>
        <v>0</v>
      </c>
      <c r="Y93" s="64">
        <f>'User Input'!Y123*'Administrator Input'!$F$49*Y10</f>
        <v>0</v>
      </c>
      <c r="Z93" s="64">
        <f>'User Input'!Z123*'Administrator Input'!$F$49*Z10</f>
        <v>0</v>
      </c>
    </row>
    <row r="94" spans="1:26" ht="13.5" thickBot="1" x14ac:dyDescent="0.25">
      <c r="A94" s="143"/>
      <c r="B94" s="144"/>
      <c r="C94" s="137" t="str">
        <f>'User Input'!D126</f>
        <v>Loss of F Factor Benefit</v>
      </c>
      <c r="D94" s="67">
        <f t="shared" si="37"/>
        <v>0</v>
      </c>
      <c r="E94" s="697">
        <v>0</v>
      </c>
      <c r="F94" s="64">
        <f>'User Input'!F126*'Administrator Input'!$F$54</f>
        <v>0</v>
      </c>
      <c r="G94" s="64">
        <f>'User Input'!G126*'Administrator Input'!$F$54</f>
        <v>0</v>
      </c>
      <c r="H94" s="64">
        <f>'User Input'!H126*'Administrator Input'!$F$54</f>
        <v>0</v>
      </c>
      <c r="I94" s="64">
        <f>'User Input'!I126*'Administrator Input'!$F$54</f>
        <v>0</v>
      </c>
      <c r="J94" s="64">
        <f>'User Input'!J126*'Administrator Input'!$F$54</f>
        <v>0</v>
      </c>
      <c r="K94" s="64">
        <f>'User Input'!K126*'Administrator Input'!$F$54</f>
        <v>0</v>
      </c>
      <c r="L94" s="64">
        <f>'User Input'!L126*'Administrator Input'!$F$54</f>
        <v>0</v>
      </c>
      <c r="M94" s="64">
        <f>'User Input'!M126*'Administrator Input'!$F$54</f>
        <v>0</v>
      </c>
      <c r="N94" s="64">
        <f>'User Input'!N126*'Administrator Input'!$F$54</f>
        <v>0</v>
      </c>
      <c r="O94" s="64">
        <f>'User Input'!O126*'Administrator Input'!$F$54</f>
        <v>0</v>
      </c>
      <c r="P94" s="64">
        <f>'User Input'!P126*'Administrator Input'!$F$54</f>
        <v>0</v>
      </c>
      <c r="Q94" s="64">
        <f>'User Input'!Q126*'Administrator Input'!$F$54</f>
        <v>0</v>
      </c>
      <c r="R94" s="64">
        <f>'User Input'!R126*'Administrator Input'!$F$54</f>
        <v>0</v>
      </c>
      <c r="S94" s="64">
        <f>'User Input'!S126*'Administrator Input'!$F$54</f>
        <v>0</v>
      </c>
      <c r="T94" s="64">
        <f>'User Input'!T126*'Administrator Input'!$F$54</f>
        <v>0</v>
      </c>
      <c r="U94" s="64">
        <f>'User Input'!U126*'Administrator Input'!$F$54</f>
        <v>0</v>
      </c>
      <c r="V94" s="64">
        <f>'User Input'!V126*'Administrator Input'!$F$54</f>
        <v>0</v>
      </c>
      <c r="W94" s="64">
        <f>'User Input'!W126*'Administrator Input'!$F$54</f>
        <v>0</v>
      </c>
      <c r="X94" s="64">
        <f>'User Input'!X126*'Administrator Input'!$F$54</f>
        <v>0</v>
      </c>
      <c r="Y94" s="64">
        <f>'User Input'!Y126*'Administrator Input'!$F$54</f>
        <v>0</v>
      </c>
      <c r="Z94" s="64">
        <f>'User Input'!Z126*'Administrator Input'!$F$54</f>
        <v>0</v>
      </c>
    </row>
    <row r="95" spans="1:26" ht="13.5" thickBot="1" x14ac:dyDescent="0.25">
      <c r="B95" s="13"/>
      <c r="C95" s="22" t="str">
        <f>'User Input'!D129</f>
        <v>Cost 1</v>
      </c>
      <c r="D95" s="67">
        <f t="shared" si="37"/>
        <v>0</v>
      </c>
      <c r="E95" s="697">
        <v>0</v>
      </c>
      <c r="F95" s="64">
        <f>'User Input'!F129*F$10</f>
        <v>0</v>
      </c>
      <c r="G95" s="64">
        <f>'User Input'!G129*G$10</f>
        <v>0</v>
      </c>
      <c r="H95" s="64">
        <f>'User Input'!H129*H$10</f>
        <v>0</v>
      </c>
      <c r="I95" s="64">
        <f>'User Input'!I129*I$10</f>
        <v>0</v>
      </c>
      <c r="J95" s="64">
        <f>'User Input'!J129*J$10</f>
        <v>0</v>
      </c>
      <c r="K95" s="64">
        <f>'User Input'!K129*K$10</f>
        <v>0</v>
      </c>
      <c r="L95" s="64">
        <f>'User Input'!L129*L$10</f>
        <v>0</v>
      </c>
      <c r="M95" s="64">
        <f>'User Input'!M129*M$10</f>
        <v>0</v>
      </c>
      <c r="N95" s="64">
        <f>'User Input'!N129*N$10</f>
        <v>0</v>
      </c>
      <c r="O95" s="64">
        <f>'User Input'!O129*O$10</f>
        <v>0</v>
      </c>
      <c r="P95" s="64">
        <f>'User Input'!P129*P$10</f>
        <v>0</v>
      </c>
      <c r="Q95" s="64">
        <f>'User Input'!Q129*Q$10</f>
        <v>0</v>
      </c>
      <c r="R95" s="64">
        <f>'User Input'!R129*R$10</f>
        <v>0</v>
      </c>
      <c r="S95" s="64">
        <f>'User Input'!S129*S$10</f>
        <v>0</v>
      </c>
      <c r="T95" s="64">
        <f>'User Input'!T129*T$10</f>
        <v>0</v>
      </c>
      <c r="U95" s="64">
        <f>'User Input'!U129*U$10</f>
        <v>0</v>
      </c>
      <c r="V95" s="64">
        <f>'User Input'!V129*V$10</f>
        <v>0</v>
      </c>
      <c r="W95" s="64">
        <f>'User Input'!W129*W$10</f>
        <v>0</v>
      </c>
      <c r="X95" s="64">
        <f>'User Input'!X129*X$10</f>
        <v>0</v>
      </c>
      <c r="Y95" s="64">
        <f>'User Input'!Y129*Y$10</f>
        <v>0</v>
      </c>
      <c r="Z95" s="64">
        <f>'User Input'!Z129*Z$10</f>
        <v>0</v>
      </c>
    </row>
    <row r="96" spans="1:26" ht="13.5" thickBot="1" x14ac:dyDescent="0.25">
      <c r="B96" s="13"/>
      <c r="C96" s="22" t="str">
        <f>'User Input'!D130</f>
        <v>Cost 2</v>
      </c>
      <c r="D96" s="67">
        <f t="shared" si="37"/>
        <v>0</v>
      </c>
      <c r="E96" s="697">
        <v>0</v>
      </c>
      <c r="F96" s="64">
        <f>'User Input'!F130*F$10</f>
        <v>0</v>
      </c>
      <c r="G96" s="64">
        <f>'User Input'!G130*G$10</f>
        <v>0</v>
      </c>
      <c r="H96" s="64">
        <f>'User Input'!H130*H$10</f>
        <v>0</v>
      </c>
      <c r="I96" s="64">
        <f>'User Input'!I130*I$10</f>
        <v>0</v>
      </c>
      <c r="J96" s="64">
        <f>'User Input'!J130*J$10</f>
        <v>0</v>
      </c>
      <c r="K96" s="64">
        <f>'User Input'!K130*K$10</f>
        <v>0</v>
      </c>
      <c r="L96" s="64">
        <f>'User Input'!L130*L$10</f>
        <v>0</v>
      </c>
      <c r="M96" s="64">
        <f>'User Input'!M130*M$10</f>
        <v>0</v>
      </c>
      <c r="N96" s="64">
        <f>'User Input'!N130*N$10</f>
        <v>0</v>
      </c>
      <c r="O96" s="64">
        <f>'User Input'!O130*O$10</f>
        <v>0</v>
      </c>
      <c r="P96" s="64">
        <f>'User Input'!P130*P$10</f>
        <v>0</v>
      </c>
      <c r="Q96" s="64">
        <f>'User Input'!Q130*Q$10</f>
        <v>0</v>
      </c>
      <c r="R96" s="64">
        <f>'User Input'!R130*R$10</f>
        <v>0</v>
      </c>
      <c r="S96" s="64">
        <f>'User Input'!S130*S$10</f>
        <v>0</v>
      </c>
      <c r="T96" s="64">
        <f>'User Input'!T130*T$10</f>
        <v>0</v>
      </c>
      <c r="U96" s="64">
        <f>'User Input'!U130*U$10</f>
        <v>0</v>
      </c>
      <c r="V96" s="64">
        <f>'User Input'!V130*V$10</f>
        <v>0</v>
      </c>
      <c r="W96" s="64">
        <f>'User Input'!W130*W$10</f>
        <v>0</v>
      </c>
      <c r="X96" s="64">
        <f>'User Input'!X130*X$10</f>
        <v>0</v>
      </c>
      <c r="Y96" s="64">
        <f>'User Input'!Y130*Y$10</f>
        <v>0</v>
      </c>
      <c r="Z96" s="64">
        <f>'User Input'!Z130*Z$10</f>
        <v>0</v>
      </c>
    </row>
    <row r="97" spans="2:26" ht="13.5" thickBot="1" x14ac:dyDescent="0.25">
      <c r="B97" s="13"/>
      <c r="C97" s="22" t="str">
        <f>'User Input'!D131</f>
        <v>Cost 3</v>
      </c>
      <c r="D97" s="67">
        <f t="shared" si="37"/>
        <v>0</v>
      </c>
      <c r="E97" s="697">
        <v>0</v>
      </c>
      <c r="F97" s="64">
        <f>'User Input'!F131*F$10</f>
        <v>0</v>
      </c>
      <c r="G97" s="64">
        <f>'User Input'!G131*G$10</f>
        <v>0</v>
      </c>
      <c r="H97" s="64">
        <f>'User Input'!H131*H$10</f>
        <v>0</v>
      </c>
      <c r="I97" s="64">
        <f>'User Input'!I131*I$10</f>
        <v>0</v>
      </c>
      <c r="J97" s="64">
        <f>'User Input'!J131*J$10</f>
        <v>0</v>
      </c>
      <c r="K97" s="64">
        <f>'User Input'!K131*K$10</f>
        <v>0</v>
      </c>
      <c r="L97" s="64">
        <f>'User Input'!L131*L$10</f>
        <v>0</v>
      </c>
      <c r="M97" s="64">
        <f>'User Input'!M131*M$10</f>
        <v>0</v>
      </c>
      <c r="N97" s="64">
        <f>'User Input'!N131*N$10</f>
        <v>0</v>
      </c>
      <c r="O97" s="64">
        <f>'User Input'!O131*O$10</f>
        <v>0</v>
      </c>
      <c r="P97" s="64">
        <f>'User Input'!P131*P$10</f>
        <v>0</v>
      </c>
      <c r="Q97" s="64">
        <f>'User Input'!Q131*Q$10</f>
        <v>0</v>
      </c>
      <c r="R97" s="64">
        <f>'User Input'!R131*R$10</f>
        <v>0</v>
      </c>
      <c r="S97" s="64">
        <f>'User Input'!S131*S$10</f>
        <v>0</v>
      </c>
      <c r="T97" s="64">
        <f>'User Input'!T131*T$10</f>
        <v>0</v>
      </c>
      <c r="U97" s="64">
        <f>'User Input'!U131*U$10</f>
        <v>0</v>
      </c>
      <c r="V97" s="64">
        <f>'User Input'!V131*V$10</f>
        <v>0</v>
      </c>
      <c r="W97" s="64">
        <f>'User Input'!W131*W$10</f>
        <v>0</v>
      </c>
      <c r="X97" s="64">
        <f>'User Input'!X131*X$10</f>
        <v>0</v>
      </c>
      <c r="Y97" s="64">
        <f>'User Input'!Y131*Y$10</f>
        <v>0</v>
      </c>
      <c r="Z97" s="64">
        <f>'User Input'!Z131*Z$10</f>
        <v>0</v>
      </c>
    </row>
    <row r="98" spans="2:26" ht="13.5" thickBot="1" x14ac:dyDescent="0.25">
      <c r="B98" s="13"/>
      <c r="C98" s="22" t="str">
        <f>'User Input'!D132</f>
        <v>Cost 4</v>
      </c>
      <c r="D98" s="67">
        <f t="shared" si="37"/>
        <v>0</v>
      </c>
      <c r="E98" s="697">
        <v>0</v>
      </c>
      <c r="F98" s="64">
        <f>'User Input'!F132*F$10</f>
        <v>0</v>
      </c>
      <c r="G98" s="64">
        <f>'User Input'!G132*G$10</f>
        <v>0</v>
      </c>
      <c r="H98" s="64">
        <f>'User Input'!H132*H$10</f>
        <v>0</v>
      </c>
      <c r="I98" s="64">
        <f>'User Input'!I132*I$10</f>
        <v>0</v>
      </c>
      <c r="J98" s="64">
        <f>'User Input'!J132*J$10</f>
        <v>0</v>
      </c>
      <c r="K98" s="64">
        <f>'User Input'!K132*K$10</f>
        <v>0</v>
      </c>
      <c r="L98" s="64">
        <f>'User Input'!L132*L$10</f>
        <v>0</v>
      </c>
      <c r="M98" s="64">
        <f>'User Input'!M132*M$10</f>
        <v>0</v>
      </c>
      <c r="N98" s="64">
        <f>'User Input'!N132*N$10</f>
        <v>0</v>
      </c>
      <c r="O98" s="64">
        <f>'User Input'!O132*O$10</f>
        <v>0</v>
      </c>
      <c r="P98" s="64">
        <f>'User Input'!P132*P$10</f>
        <v>0</v>
      </c>
      <c r="Q98" s="64">
        <f>'User Input'!Q132*Q$10</f>
        <v>0</v>
      </c>
      <c r="R98" s="64">
        <f>'User Input'!R132*R$10</f>
        <v>0</v>
      </c>
      <c r="S98" s="64">
        <f>'User Input'!S132*S$10</f>
        <v>0</v>
      </c>
      <c r="T98" s="64">
        <f>'User Input'!T132*T$10</f>
        <v>0</v>
      </c>
      <c r="U98" s="64">
        <f>'User Input'!U132*U$10</f>
        <v>0</v>
      </c>
      <c r="V98" s="64">
        <f>'User Input'!V132*V$10</f>
        <v>0</v>
      </c>
      <c r="W98" s="64">
        <f>'User Input'!W132*W$10</f>
        <v>0</v>
      </c>
      <c r="X98" s="64">
        <f>'User Input'!X132*X$10</f>
        <v>0</v>
      </c>
      <c r="Y98" s="64">
        <f>'User Input'!Y132*Y$10</f>
        <v>0</v>
      </c>
      <c r="Z98" s="64">
        <f>'User Input'!Z132*Z$10</f>
        <v>0</v>
      </c>
    </row>
    <row r="99" spans="2:26" ht="13.5" thickBot="1" x14ac:dyDescent="0.25">
      <c r="B99" s="13"/>
      <c r="C99" s="22" t="str">
        <f>'User Input'!D133</f>
        <v>Cost 5</v>
      </c>
      <c r="D99" s="67">
        <f t="shared" si="37"/>
        <v>0</v>
      </c>
      <c r="E99" s="697">
        <v>0</v>
      </c>
      <c r="F99" s="64">
        <f>'User Input'!F133*F$10</f>
        <v>0</v>
      </c>
      <c r="G99" s="64">
        <f>'User Input'!G133*G$10</f>
        <v>0</v>
      </c>
      <c r="H99" s="64">
        <f>'User Input'!H133*H$10</f>
        <v>0</v>
      </c>
      <c r="I99" s="64">
        <f>'User Input'!I133*I$10</f>
        <v>0</v>
      </c>
      <c r="J99" s="64">
        <f>'User Input'!J133*J$10</f>
        <v>0</v>
      </c>
      <c r="K99" s="64">
        <f>'User Input'!K133*K$10</f>
        <v>0</v>
      </c>
      <c r="L99" s="64">
        <f>'User Input'!L133*L$10</f>
        <v>0</v>
      </c>
      <c r="M99" s="64">
        <f>'User Input'!M133*M$10</f>
        <v>0</v>
      </c>
      <c r="N99" s="64">
        <f>'User Input'!N133*N$10</f>
        <v>0</v>
      </c>
      <c r="O99" s="64">
        <f>'User Input'!O133*O$10</f>
        <v>0</v>
      </c>
      <c r="P99" s="64">
        <f>'User Input'!P133*P$10</f>
        <v>0</v>
      </c>
      <c r="Q99" s="64">
        <f>'User Input'!Q133*Q$10</f>
        <v>0</v>
      </c>
      <c r="R99" s="64">
        <f>'User Input'!R133*R$10</f>
        <v>0</v>
      </c>
      <c r="S99" s="64">
        <f>'User Input'!S133*S$10</f>
        <v>0</v>
      </c>
      <c r="T99" s="64">
        <f>'User Input'!T133*T$10</f>
        <v>0</v>
      </c>
      <c r="U99" s="64">
        <f>'User Input'!U133*U$10</f>
        <v>0</v>
      </c>
      <c r="V99" s="64">
        <f>'User Input'!V133*V$10</f>
        <v>0</v>
      </c>
      <c r="W99" s="64">
        <f>'User Input'!W133*W$10</f>
        <v>0</v>
      </c>
      <c r="X99" s="64">
        <f>'User Input'!X133*X$10</f>
        <v>0</v>
      </c>
      <c r="Y99" s="64">
        <f>'User Input'!Y133*Y$10</f>
        <v>0</v>
      </c>
      <c r="Z99" s="64">
        <f>'User Input'!Z133*Z$10</f>
        <v>0</v>
      </c>
    </row>
    <row r="100" spans="2:26" ht="13.5" thickBot="1" x14ac:dyDescent="0.25">
      <c r="B100" s="13"/>
      <c r="C100" s="22" t="str">
        <f>'User Input'!D134</f>
        <v>Risk 1</v>
      </c>
      <c r="D100" s="67">
        <f t="shared" si="37"/>
        <v>0</v>
      </c>
      <c r="E100" s="697">
        <v>0</v>
      </c>
      <c r="F100" s="64">
        <f>'User Input'!F134*F$10</f>
        <v>0</v>
      </c>
      <c r="G100" s="64">
        <f>'User Input'!G134*G$10</f>
        <v>0</v>
      </c>
      <c r="H100" s="64">
        <f>'User Input'!H134*H$10</f>
        <v>0</v>
      </c>
      <c r="I100" s="64">
        <f>'User Input'!I134*I$10</f>
        <v>0</v>
      </c>
      <c r="J100" s="64">
        <f>'User Input'!J134*J$10</f>
        <v>0</v>
      </c>
      <c r="K100" s="64">
        <f>'User Input'!K134*K$10</f>
        <v>0</v>
      </c>
      <c r="L100" s="64">
        <f>'User Input'!L134*L$10</f>
        <v>0</v>
      </c>
      <c r="M100" s="64">
        <f>'User Input'!M134*M$10</f>
        <v>0</v>
      </c>
      <c r="N100" s="64">
        <f>'User Input'!N134*N$10</f>
        <v>0</v>
      </c>
      <c r="O100" s="64">
        <f>'User Input'!O134*O$10</f>
        <v>0</v>
      </c>
      <c r="P100" s="64">
        <f>'User Input'!P134*P$10</f>
        <v>0</v>
      </c>
      <c r="Q100" s="64">
        <f>'User Input'!Q134*Q$10</f>
        <v>0</v>
      </c>
      <c r="R100" s="64">
        <f>'User Input'!R134*R$10</f>
        <v>0</v>
      </c>
      <c r="S100" s="64">
        <f>'User Input'!S134*S$10</f>
        <v>0</v>
      </c>
      <c r="T100" s="64">
        <f>'User Input'!T134*T$10</f>
        <v>0</v>
      </c>
      <c r="U100" s="64">
        <f>'User Input'!U134*U$10</f>
        <v>0</v>
      </c>
      <c r="V100" s="64">
        <f>'User Input'!V134*V$10</f>
        <v>0</v>
      </c>
      <c r="W100" s="64">
        <f>'User Input'!W134*W$10</f>
        <v>0</v>
      </c>
      <c r="X100" s="64">
        <f>'User Input'!X134*X$10</f>
        <v>0</v>
      </c>
      <c r="Y100" s="64">
        <f>'User Input'!Y134*Y$10</f>
        <v>0</v>
      </c>
      <c r="Z100" s="64">
        <f>'User Input'!Z134*Z$10</f>
        <v>0</v>
      </c>
    </row>
    <row r="101" spans="2:26" ht="13.5" thickBot="1" x14ac:dyDescent="0.25">
      <c r="B101" s="13"/>
      <c r="C101" s="22" t="str">
        <f>'User Input'!D135</f>
        <v>Risk 2</v>
      </c>
      <c r="D101" s="67">
        <f t="shared" si="37"/>
        <v>0</v>
      </c>
      <c r="E101" s="697">
        <v>0</v>
      </c>
      <c r="F101" s="64">
        <f>'User Input'!F135*F$10</f>
        <v>0</v>
      </c>
      <c r="G101" s="64">
        <f>'User Input'!G135*G$10</f>
        <v>0</v>
      </c>
      <c r="H101" s="64">
        <f>'User Input'!H135*H$10</f>
        <v>0</v>
      </c>
      <c r="I101" s="64">
        <f>'User Input'!I135*I$10</f>
        <v>0</v>
      </c>
      <c r="J101" s="64">
        <f>'User Input'!J135*J$10</f>
        <v>0</v>
      </c>
      <c r="K101" s="64">
        <f>'User Input'!K135*K$10</f>
        <v>0</v>
      </c>
      <c r="L101" s="64">
        <f>'User Input'!L135*L$10</f>
        <v>0</v>
      </c>
      <c r="M101" s="64">
        <f>'User Input'!M135*M$10</f>
        <v>0</v>
      </c>
      <c r="N101" s="64">
        <f>'User Input'!N135*N$10</f>
        <v>0</v>
      </c>
      <c r="O101" s="64">
        <f>'User Input'!O135*O$10</f>
        <v>0</v>
      </c>
      <c r="P101" s="64">
        <f>'User Input'!P135*P$10</f>
        <v>0</v>
      </c>
      <c r="Q101" s="64">
        <f>'User Input'!Q135*Q$10</f>
        <v>0</v>
      </c>
      <c r="R101" s="64">
        <f>'User Input'!R135*R$10</f>
        <v>0</v>
      </c>
      <c r="S101" s="64">
        <f>'User Input'!S135*S$10</f>
        <v>0</v>
      </c>
      <c r="T101" s="64">
        <f>'User Input'!T135*T$10</f>
        <v>0</v>
      </c>
      <c r="U101" s="64">
        <f>'User Input'!U135*U$10</f>
        <v>0</v>
      </c>
      <c r="V101" s="64">
        <f>'User Input'!V135*V$10</f>
        <v>0</v>
      </c>
      <c r="W101" s="64">
        <f>'User Input'!W135*W$10</f>
        <v>0</v>
      </c>
      <c r="X101" s="64">
        <f>'User Input'!X135*X$10</f>
        <v>0</v>
      </c>
      <c r="Y101" s="64">
        <f>'User Input'!Y135*Y$10</f>
        <v>0</v>
      </c>
      <c r="Z101" s="64">
        <f>'User Input'!Z135*Z$10</f>
        <v>0</v>
      </c>
    </row>
    <row r="102" spans="2:26" ht="13.5" thickBot="1" x14ac:dyDescent="0.25">
      <c r="B102" s="13"/>
      <c r="C102" s="22" t="str">
        <f>'User Input'!D136</f>
        <v>Risk 3</v>
      </c>
      <c r="D102" s="67">
        <f t="shared" si="37"/>
        <v>0</v>
      </c>
      <c r="E102" s="697">
        <v>0</v>
      </c>
      <c r="F102" s="64">
        <f>'User Input'!F136*F$10</f>
        <v>0</v>
      </c>
      <c r="G102" s="64">
        <f>'User Input'!G136*G$10</f>
        <v>0</v>
      </c>
      <c r="H102" s="64">
        <f>'User Input'!H136*H$10</f>
        <v>0</v>
      </c>
      <c r="I102" s="64">
        <f>'User Input'!I136*I$10</f>
        <v>0</v>
      </c>
      <c r="J102" s="64">
        <f>'User Input'!J136*J$10</f>
        <v>0</v>
      </c>
      <c r="K102" s="64">
        <f>'User Input'!K136*K$10</f>
        <v>0</v>
      </c>
      <c r="L102" s="64">
        <f>'User Input'!L136*L$10</f>
        <v>0</v>
      </c>
      <c r="M102" s="64">
        <f>'User Input'!M136*M$10</f>
        <v>0</v>
      </c>
      <c r="N102" s="64">
        <f>'User Input'!N136*N$10</f>
        <v>0</v>
      </c>
      <c r="O102" s="64">
        <f>'User Input'!O136*O$10</f>
        <v>0</v>
      </c>
      <c r="P102" s="64">
        <f>'User Input'!P136*P$10</f>
        <v>0</v>
      </c>
      <c r="Q102" s="64">
        <f>'User Input'!Q136*Q$10</f>
        <v>0</v>
      </c>
      <c r="R102" s="64">
        <f>'User Input'!R136*R$10</f>
        <v>0</v>
      </c>
      <c r="S102" s="64">
        <f>'User Input'!S136*S$10</f>
        <v>0</v>
      </c>
      <c r="T102" s="64">
        <f>'User Input'!T136*T$10</f>
        <v>0</v>
      </c>
      <c r="U102" s="64">
        <f>'User Input'!U136*U$10</f>
        <v>0</v>
      </c>
      <c r="V102" s="64">
        <f>'User Input'!V136*V$10</f>
        <v>0</v>
      </c>
      <c r="W102" s="64">
        <f>'User Input'!W136*W$10</f>
        <v>0</v>
      </c>
      <c r="X102" s="64">
        <f>'User Input'!X136*X$10</f>
        <v>0</v>
      </c>
      <c r="Y102" s="64">
        <f>'User Input'!Y136*Y$10</f>
        <v>0</v>
      </c>
      <c r="Z102" s="64">
        <f>'User Input'!Z136*Z$10</f>
        <v>0</v>
      </c>
    </row>
    <row r="103" spans="2:26" ht="13.5" thickBot="1" x14ac:dyDescent="0.25">
      <c r="B103" s="13"/>
      <c r="C103" s="22" t="str">
        <f>'User Input'!D137</f>
        <v>Risk 4</v>
      </c>
      <c r="D103" s="67">
        <f t="shared" si="37"/>
        <v>0</v>
      </c>
      <c r="E103" s="697">
        <v>0</v>
      </c>
      <c r="F103" s="64">
        <f>'User Input'!F137*F$10</f>
        <v>0</v>
      </c>
      <c r="G103" s="64">
        <f>'User Input'!G137*G$10</f>
        <v>0</v>
      </c>
      <c r="H103" s="64">
        <f>'User Input'!H137*H$10</f>
        <v>0</v>
      </c>
      <c r="I103" s="64">
        <f>'User Input'!I137*I$10</f>
        <v>0</v>
      </c>
      <c r="J103" s="64">
        <f>'User Input'!J137*J$10</f>
        <v>0</v>
      </c>
      <c r="K103" s="64">
        <f>'User Input'!K137*K$10</f>
        <v>0</v>
      </c>
      <c r="L103" s="64">
        <f>'User Input'!L137*L$10</f>
        <v>0</v>
      </c>
      <c r="M103" s="64">
        <f>'User Input'!M137*M$10</f>
        <v>0</v>
      </c>
      <c r="N103" s="64">
        <f>'User Input'!N137*N$10</f>
        <v>0</v>
      </c>
      <c r="O103" s="64">
        <f>'User Input'!O137*O$10</f>
        <v>0</v>
      </c>
      <c r="P103" s="64">
        <f>'User Input'!P137*P$10</f>
        <v>0</v>
      </c>
      <c r="Q103" s="64">
        <f>'User Input'!Q137*Q$10</f>
        <v>0</v>
      </c>
      <c r="R103" s="64">
        <f>'User Input'!R137*R$10</f>
        <v>0</v>
      </c>
      <c r="S103" s="64">
        <f>'User Input'!S137*S$10</f>
        <v>0</v>
      </c>
      <c r="T103" s="64">
        <f>'User Input'!T137*T$10</f>
        <v>0</v>
      </c>
      <c r="U103" s="64">
        <f>'User Input'!U137*U$10</f>
        <v>0</v>
      </c>
      <c r="V103" s="64">
        <f>'User Input'!V137*V$10</f>
        <v>0</v>
      </c>
      <c r="W103" s="64">
        <f>'User Input'!W137*W$10</f>
        <v>0</v>
      </c>
      <c r="X103" s="64">
        <f>'User Input'!X137*X$10</f>
        <v>0</v>
      </c>
      <c r="Y103" s="64">
        <f>'User Input'!Y137*Y$10</f>
        <v>0</v>
      </c>
      <c r="Z103" s="64">
        <f>'User Input'!Z137*Z$10</f>
        <v>0</v>
      </c>
    </row>
    <row r="104" spans="2:26" ht="13.5" thickBot="1" x14ac:dyDescent="0.25">
      <c r="B104" s="13"/>
      <c r="C104" s="22" t="str">
        <f>'User Input'!D138</f>
        <v>Risk 5</v>
      </c>
      <c r="D104" s="67">
        <f t="shared" si="37"/>
        <v>0</v>
      </c>
      <c r="E104" s="697">
        <v>0</v>
      </c>
      <c r="F104" s="64">
        <f>'User Input'!F138*F$10</f>
        <v>0</v>
      </c>
      <c r="G104" s="64">
        <f>'User Input'!G138*G$10</f>
        <v>0</v>
      </c>
      <c r="H104" s="64">
        <f>'User Input'!H138*H$10</f>
        <v>0</v>
      </c>
      <c r="I104" s="64">
        <f>'User Input'!I138*I$10</f>
        <v>0</v>
      </c>
      <c r="J104" s="64">
        <f>'User Input'!J138*J$10</f>
        <v>0</v>
      </c>
      <c r="K104" s="64">
        <f>'User Input'!K138*K$10</f>
        <v>0</v>
      </c>
      <c r="L104" s="64">
        <f>'User Input'!L138*L$10</f>
        <v>0</v>
      </c>
      <c r="M104" s="64">
        <f>'User Input'!M138*M$10</f>
        <v>0</v>
      </c>
      <c r="N104" s="64">
        <f>'User Input'!N138*N$10</f>
        <v>0</v>
      </c>
      <c r="O104" s="64">
        <f>'User Input'!O138*O$10</f>
        <v>0</v>
      </c>
      <c r="P104" s="64">
        <f>'User Input'!P138*P$10</f>
        <v>0</v>
      </c>
      <c r="Q104" s="64">
        <f>'User Input'!Q138*Q$10</f>
        <v>0</v>
      </c>
      <c r="R104" s="64">
        <f>'User Input'!R138*R$10</f>
        <v>0</v>
      </c>
      <c r="S104" s="64">
        <f>'User Input'!S138*S$10</f>
        <v>0</v>
      </c>
      <c r="T104" s="64">
        <f>'User Input'!T138*T$10</f>
        <v>0</v>
      </c>
      <c r="U104" s="64">
        <f>'User Input'!U138*U$10</f>
        <v>0</v>
      </c>
      <c r="V104" s="64">
        <f>'User Input'!V138*V$10</f>
        <v>0</v>
      </c>
      <c r="W104" s="64">
        <f>'User Input'!W138*W$10</f>
        <v>0</v>
      </c>
      <c r="X104" s="64">
        <f>'User Input'!X138*X$10</f>
        <v>0</v>
      </c>
      <c r="Y104" s="64">
        <f>'User Input'!Y138*Y$10</f>
        <v>0</v>
      </c>
      <c r="Z104" s="64">
        <f>'User Input'!Z138*Z$10</f>
        <v>0</v>
      </c>
    </row>
    <row r="105" spans="2:26" ht="13.5" thickBot="1" x14ac:dyDescent="0.25">
      <c r="B105" s="13"/>
      <c r="C105" s="53" t="s">
        <v>2</v>
      </c>
      <c r="D105" s="67">
        <f>SUM(E105:Y105)</f>
        <v>0</v>
      </c>
      <c r="E105" s="68">
        <f>SUM(E86:E104)</f>
        <v>0</v>
      </c>
      <c r="F105" s="69">
        <f t="shared" ref="F105:Y105" si="38">SUM(F86:F104)</f>
        <v>0</v>
      </c>
      <c r="G105" s="69">
        <f t="shared" si="38"/>
        <v>0</v>
      </c>
      <c r="H105" s="69">
        <f t="shared" si="38"/>
        <v>0</v>
      </c>
      <c r="I105" s="69">
        <f t="shared" si="38"/>
        <v>0</v>
      </c>
      <c r="J105" s="69">
        <f t="shared" si="38"/>
        <v>0</v>
      </c>
      <c r="K105" s="69">
        <f t="shared" si="38"/>
        <v>0</v>
      </c>
      <c r="L105" s="69">
        <f t="shared" si="38"/>
        <v>0</v>
      </c>
      <c r="M105" s="69">
        <f t="shared" si="38"/>
        <v>0</v>
      </c>
      <c r="N105" s="69">
        <f t="shared" si="38"/>
        <v>0</v>
      </c>
      <c r="O105" s="69">
        <f t="shared" si="38"/>
        <v>0</v>
      </c>
      <c r="P105" s="69">
        <f t="shared" si="38"/>
        <v>0</v>
      </c>
      <c r="Q105" s="69">
        <f t="shared" si="38"/>
        <v>0</v>
      </c>
      <c r="R105" s="69">
        <f t="shared" si="38"/>
        <v>0</v>
      </c>
      <c r="S105" s="69">
        <f t="shared" si="38"/>
        <v>0</v>
      </c>
      <c r="T105" s="69">
        <f t="shared" si="38"/>
        <v>0</v>
      </c>
      <c r="U105" s="69">
        <f t="shared" si="38"/>
        <v>0</v>
      </c>
      <c r="V105" s="69">
        <f t="shared" si="38"/>
        <v>0</v>
      </c>
      <c r="W105" s="69">
        <f t="shared" si="38"/>
        <v>0</v>
      </c>
      <c r="X105" s="69">
        <f t="shared" si="38"/>
        <v>0</v>
      </c>
      <c r="Y105" s="150">
        <f t="shared" si="38"/>
        <v>0</v>
      </c>
      <c r="Z105" s="150">
        <f t="shared" ref="Z105" si="39">SUM(Z86:Z104)</f>
        <v>0</v>
      </c>
    </row>
    <row r="106" spans="2:26" ht="13.5" thickBot="1" x14ac:dyDescent="0.25">
      <c r="B106" s="13"/>
      <c r="C106" s="54" t="s">
        <v>50</v>
      </c>
      <c r="D106" s="67">
        <f>SUM(E106:Y106)</f>
        <v>0</v>
      </c>
      <c r="E106" s="77">
        <f t="shared" ref="E106:Z106" si="40">+E105/E$9</f>
        <v>0</v>
      </c>
      <c r="F106" s="77">
        <f t="shared" si="40"/>
        <v>0</v>
      </c>
      <c r="G106" s="77">
        <f t="shared" si="40"/>
        <v>0</v>
      </c>
      <c r="H106" s="77">
        <f t="shared" si="40"/>
        <v>0</v>
      </c>
      <c r="I106" s="77">
        <f t="shared" si="40"/>
        <v>0</v>
      </c>
      <c r="J106" s="77">
        <f t="shared" si="40"/>
        <v>0</v>
      </c>
      <c r="K106" s="77">
        <f t="shared" si="40"/>
        <v>0</v>
      </c>
      <c r="L106" s="77">
        <f t="shared" si="40"/>
        <v>0</v>
      </c>
      <c r="M106" s="77">
        <f t="shared" si="40"/>
        <v>0</v>
      </c>
      <c r="N106" s="77">
        <f t="shared" si="40"/>
        <v>0</v>
      </c>
      <c r="O106" s="77">
        <f t="shared" si="40"/>
        <v>0</v>
      </c>
      <c r="P106" s="77">
        <f t="shared" si="40"/>
        <v>0</v>
      </c>
      <c r="Q106" s="77">
        <f t="shared" si="40"/>
        <v>0</v>
      </c>
      <c r="R106" s="77">
        <f t="shared" si="40"/>
        <v>0</v>
      </c>
      <c r="S106" s="77">
        <f t="shared" si="40"/>
        <v>0</v>
      </c>
      <c r="T106" s="77">
        <f t="shared" si="40"/>
        <v>0</v>
      </c>
      <c r="U106" s="77">
        <f t="shared" si="40"/>
        <v>0</v>
      </c>
      <c r="V106" s="77">
        <f t="shared" si="40"/>
        <v>0</v>
      </c>
      <c r="W106" s="77">
        <f t="shared" si="40"/>
        <v>0</v>
      </c>
      <c r="X106" s="77">
        <f t="shared" si="40"/>
        <v>0</v>
      </c>
      <c r="Y106" s="77">
        <f t="shared" si="40"/>
        <v>0</v>
      </c>
      <c r="Z106" s="77">
        <f t="shared" si="40"/>
        <v>0</v>
      </c>
    </row>
    <row r="107" spans="2:26" x14ac:dyDescent="0.2">
      <c r="B107" s="10"/>
      <c r="C107" s="57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6"/>
      <c r="Z107" s="56"/>
    </row>
    <row r="108" spans="2:26" x14ac:dyDescent="0.2">
      <c r="B108" s="371" t="str">
        <f>'User Input'!D140</f>
        <v xml:space="preserve">Option 4: </v>
      </c>
      <c r="C108" s="367"/>
      <c r="D108" s="372"/>
      <c r="E108" s="369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</row>
    <row r="109" spans="2:26" ht="13.5" thickBot="1" x14ac:dyDescent="0.25">
      <c r="B109" s="20"/>
      <c r="C109" s="59"/>
      <c r="D109" s="5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7"/>
      <c r="Z109" s="17"/>
    </row>
    <row r="110" spans="2:26" ht="13.5" thickBot="1" x14ac:dyDescent="0.25">
      <c r="B110" s="52"/>
      <c r="C110" s="4" t="s">
        <v>76</v>
      </c>
      <c r="D110" s="67">
        <f>SUM(E110:Y110)</f>
        <v>0</v>
      </c>
      <c r="E110" s="64">
        <f>'User Input'!F19*E10</f>
        <v>0</v>
      </c>
      <c r="F110" s="64">
        <f>'User Input'!G19*F$10</f>
        <v>0</v>
      </c>
      <c r="G110" s="64">
        <f>'User Input'!H19*G$10</f>
        <v>0</v>
      </c>
      <c r="H110" s="64">
        <f>'User Input'!I19*H$10</f>
        <v>0</v>
      </c>
      <c r="I110" s="64">
        <f>'User Input'!J19*I$10</f>
        <v>0</v>
      </c>
      <c r="J110" s="64">
        <f>'User Input'!K19*J$10</f>
        <v>0</v>
      </c>
      <c r="K110" s="64">
        <f>'User Input'!L19*K$10</f>
        <v>0</v>
      </c>
      <c r="L110" s="64">
        <f>'User Input'!M19*L$10</f>
        <v>0</v>
      </c>
      <c r="M110" s="64">
        <f>'User Input'!N19*M$10</f>
        <v>0</v>
      </c>
      <c r="N110" s="64">
        <f>'User Input'!O19*N$10</f>
        <v>0</v>
      </c>
      <c r="O110" s="64">
        <f>'User Input'!P19*O$10</f>
        <v>0</v>
      </c>
      <c r="P110" s="64">
        <f>'User Input'!Q19*P$10</f>
        <v>0</v>
      </c>
      <c r="Q110" s="64">
        <f>'User Input'!R19*Q$10</f>
        <v>0</v>
      </c>
      <c r="R110" s="64">
        <f>'User Input'!S19*R$10</f>
        <v>0</v>
      </c>
      <c r="S110" s="64">
        <f>'User Input'!T19*S$10</f>
        <v>0</v>
      </c>
      <c r="T110" s="64">
        <f>'User Input'!U19*T$10</f>
        <v>0</v>
      </c>
      <c r="U110" s="64">
        <f>'User Input'!V19*U$10</f>
        <v>0</v>
      </c>
      <c r="V110" s="64">
        <f>'User Input'!W19*V$10</f>
        <v>0</v>
      </c>
      <c r="W110" s="64">
        <f>'User Input'!X19*W$10</f>
        <v>0</v>
      </c>
      <c r="X110" s="64">
        <f>'User Input'!Y19*X$10</f>
        <v>0</v>
      </c>
      <c r="Y110" s="64">
        <f>'User Input'!Z19*Y$10</f>
        <v>0</v>
      </c>
      <c r="Z110" s="64">
        <f>'User Input'!AA19*Z$10</f>
        <v>0</v>
      </c>
    </row>
    <row r="111" spans="2:26" ht="13.5" thickBot="1" x14ac:dyDescent="0.25">
      <c r="B111" s="13"/>
      <c r="C111" s="22" t="str">
        <f>'User Input'!D143</f>
        <v>Maintenance Costs</v>
      </c>
      <c r="D111" s="67">
        <f t="shared" ref="D111:D128" si="41">SUM(E111:Y111)</f>
        <v>0</v>
      </c>
      <c r="E111" s="697">
        <v>0</v>
      </c>
      <c r="F111" s="64">
        <f>'User Input'!F143*F$10</f>
        <v>0</v>
      </c>
      <c r="G111" s="64">
        <f>'User Input'!G143*G$10</f>
        <v>0</v>
      </c>
      <c r="H111" s="64">
        <f>'User Input'!H143*H$10</f>
        <v>0</v>
      </c>
      <c r="I111" s="64">
        <f>'User Input'!I143*I$10</f>
        <v>0</v>
      </c>
      <c r="J111" s="64">
        <f>'User Input'!J143*J$10</f>
        <v>0</v>
      </c>
      <c r="K111" s="64">
        <f>'User Input'!K143*K$10</f>
        <v>0</v>
      </c>
      <c r="L111" s="64">
        <f>'User Input'!L143*L$10</f>
        <v>0</v>
      </c>
      <c r="M111" s="64">
        <f>'User Input'!M143*M$10</f>
        <v>0</v>
      </c>
      <c r="N111" s="64">
        <f>'User Input'!N143*N$10</f>
        <v>0</v>
      </c>
      <c r="O111" s="64">
        <f>'User Input'!O143*O$10</f>
        <v>0</v>
      </c>
      <c r="P111" s="64">
        <f>'User Input'!P143*P$10</f>
        <v>0</v>
      </c>
      <c r="Q111" s="64">
        <f>'User Input'!Q143*Q$10</f>
        <v>0</v>
      </c>
      <c r="R111" s="64">
        <f>'User Input'!R143*R$10</f>
        <v>0</v>
      </c>
      <c r="S111" s="64">
        <f>'User Input'!S143*S$10</f>
        <v>0</v>
      </c>
      <c r="T111" s="64">
        <f>'User Input'!T143*T$10</f>
        <v>0</v>
      </c>
      <c r="U111" s="64">
        <f>'User Input'!U143*U$10</f>
        <v>0</v>
      </c>
      <c r="V111" s="64">
        <f>'User Input'!V143*V$10</f>
        <v>0</v>
      </c>
      <c r="W111" s="64">
        <f>'User Input'!W143*W$10</f>
        <v>0</v>
      </c>
      <c r="X111" s="64">
        <f>'User Input'!X143*X$10</f>
        <v>0</v>
      </c>
      <c r="Y111" s="64">
        <f>'User Input'!Y143*Y$10</f>
        <v>0</v>
      </c>
      <c r="Z111" s="64">
        <f>'User Input'!Z143*Z$10</f>
        <v>0</v>
      </c>
    </row>
    <row r="112" spans="2:26" ht="13.5" thickBot="1" x14ac:dyDescent="0.25">
      <c r="B112" s="13"/>
      <c r="C112" s="137" t="str">
        <f>'User Input'!D145</f>
        <v>Negative Impact on Revenue (STPIS)</v>
      </c>
      <c r="D112" s="195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46"/>
      <c r="Z112" s="146"/>
    </row>
    <row r="113" spans="1:26" ht="13.5" thickBot="1" x14ac:dyDescent="0.25">
      <c r="B113" s="13"/>
      <c r="C113" s="140" t="str">
        <f>'User Input'!D146</f>
        <v>SAIFI sustained</v>
      </c>
      <c r="D113" s="67">
        <f t="shared" si="41"/>
        <v>0</v>
      </c>
      <c r="E113" s="259">
        <v>0</v>
      </c>
      <c r="F113" s="259">
        <v>0</v>
      </c>
      <c r="G113" s="697">
        <v>0</v>
      </c>
      <c r="H113" s="64">
        <f>IF('User Input'!$I$8=1,'User Input'!F146*'Administrator Input'!$F$41*H10,0)</f>
        <v>0</v>
      </c>
      <c r="I113" s="64">
        <f>IF('User Input'!$I$8=1,'User Input'!G146*'Administrator Input'!$F$41*I10,0)</f>
        <v>0</v>
      </c>
      <c r="J113" s="64">
        <f>IF('User Input'!$I$8=1,'User Input'!H146*'Administrator Input'!$F$41*J10,0)</f>
        <v>0</v>
      </c>
      <c r="K113" s="64">
        <f>IF('User Input'!$I$8=1,'User Input'!I146*'Administrator Input'!$F$41*K10,0)</f>
        <v>0</v>
      </c>
      <c r="L113" s="64">
        <f>IF('User Input'!$I$8=1,'User Input'!J146*'Administrator Input'!$F$41*L10,0)</f>
        <v>0</v>
      </c>
      <c r="M113" s="64">
        <f>IF('User Input'!$I$8=1,'User Input'!K146*'Administrator Input'!$F$41*M10,0)</f>
        <v>0</v>
      </c>
      <c r="N113" s="64">
        <f>IF('User Input'!$I$8=1,'User Input'!L146*'Administrator Input'!$F$41*N10,0)</f>
        <v>0</v>
      </c>
      <c r="O113" s="64">
        <f>IF('User Input'!$I$8=1,'User Input'!M146*'Administrator Input'!$F$41*O10,0)</f>
        <v>0</v>
      </c>
      <c r="P113" s="64">
        <f>IF('User Input'!$I$8=1,'User Input'!N146*'Administrator Input'!$F$41*P10,0)</f>
        <v>0</v>
      </c>
      <c r="Q113" s="64">
        <f>IF('User Input'!$I$8=1,'User Input'!O146*'Administrator Input'!$F$41*Q10,0)</f>
        <v>0</v>
      </c>
      <c r="R113" s="64">
        <f>IF('User Input'!$I$8=1,'User Input'!P146*'Administrator Input'!$F$41*R10,0)</f>
        <v>0</v>
      </c>
      <c r="S113" s="64">
        <f>IF('User Input'!$I$8=1,'User Input'!Q146*'Administrator Input'!$F$41*S10,0)</f>
        <v>0</v>
      </c>
      <c r="T113" s="64">
        <f>IF('User Input'!$I$8=1,'User Input'!R146*'Administrator Input'!$F$41*T10,0)</f>
        <v>0</v>
      </c>
      <c r="U113" s="64">
        <f>IF('User Input'!$I$8=1,'User Input'!S146*'Administrator Input'!$F$41*U10,0)</f>
        <v>0</v>
      </c>
      <c r="V113" s="64">
        <f>IF('User Input'!$I$8=1,'User Input'!T146*'Administrator Input'!$F$41*V10,0)</f>
        <v>0</v>
      </c>
      <c r="W113" s="64">
        <f>IF('User Input'!$I$8=1,'User Input'!U146*'Administrator Input'!$F$41*W10,0)</f>
        <v>0</v>
      </c>
      <c r="X113" s="64">
        <f>IF('User Input'!$I$8=1,'User Input'!V146*'Administrator Input'!$F$41*X10,0)</f>
        <v>0</v>
      </c>
      <c r="Y113" s="64">
        <f>IF('User Input'!$I$8=1,'User Input'!W146*'Administrator Input'!$F$41*Y10,0)</f>
        <v>0</v>
      </c>
      <c r="Z113" s="64">
        <f>IF('User Input'!$I$8=1,'User Input'!X146*'Administrator Input'!$F$41*Z10,0)</f>
        <v>0</v>
      </c>
    </row>
    <row r="114" spans="1:26" ht="13.5" thickBot="1" x14ac:dyDescent="0.25">
      <c r="B114" s="13"/>
      <c r="C114" s="140" t="str">
        <f>'User Input'!D147</f>
        <v>SAIDI accidental</v>
      </c>
      <c r="D114" s="67">
        <f t="shared" si="41"/>
        <v>0</v>
      </c>
      <c r="E114" s="259">
        <v>0</v>
      </c>
      <c r="F114" s="259">
        <v>0</v>
      </c>
      <c r="G114" s="697">
        <v>0</v>
      </c>
      <c r="H114" s="64">
        <f>IF('User Input'!$I$8=1,'User Input'!F147*'Administrator Input'!$F$42*H10,0)</f>
        <v>0</v>
      </c>
      <c r="I114" s="64">
        <f>IF('User Input'!$I$8=1,'User Input'!G147*'Administrator Input'!$F$42*I10,0)</f>
        <v>0</v>
      </c>
      <c r="J114" s="64">
        <f>IF('User Input'!$I$8=1,'User Input'!H147*'Administrator Input'!$F$42*J10,0)</f>
        <v>0</v>
      </c>
      <c r="K114" s="64">
        <f>IF('User Input'!$I$8=1,'User Input'!I147*'Administrator Input'!$F$42*K10,0)</f>
        <v>0</v>
      </c>
      <c r="L114" s="64">
        <f>IF('User Input'!$I$8=1,'User Input'!J147*'Administrator Input'!$F$42*L10,0)</f>
        <v>0</v>
      </c>
      <c r="M114" s="64">
        <f>IF('User Input'!$I$8=1,'User Input'!K147*'Administrator Input'!$F$42*M10,0)</f>
        <v>0</v>
      </c>
      <c r="N114" s="64">
        <f>IF('User Input'!$I$8=1,'User Input'!L147*'Administrator Input'!$F$42*N10,0)</f>
        <v>0</v>
      </c>
      <c r="O114" s="64">
        <f>IF('User Input'!$I$8=1,'User Input'!M147*'Administrator Input'!$F$42*O10,0)</f>
        <v>0</v>
      </c>
      <c r="P114" s="64">
        <f>IF('User Input'!$I$8=1,'User Input'!N147*'Administrator Input'!$F$42*P10,0)</f>
        <v>0</v>
      </c>
      <c r="Q114" s="64">
        <f>IF('User Input'!$I$8=1,'User Input'!O147*'Administrator Input'!$F$42*Q10,0)</f>
        <v>0</v>
      </c>
      <c r="R114" s="64">
        <f>IF('User Input'!$I$8=1,'User Input'!P147*'Administrator Input'!$F$42*R10,0)</f>
        <v>0</v>
      </c>
      <c r="S114" s="64">
        <f>IF('User Input'!$I$8=1,'User Input'!Q147*'Administrator Input'!$F$42*S10,0)</f>
        <v>0</v>
      </c>
      <c r="T114" s="64">
        <f>IF('User Input'!$I$8=1,'User Input'!R147*'Administrator Input'!$F$42*T10,0)</f>
        <v>0</v>
      </c>
      <c r="U114" s="64">
        <f>IF('User Input'!$I$8=1,'User Input'!S147*'Administrator Input'!$F$42*U10,0)</f>
        <v>0</v>
      </c>
      <c r="V114" s="64">
        <f>IF('User Input'!$I$8=1,'User Input'!T147*'Administrator Input'!$F$42*V10,0)</f>
        <v>0</v>
      </c>
      <c r="W114" s="64">
        <f>IF('User Input'!$I$8=1,'User Input'!U147*'Administrator Input'!$F$42*W10,0)</f>
        <v>0</v>
      </c>
      <c r="X114" s="64">
        <f>IF('User Input'!$I$8=1,'User Input'!V147*'Administrator Input'!$F$42*X10,0)</f>
        <v>0</v>
      </c>
      <c r="Y114" s="64">
        <f>IF('User Input'!$I$8=1,'User Input'!W147*'Administrator Input'!$F$42*Y10,0)</f>
        <v>0</v>
      </c>
      <c r="Z114" s="64">
        <f>IF('User Input'!$I$8=1,'User Input'!X147*'Administrator Input'!$F$42*Z10,0)</f>
        <v>0</v>
      </c>
    </row>
    <row r="115" spans="1:26" ht="13.5" thickBot="1" x14ac:dyDescent="0.25">
      <c r="B115" s="13"/>
      <c r="C115" s="140" t="str">
        <f>'User Input'!D148</f>
        <v>MAIFI momentary</v>
      </c>
      <c r="D115" s="67">
        <f t="shared" si="41"/>
        <v>0</v>
      </c>
      <c r="E115" s="259">
        <v>0</v>
      </c>
      <c r="F115" s="259">
        <v>0</v>
      </c>
      <c r="G115" s="697">
        <v>0</v>
      </c>
      <c r="H115" s="64">
        <f>IF('User Input'!$I$8=1,'User Input'!F148*'Administrator Input'!$F$43*H10,0)</f>
        <v>0</v>
      </c>
      <c r="I115" s="64">
        <f>IF('User Input'!$I$8=1,'User Input'!G148*'Administrator Input'!$F$43*I10,0)</f>
        <v>0</v>
      </c>
      <c r="J115" s="64">
        <f>IF('User Input'!$I$8=1,'User Input'!H148*'Administrator Input'!$F$43*J10,0)</f>
        <v>0</v>
      </c>
      <c r="K115" s="64">
        <f>IF('User Input'!$I$8=1,'User Input'!I148*'Administrator Input'!$F$43*K10,0)</f>
        <v>0</v>
      </c>
      <c r="L115" s="64">
        <f>IF('User Input'!$I$8=1,'User Input'!J148*'Administrator Input'!$F$43*L10,0)</f>
        <v>0</v>
      </c>
      <c r="M115" s="64">
        <f>IF('User Input'!$I$8=1,'User Input'!K148*'Administrator Input'!$F$43*M10,0)</f>
        <v>0</v>
      </c>
      <c r="N115" s="64">
        <f>IF('User Input'!$I$8=1,'User Input'!L148*'Administrator Input'!$F$43*N10,0)</f>
        <v>0</v>
      </c>
      <c r="O115" s="64">
        <f>IF('User Input'!$I$8=1,'User Input'!M148*'Administrator Input'!$F$43*O10,0)</f>
        <v>0</v>
      </c>
      <c r="P115" s="64">
        <f>IF('User Input'!$I$8=1,'User Input'!N148*'Administrator Input'!$F$43*P10,0)</f>
        <v>0</v>
      </c>
      <c r="Q115" s="64">
        <f>IF('User Input'!$I$8=1,'User Input'!O148*'Administrator Input'!$F$43*Q10,0)</f>
        <v>0</v>
      </c>
      <c r="R115" s="64">
        <f>IF('User Input'!$I$8=1,'User Input'!P148*'Administrator Input'!$F$43*R10,0)</f>
        <v>0</v>
      </c>
      <c r="S115" s="64">
        <f>IF('User Input'!$I$8=1,'User Input'!Q148*'Administrator Input'!$F$43*S10,0)</f>
        <v>0</v>
      </c>
      <c r="T115" s="64">
        <f>IF('User Input'!$I$8=1,'User Input'!R148*'Administrator Input'!$F$43*T10,0)</f>
        <v>0</v>
      </c>
      <c r="U115" s="64">
        <f>IF('User Input'!$I$8=1,'User Input'!S148*'Administrator Input'!$F$43*U10,0)</f>
        <v>0</v>
      </c>
      <c r="V115" s="64">
        <f>IF('User Input'!$I$8=1,'User Input'!T148*'Administrator Input'!$F$43*V10,0)</f>
        <v>0</v>
      </c>
      <c r="W115" s="64">
        <f>IF('User Input'!$I$8=1,'User Input'!U148*'Administrator Input'!$F$43*W10,0)</f>
        <v>0</v>
      </c>
      <c r="X115" s="64">
        <f>IF('User Input'!$I$8=1,'User Input'!V148*'Administrator Input'!$F$43*X10,0)</f>
        <v>0</v>
      </c>
      <c r="Y115" s="64">
        <f>IF('User Input'!$I$8=1,'User Input'!W148*'Administrator Input'!$F$43*Y10,0)</f>
        <v>0</v>
      </c>
      <c r="Z115" s="64">
        <f>IF('User Input'!$I$8=1,'User Input'!X148*'Administrator Input'!$F$43*Z10,0)</f>
        <v>0</v>
      </c>
    </row>
    <row r="116" spans="1:26" ht="13.5" thickBot="1" x14ac:dyDescent="0.25">
      <c r="B116" s="13"/>
      <c r="C116" s="140" t="str">
        <f>'User Input'!D149</f>
        <v>Call centre response</v>
      </c>
      <c r="D116" s="67">
        <f t="shared" si="41"/>
        <v>0</v>
      </c>
      <c r="E116" s="259">
        <v>0</v>
      </c>
      <c r="F116" s="259">
        <v>0</v>
      </c>
      <c r="G116" s="697">
        <v>0</v>
      </c>
      <c r="H116" s="64">
        <f>IF('User Input'!$I$8=1,'User Input'!F149*'Administrator Input'!$F$44*H10,0)</f>
        <v>0</v>
      </c>
      <c r="I116" s="64">
        <f>IF('User Input'!$I$8=1,'User Input'!G149*'Administrator Input'!$F$44*I10,0)</f>
        <v>0</v>
      </c>
      <c r="J116" s="64">
        <f>IF('User Input'!$I$8=1,'User Input'!H149*'Administrator Input'!$F$44*J10,0)</f>
        <v>0</v>
      </c>
      <c r="K116" s="64">
        <f>IF('User Input'!$I$8=1,'User Input'!I149*'Administrator Input'!$F$44*K10,0)</f>
        <v>0</v>
      </c>
      <c r="L116" s="64">
        <f>IF('User Input'!$I$8=1,'User Input'!J149*'Administrator Input'!$F$44*L10,0)</f>
        <v>0</v>
      </c>
      <c r="M116" s="64">
        <f>IF('User Input'!$I$8=1,'User Input'!K149*'Administrator Input'!$F$44*M10,0)</f>
        <v>0</v>
      </c>
      <c r="N116" s="64">
        <f>IF('User Input'!$I$8=1,'User Input'!L149*'Administrator Input'!$F$44*N10,0)</f>
        <v>0</v>
      </c>
      <c r="O116" s="64">
        <f>IF('User Input'!$I$8=1,'User Input'!M149*'Administrator Input'!$F$44*O10,0)</f>
        <v>0</v>
      </c>
      <c r="P116" s="64">
        <f>IF('User Input'!$I$8=1,'User Input'!N149*'Administrator Input'!$F$44*P10,0)</f>
        <v>0</v>
      </c>
      <c r="Q116" s="64">
        <f>IF('User Input'!$I$8=1,'User Input'!O149*'Administrator Input'!$F$44*Q10,0)</f>
        <v>0</v>
      </c>
      <c r="R116" s="64">
        <f>IF('User Input'!$I$8=1,'User Input'!P149*'Administrator Input'!$F$44*R10,0)</f>
        <v>0</v>
      </c>
      <c r="S116" s="64">
        <f>IF('User Input'!$I$8=1,'User Input'!Q149*'Administrator Input'!$F$44*S10,0)</f>
        <v>0</v>
      </c>
      <c r="T116" s="64">
        <f>IF('User Input'!$I$8=1,'User Input'!R149*'Administrator Input'!$F$44*T10,0)</f>
        <v>0</v>
      </c>
      <c r="U116" s="64">
        <f>IF('User Input'!$I$8=1,'User Input'!S149*'Administrator Input'!$F$44*U10,0)</f>
        <v>0</v>
      </c>
      <c r="V116" s="64">
        <f>IF('User Input'!$I$8=1,'User Input'!T149*'Administrator Input'!$F$44*V10,0)</f>
        <v>0</v>
      </c>
      <c r="W116" s="64">
        <f>IF('User Input'!$I$8=1,'User Input'!U149*'Administrator Input'!$F$44*W10,0)</f>
        <v>0</v>
      </c>
      <c r="X116" s="64">
        <f>IF('User Input'!$I$8=1,'User Input'!V149*'Administrator Input'!$F$44*X10,0)</f>
        <v>0</v>
      </c>
      <c r="Y116" s="64">
        <f>IF('User Input'!$I$8=1,'User Input'!W149*'Administrator Input'!$F$44*Y10,0)</f>
        <v>0</v>
      </c>
      <c r="Z116" s="64">
        <f>IF('User Input'!$I$8=1,'User Input'!X149*'Administrator Input'!$F$44*Z10,0)</f>
        <v>0</v>
      </c>
    </row>
    <row r="117" spans="1:26" ht="13.5" thickBot="1" x14ac:dyDescent="0.25">
      <c r="A117" s="138"/>
      <c r="B117" s="142"/>
      <c r="C117" s="137" t="str">
        <f>'User Input'!D151</f>
        <v>Network Outage Costs</v>
      </c>
      <c r="D117" s="67">
        <f t="shared" si="41"/>
        <v>0</v>
      </c>
      <c r="E117" s="697">
        <v>0</v>
      </c>
      <c r="F117" s="141">
        <f>'User Input'!F152*'Administrator Input'!$F$49*F10</f>
        <v>0</v>
      </c>
      <c r="G117" s="141">
        <f>'User Input'!G152*'Administrator Input'!$F$49*G10</f>
        <v>0</v>
      </c>
      <c r="H117" s="141">
        <f>'User Input'!H152*'Administrator Input'!$F$49*H10</f>
        <v>0</v>
      </c>
      <c r="I117" s="141">
        <f>'User Input'!I152*'Administrator Input'!$F$49*I10</f>
        <v>0</v>
      </c>
      <c r="J117" s="141">
        <f>'User Input'!J152*'Administrator Input'!$F$49*J10</f>
        <v>0</v>
      </c>
      <c r="K117" s="141">
        <f>'User Input'!K152*'Administrator Input'!$F$49*K10</f>
        <v>0</v>
      </c>
      <c r="L117" s="141">
        <f>'User Input'!L152*'Administrator Input'!$F$49*L10</f>
        <v>0</v>
      </c>
      <c r="M117" s="141">
        <f>'User Input'!M152*'Administrator Input'!$F$49*M10</f>
        <v>0</v>
      </c>
      <c r="N117" s="141">
        <f>'User Input'!N152*'Administrator Input'!$F$49*N10</f>
        <v>0</v>
      </c>
      <c r="O117" s="141">
        <f>'User Input'!O152*'Administrator Input'!$F$49*O10</f>
        <v>0</v>
      </c>
      <c r="P117" s="141">
        <f>'User Input'!P152*'Administrator Input'!$F$49*P10</f>
        <v>0</v>
      </c>
      <c r="Q117" s="141">
        <f>'User Input'!Q152*'Administrator Input'!$F$49*Q10</f>
        <v>0</v>
      </c>
      <c r="R117" s="141">
        <f>'User Input'!R152*'Administrator Input'!$F$49*R10</f>
        <v>0</v>
      </c>
      <c r="S117" s="141">
        <f>'User Input'!S152*'Administrator Input'!$F$49*S10</f>
        <v>0</v>
      </c>
      <c r="T117" s="141">
        <f>'User Input'!T152*'Administrator Input'!$F$49*T10</f>
        <v>0</v>
      </c>
      <c r="U117" s="141">
        <f>'User Input'!U152*'Administrator Input'!$F$49*U10</f>
        <v>0</v>
      </c>
      <c r="V117" s="141">
        <f>'User Input'!V152*'Administrator Input'!$F$49*V10</f>
        <v>0</v>
      </c>
      <c r="W117" s="141">
        <f>'User Input'!W152*'Administrator Input'!$F$49*W10</f>
        <v>0</v>
      </c>
      <c r="X117" s="141">
        <f>'User Input'!X152*'Administrator Input'!$F$49*X10</f>
        <v>0</v>
      </c>
      <c r="Y117" s="141">
        <f>'User Input'!Y152*'Administrator Input'!$F$49*Y10</f>
        <v>0</v>
      </c>
      <c r="Z117" s="141">
        <f>'User Input'!Z152*'Administrator Input'!$F$49*Z10</f>
        <v>0</v>
      </c>
    </row>
    <row r="118" spans="1:26" ht="13.5" thickBot="1" x14ac:dyDescent="0.25">
      <c r="A118" s="138"/>
      <c r="B118" s="142"/>
      <c r="C118" s="137" t="str">
        <f>'User Input'!D155</f>
        <v>Loss of F Factor Benefit</v>
      </c>
      <c r="D118" s="67">
        <f t="shared" si="41"/>
        <v>0</v>
      </c>
      <c r="E118" s="697">
        <v>0</v>
      </c>
      <c r="F118" s="141">
        <f>'User Input'!F155*'Administrator Input'!$F$54</f>
        <v>0</v>
      </c>
      <c r="G118" s="141">
        <f>'User Input'!G155*'Administrator Input'!$F$54</f>
        <v>0</v>
      </c>
      <c r="H118" s="141">
        <f>'User Input'!H155*'Administrator Input'!$F$54</f>
        <v>0</v>
      </c>
      <c r="I118" s="141">
        <f>'User Input'!I155*'Administrator Input'!$F$54</f>
        <v>0</v>
      </c>
      <c r="J118" s="141">
        <f>'User Input'!J155*'Administrator Input'!$F$54</f>
        <v>0</v>
      </c>
      <c r="K118" s="141">
        <f>'User Input'!K155*'Administrator Input'!$F$54</f>
        <v>0</v>
      </c>
      <c r="L118" s="141">
        <f>'User Input'!L155*'Administrator Input'!$F$54</f>
        <v>0</v>
      </c>
      <c r="M118" s="141">
        <f>'User Input'!M155*'Administrator Input'!$F$54</f>
        <v>0</v>
      </c>
      <c r="N118" s="141">
        <f>'User Input'!N155*'Administrator Input'!$F$54</f>
        <v>0</v>
      </c>
      <c r="O118" s="141">
        <f>'User Input'!O155*'Administrator Input'!$F$54</f>
        <v>0</v>
      </c>
      <c r="P118" s="141">
        <f>'User Input'!P155*'Administrator Input'!$F$54</f>
        <v>0</v>
      </c>
      <c r="Q118" s="141">
        <f>'User Input'!Q155*'Administrator Input'!$F$54</f>
        <v>0</v>
      </c>
      <c r="R118" s="141">
        <f>'User Input'!R155*'Administrator Input'!$F$54</f>
        <v>0</v>
      </c>
      <c r="S118" s="141">
        <f>'User Input'!S155*'Administrator Input'!$F$54</f>
        <v>0</v>
      </c>
      <c r="T118" s="141">
        <f>'User Input'!T155*'Administrator Input'!$F$54</f>
        <v>0</v>
      </c>
      <c r="U118" s="141">
        <f>'User Input'!U155*'Administrator Input'!$F$54</f>
        <v>0</v>
      </c>
      <c r="V118" s="141">
        <f>'User Input'!V155*'Administrator Input'!$F$54</f>
        <v>0</v>
      </c>
      <c r="W118" s="141">
        <f>'User Input'!W155*'Administrator Input'!$F$54</f>
        <v>0</v>
      </c>
      <c r="X118" s="141">
        <f>'User Input'!X155*'Administrator Input'!$F$54</f>
        <v>0</v>
      </c>
      <c r="Y118" s="141">
        <f>'User Input'!Y155*'Administrator Input'!$F$54</f>
        <v>0</v>
      </c>
      <c r="Z118" s="141">
        <f>'User Input'!Z155*'Administrator Input'!$F$54</f>
        <v>0</v>
      </c>
    </row>
    <row r="119" spans="1:26" ht="13.5" thickBot="1" x14ac:dyDescent="0.25">
      <c r="B119" s="13"/>
      <c r="C119" s="22" t="str">
        <f>'User Input'!D158</f>
        <v>Cost 1</v>
      </c>
      <c r="D119" s="67">
        <f t="shared" si="41"/>
        <v>0</v>
      </c>
      <c r="E119" s="697">
        <v>0</v>
      </c>
      <c r="F119" s="64">
        <f>'User Input'!F158*F$10</f>
        <v>0</v>
      </c>
      <c r="G119" s="64">
        <f>'User Input'!G158*G$10</f>
        <v>0</v>
      </c>
      <c r="H119" s="64">
        <f>'User Input'!H158*H$10</f>
        <v>0</v>
      </c>
      <c r="I119" s="64">
        <f>'User Input'!I158*I$10</f>
        <v>0</v>
      </c>
      <c r="J119" s="64">
        <f>'User Input'!J158*J$10</f>
        <v>0</v>
      </c>
      <c r="K119" s="64">
        <f>'User Input'!K158*K$10</f>
        <v>0</v>
      </c>
      <c r="L119" s="64">
        <f>'User Input'!L158*L$10</f>
        <v>0</v>
      </c>
      <c r="M119" s="64">
        <f>'User Input'!M158*M$10</f>
        <v>0</v>
      </c>
      <c r="N119" s="64">
        <f>'User Input'!N158*N$10</f>
        <v>0</v>
      </c>
      <c r="O119" s="64">
        <f>'User Input'!O158*O$10</f>
        <v>0</v>
      </c>
      <c r="P119" s="64">
        <f>'User Input'!P158*P$10</f>
        <v>0</v>
      </c>
      <c r="Q119" s="64">
        <f>'User Input'!Q158*Q$10</f>
        <v>0</v>
      </c>
      <c r="R119" s="64">
        <f>'User Input'!R158*R$10</f>
        <v>0</v>
      </c>
      <c r="S119" s="64">
        <f>'User Input'!S158*S$10</f>
        <v>0</v>
      </c>
      <c r="T119" s="64">
        <f>'User Input'!T158*T$10</f>
        <v>0</v>
      </c>
      <c r="U119" s="64">
        <f>'User Input'!U158*U$10</f>
        <v>0</v>
      </c>
      <c r="V119" s="64">
        <f>'User Input'!V158*V$10</f>
        <v>0</v>
      </c>
      <c r="W119" s="64">
        <f>'User Input'!W158*W$10</f>
        <v>0</v>
      </c>
      <c r="X119" s="64">
        <f>'User Input'!X158*X$10</f>
        <v>0</v>
      </c>
      <c r="Y119" s="64">
        <f>'User Input'!Y158*Y$10</f>
        <v>0</v>
      </c>
      <c r="Z119" s="64">
        <f>'User Input'!Z158*Z$10</f>
        <v>0</v>
      </c>
    </row>
    <row r="120" spans="1:26" ht="13.5" thickBot="1" x14ac:dyDescent="0.25">
      <c r="B120" s="13"/>
      <c r="C120" s="22" t="str">
        <f>'User Input'!D159</f>
        <v>Cost 2</v>
      </c>
      <c r="D120" s="67">
        <f t="shared" si="41"/>
        <v>0</v>
      </c>
      <c r="E120" s="697">
        <v>0</v>
      </c>
      <c r="F120" s="64">
        <f>'User Input'!F159*F$10</f>
        <v>0</v>
      </c>
      <c r="G120" s="64">
        <f>'User Input'!G159*G$10</f>
        <v>0</v>
      </c>
      <c r="H120" s="64">
        <f>'User Input'!H159*H$10</f>
        <v>0</v>
      </c>
      <c r="I120" s="64">
        <f>'User Input'!I159*I$10</f>
        <v>0</v>
      </c>
      <c r="J120" s="64">
        <f>'User Input'!J159*J$10</f>
        <v>0</v>
      </c>
      <c r="K120" s="64">
        <f>'User Input'!K159*K$10</f>
        <v>0</v>
      </c>
      <c r="L120" s="64">
        <f>'User Input'!L159*L$10</f>
        <v>0</v>
      </c>
      <c r="M120" s="64">
        <f>'User Input'!M159*M$10</f>
        <v>0</v>
      </c>
      <c r="N120" s="64">
        <f>'User Input'!N159*N$10</f>
        <v>0</v>
      </c>
      <c r="O120" s="64">
        <f>'User Input'!O159*O$10</f>
        <v>0</v>
      </c>
      <c r="P120" s="64">
        <f>'User Input'!P159*P$10</f>
        <v>0</v>
      </c>
      <c r="Q120" s="64">
        <f>'User Input'!Q159*Q$10</f>
        <v>0</v>
      </c>
      <c r="R120" s="64">
        <f>'User Input'!R159*R$10</f>
        <v>0</v>
      </c>
      <c r="S120" s="64">
        <f>'User Input'!S159*S$10</f>
        <v>0</v>
      </c>
      <c r="T120" s="64">
        <f>'User Input'!T159*T$10</f>
        <v>0</v>
      </c>
      <c r="U120" s="64">
        <f>'User Input'!U159*U$10</f>
        <v>0</v>
      </c>
      <c r="V120" s="64">
        <f>'User Input'!V159*V$10</f>
        <v>0</v>
      </c>
      <c r="W120" s="64">
        <f>'User Input'!W159*W$10</f>
        <v>0</v>
      </c>
      <c r="X120" s="64">
        <f>'User Input'!X159*X$10</f>
        <v>0</v>
      </c>
      <c r="Y120" s="64">
        <f>'User Input'!Y159*Y$10</f>
        <v>0</v>
      </c>
      <c r="Z120" s="64">
        <f>'User Input'!Z159*Z$10</f>
        <v>0</v>
      </c>
    </row>
    <row r="121" spans="1:26" ht="13.5" thickBot="1" x14ac:dyDescent="0.25">
      <c r="B121" s="13"/>
      <c r="C121" s="22" t="str">
        <f>'User Input'!D160</f>
        <v>Cost 3</v>
      </c>
      <c r="D121" s="67">
        <f t="shared" si="41"/>
        <v>0</v>
      </c>
      <c r="E121" s="697">
        <v>0</v>
      </c>
      <c r="F121" s="64">
        <f>'User Input'!F160*F$10</f>
        <v>0</v>
      </c>
      <c r="G121" s="64">
        <f>'User Input'!G160*G$10</f>
        <v>0</v>
      </c>
      <c r="H121" s="64">
        <f>'User Input'!H160*H$10</f>
        <v>0</v>
      </c>
      <c r="I121" s="64">
        <f>'User Input'!I160*I$10</f>
        <v>0</v>
      </c>
      <c r="J121" s="64">
        <f>'User Input'!J160*J$10</f>
        <v>0</v>
      </c>
      <c r="K121" s="64">
        <f>'User Input'!K160*K$10</f>
        <v>0</v>
      </c>
      <c r="L121" s="64">
        <f>'User Input'!L160*L$10</f>
        <v>0</v>
      </c>
      <c r="M121" s="64">
        <f>'User Input'!M160*M$10</f>
        <v>0</v>
      </c>
      <c r="N121" s="64">
        <f>'User Input'!N160*N$10</f>
        <v>0</v>
      </c>
      <c r="O121" s="64">
        <f>'User Input'!O160*O$10</f>
        <v>0</v>
      </c>
      <c r="P121" s="64">
        <f>'User Input'!P160*P$10</f>
        <v>0</v>
      </c>
      <c r="Q121" s="64">
        <f>'User Input'!Q160*Q$10</f>
        <v>0</v>
      </c>
      <c r="R121" s="64">
        <f>'User Input'!R160*R$10</f>
        <v>0</v>
      </c>
      <c r="S121" s="64">
        <f>'User Input'!S160*S$10</f>
        <v>0</v>
      </c>
      <c r="T121" s="64">
        <f>'User Input'!T160*T$10</f>
        <v>0</v>
      </c>
      <c r="U121" s="64">
        <f>'User Input'!U160*U$10</f>
        <v>0</v>
      </c>
      <c r="V121" s="64">
        <f>'User Input'!V160*V$10</f>
        <v>0</v>
      </c>
      <c r="W121" s="64">
        <f>'User Input'!W160*W$10</f>
        <v>0</v>
      </c>
      <c r="X121" s="64">
        <f>'User Input'!X160*X$10</f>
        <v>0</v>
      </c>
      <c r="Y121" s="64">
        <f>'User Input'!Y160*Y$10</f>
        <v>0</v>
      </c>
      <c r="Z121" s="64">
        <f>'User Input'!Z160*Z$10</f>
        <v>0</v>
      </c>
    </row>
    <row r="122" spans="1:26" ht="13.5" thickBot="1" x14ac:dyDescent="0.25">
      <c r="B122" s="13"/>
      <c r="C122" s="22" t="str">
        <f>'User Input'!D161</f>
        <v>Cost 4</v>
      </c>
      <c r="D122" s="67">
        <f t="shared" si="41"/>
        <v>0</v>
      </c>
      <c r="E122" s="697">
        <v>0</v>
      </c>
      <c r="F122" s="64">
        <f>'User Input'!F161*F$10</f>
        <v>0</v>
      </c>
      <c r="G122" s="64">
        <f>'User Input'!G161*G$10</f>
        <v>0</v>
      </c>
      <c r="H122" s="64">
        <f>'User Input'!H161*H$10</f>
        <v>0</v>
      </c>
      <c r="I122" s="64">
        <f>'User Input'!I161*I$10</f>
        <v>0</v>
      </c>
      <c r="J122" s="64">
        <f>'User Input'!J161*J$10</f>
        <v>0</v>
      </c>
      <c r="K122" s="64">
        <f>'User Input'!K161*K$10</f>
        <v>0</v>
      </c>
      <c r="L122" s="64">
        <f>'User Input'!L161*L$10</f>
        <v>0</v>
      </c>
      <c r="M122" s="64">
        <f>'User Input'!M161*M$10</f>
        <v>0</v>
      </c>
      <c r="N122" s="64">
        <f>'User Input'!N161*N$10</f>
        <v>0</v>
      </c>
      <c r="O122" s="64">
        <f>'User Input'!O161*O$10</f>
        <v>0</v>
      </c>
      <c r="P122" s="64">
        <f>'User Input'!P161*P$10</f>
        <v>0</v>
      </c>
      <c r="Q122" s="64">
        <f>'User Input'!Q161*Q$10</f>
        <v>0</v>
      </c>
      <c r="R122" s="64">
        <f>'User Input'!R161*R$10</f>
        <v>0</v>
      </c>
      <c r="S122" s="64">
        <f>'User Input'!S161*S$10</f>
        <v>0</v>
      </c>
      <c r="T122" s="64">
        <f>'User Input'!T161*T$10</f>
        <v>0</v>
      </c>
      <c r="U122" s="64">
        <f>'User Input'!U161*U$10</f>
        <v>0</v>
      </c>
      <c r="V122" s="64">
        <f>'User Input'!V161*V$10</f>
        <v>0</v>
      </c>
      <c r="W122" s="64">
        <f>'User Input'!W161*W$10</f>
        <v>0</v>
      </c>
      <c r="X122" s="64">
        <f>'User Input'!X161*X$10</f>
        <v>0</v>
      </c>
      <c r="Y122" s="64">
        <f>'User Input'!Y161*Y$10</f>
        <v>0</v>
      </c>
      <c r="Z122" s="64">
        <f>'User Input'!Z161*Z$10</f>
        <v>0</v>
      </c>
    </row>
    <row r="123" spans="1:26" ht="13.5" thickBot="1" x14ac:dyDescent="0.25">
      <c r="B123" s="13"/>
      <c r="C123" s="22" t="str">
        <f>'User Input'!D162</f>
        <v>Cost 5</v>
      </c>
      <c r="D123" s="67">
        <f t="shared" si="41"/>
        <v>0</v>
      </c>
      <c r="E123" s="697">
        <v>0</v>
      </c>
      <c r="F123" s="64">
        <f>'User Input'!F162*F$10</f>
        <v>0</v>
      </c>
      <c r="G123" s="64">
        <f>'User Input'!G162*G$10</f>
        <v>0</v>
      </c>
      <c r="H123" s="64">
        <f>'User Input'!H162*H$10</f>
        <v>0</v>
      </c>
      <c r="I123" s="64">
        <f>'User Input'!I162*I$10</f>
        <v>0</v>
      </c>
      <c r="J123" s="64">
        <f>'User Input'!J162*J$10</f>
        <v>0</v>
      </c>
      <c r="K123" s="64">
        <f>'User Input'!K162*K$10</f>
        <v>0</v>
      </c>
      <c r="L123" s="64">
        <f>'User Input'!L162*L$10</f>
        <v>0</v>
      </c>
      <c r="M123" s="64">
        <f>'User Input'!M162*M$10</f>
        <v>0</v>
      </c>
      <c r="N123" s="64">
        <f>'User Input'!N162*N$10</f>
        <v>0</v>
      </c>
      <c r="O123" s="64">
        <f>'User Input'!O162*O$10</f>
        <v>0</v>
      </c>
      <c r="P123" s="64">
        <f>'User Input'!P162*P$10</f>
        <v>0</v>
      </c>
      <c r="Q123" s="64">
        <f>'User Input'!Q162*Q$10</f>
        <v>0</v>
      </c>
      <c r="R123" s="64">
        <f>'User Input'!R162*R$10</f>
        <v>0</v>
      </c>
      <c r="S123" s="64">
        <f>'User Input'!S162*S$10</f>
        <v>0</v>
      </c>
      <c r="T123" s="64">
        <f>'User Input'!T162*T$10</f>
        <v>0</v>
      </c>
      <c r="U123" s="64">
        <f>'User Input'!U162*U$10</f>
        <v>0</v>
      </c>
      <c r="V123" s="64">
        <f>'User Input'!V162*V$10</f>
        <v>0</v>
      </c>
      <c r="W123" s="64">
        <f>'User Input'!W162*W$10</f>
        <v>0</v>
      </c>
      <c r="X123" s="64">
        <f>'User Input'!X162*X$10</f>
        <v>0</v>
      </c>
      <c r="Y123" s="64">
        <f>'User Input'!Y162*Y$10</f>
        <v>0</v>
      </c>
      <c r="Z123" s="64">
        <f>'User Input'!Z162*Z$10</f>
        <v>0</v>
      </c>
    </row>
    <row r="124" spans="1:26" ht="13.5" thickBot="1" x14ac:dyDescent="0.25">
      <c r="B124" s="13"/>
      <c r="C124" s="22" t="str">
        <f>'User Input'!D163</f>
        <v>Risk 1</v>
      </c>
      <c r="D124" s="67">
        <f t="shared" si="41"/>
        <v>0</v>
      </c>
      <c r="E124" s="697">
        <v>0</v>
      </c>
      <c r="F124" s="64">
        <f>'User Input'!F163*F$10</f>
        <v>0</v>
      </c>
      <c r="G124" s="64">
        <f>'User Input'!G163*G$10</f>
        <v>0</v>
      </c>
      <c r="H124" s="64">
        <f>'User Input'!H163*H$10</f>
        <v>0</v>
      </c>
      <c r="I124" s="64">
        <f>'User Input'!I163*I$10</f>
        <v>0</v>
      </c>
      <c r="J124" s="64">
        <f>'User Input'!J163*J$10</f>
        <v>0</v>
      </c>
      <c r="K124" s="64">
        <f>'User Input'!K163*K$10</f>
        <v>0</v>
      </c>
      <c r="L124" s="64">
        <f>'User Input'!L163*L$10</f>
        <v>0</v>
      </c>
      <c r="M124" s="64">
        <f>'User Input'!M163*M$10</f>
        <v>0</v>
      </c>
      <c r="N124" s="64">
        <f>'User Input'!N163*N$10</f>
        <v>0</v>
      </c>
      <c r="O124" s="64">
        <f>'User Input'!O163*O$10</f>
        <v>0</v>
      </c>
      <c r="P124" s="64">
        <f>'User Input'!P163*P$10</f>
        <v>0</v>
      </c>
      <c r="Q124" s="64">
        <f>'User Input'!Q163*Q$10</f>
        <v>0</v>
      </c>
      <c r="R124" s="64">
        <f>'User Input'!R163*R$10</f>
        <v>0</v>
      </c>
      <c r="S124" s="64">
        <f>'User Input'!S163*S$10</f>
        <v>0</v>
      </c>
      <c r="T124" s="64">
        <f>'User Input'!T163*T$10</f>
        <v>0</v>
      </c>
      <c r="U124" s="64">
        <f>'User Input'!U163*U$10</f>
        <v>0</v>
      </c>
      <c r="V124" s="64">
        <f>'User Input'!V163*V$10</f>
        <v>0</v>
      </c>
      <c r="W124" s="64">
        <f>'User Input'!W163*W$10</f>
        <v>0</v>
      </c>
      <c r="X124" s="64">
        <f>'User Input'!X163*X$10</f>
        <v>0</v>
      </c>
      <c r="Y124" s="64">
        <f>'User Input'!Y163*Y$10</f>
        <v>0</v>
      </c>
      <c r="Z124" s="64">
        <f>'User Input'!Z163*Z$10</f>
        <v>0</v>
      </c>
    </row>
    <row r="125" spans="1:26" ht="13.5" thickBot="1" x14ac:dyDescent="0.25">
      <c r="B125" s="13"/>
      <c r="C125" s="22" t="str">
        <f>'User Input'!D164</f>
        <v>Risk 2</v>
      </c>
      <c r="D125" s="67">
        <f t="shared" si="41"/>
        <v>0</v>
      </c>
      <c r="E125" s="697">
        <v>0</v>
      </c>
      <c r="F125" s="64">
        <f>'User Input'!F164*F$10</f>
        <v>0</v>
      </c>
      <c r="G125" s="64">
        <f>'User Input'!G164*G$10</f>
        <v>0</v>
      </c>
      <c r="H125" s="64">
        <f>'User Input'!H164*H$10</f>
        <v>0</v>
      </c>
      <c r="I125" s="64">
        <f>'User Input'!I164*I$10</f>
        <v>0</v>
      </c>
      <c r="J125" s="64">
        <f>'User Input'!J164*J$10</f>
        <v>0</v>
      </c>
      <c r="K125" s="64">
        <f>'User Input'!K164*K$10</f>
        <v>0</v>
      </c>
      <c r="L125" s="64">
        <f>'User Input'!L164*L$10</f>
        <v>0</v>
      </c>
      <c r="M125" s="64">
        <f>'User Input'!M164*M$10</f>
        <v>0</v>
      </c>
      <c r="N125" s="64">
        <f>'User Input'!N164*N$10</f>
        <v>0</v>
      </c>
      <c r="O125" s="64">
        <f>'User Input'!O164*O$10</f>
        <v>0</v>
      </c>
      <c r="P125" s="64">
        <f>'User Input'!P164*P$10</f>
        <v>0</v>
      </c>
      <c r="Q125" s="64">
        <f>'User Input'!Q164*Q$10</f>
        <v>0</v>
      </c>
      <c r="R125" s="64">
        <f>'User Input'!R164*R$10</f>
        <v>0</v>
      </c>
      <c r="S125" s="64">
        <f>'User Input'!S164*S$10</f>
        <v>0</v>
      </c>
      <c r="T125" s="64">
        <f>'User Input'!T164*T$10</f>
        <v>0</v>
      </c>
      <c r="U125" s="64">
        <f>'User Input'!U164*U$10</f>
        <v>0</v>
      </c>
      <c r="V125" s="64">
        <f>'User Input'!V164*V$10</f>
        <v>0</v>
      </c>
      <c r="W125" s="64">
        <f>'User Input'!W164*W$10</f>
        <v>0</v>
      </c>
      <c r="X125" s="64">
        <f>'User Input'!X164*X$10</f>
        <v>0</v>
      </c>
      <c r="Y125" s="64">
        <f>'User Input'!Y164*Y$10</f>
        <v>0</v>
      </c>
      <c r="Z125" s="64">
        <f>'User Input'!Z164*Z$10</f>
        <v>0</v>
      </c>
    </row>
    <row r="126" spans="1:26" ht="13.5" thickBot="1" x14ac:dyDescent="0.25">
      <c r="B126" s="13"/>
      <c r="C126" s="22" t="str">
        <f>'User Input'!D165</f>
        <v>Risk 3</v>
      </c>
      <c r="D126" s="67">
        <f t="shared" si="41"/>
        <v>0</v>
      </c>
      <c r="E126" s="697">
        <v>0</v>
      </c>
      <c r="F126" s="64">
        <f>'User Input'!F165*F$10</f>
        <v>0</v>
      </c>
      <c r="G126" s="64">
        <f>'User Input'!G165*G$10</f>
        <v>0</v>
      </c>
      <c r="H126" s="64">
        <f>'User Input'!H165*H$10</f>
        <v>0</v>
      </c>
      <c r="I126" s="64">
        <f>'User Input'!I165*I$10</f>
        <v>0</v>
      </c>
      <c r="J126" s="64">
        <f>'User Input'!J165*J$10</f>
        <v>0</v>
      </c>
      <c r="K126" s="64">
        <f>'User Input'!K165*K$10</f>
        <v>0</v>
      </c>
      <c r="L126" s="64">
        <f>'User Input'!L165*L$10</f>
        <v>0</v>
      </c>
      <c r="M126" s="64">
        <f>'User Input'!M165*M$10</f>
        <v>0</v>
      </c>
      <c r="N126" s="64">
        <f>'User Input'!N165*N$10</f>
        <v>0</v>
      </c>
      <c r="O126" s="64">
        <f>'User Input'!O165*O$10</f>
        <v>0</v>
      </c>
      <c r="P126" s="64">
        <f>'User Input'!P165*P$10</f>
        <v>0</v>
      </c>
      <c r="Q126" s="64">
        <f>'User Input'!Q165*Q$10</f>
        <v>0</v>
      </c>
      <c r="R126" s="64">
        <f>'User Input'!R165*R$10</f>
        <v>0</v>
      </c>
      <c r="S126" s="64">
        <f>'User Input'!S165*S$10</f>
        <v>0</v>
      </c>
      <c r="T126" s="64">
        <f>'User Input'!T165*T$10</f>
        <v>0</v>
      </c>
      <c r="U126" s="64">
        <f>'User Input'!U165*U$10</f>
        <v>0</v>
      </c>
      <c r="V126" s="64">
        <f>'User Input'!V165*V$10</f>
        <v>0</v>
      </c>
      <c r="W126" s="64">
        <f>'User Input'!W165*W$10</f>
        <v>0</v>
      </c>
      <c r="X126" s="64">
        <f>'User Input'!X165*X$10</f>
        <v>0</v>
      </c>
      <c r="Y126" s="64">
        <f>'User Input'!Y165*Y$10</f>
        <v>0</v>
      </c>
      <c r="Z126" s="64">
        <f>'User Input'!Z165*Z$10</f>
        <v>0</v>
      </c>
    </row>
    <row r="127" spans="1:26" ht="13.5" thickBot="1" x14ac:dyDescent="0.25">
      <c r="B127" s="13"/>
      <c r="C127" s="22" t="str">
        <f>'User Input'!D166</f>
        <v>Risk 4</v>
      </c>
      <c r="D127" s="67">
        <f t="shared" si="41"/>
        <v>0</v>
      </c>
      <c r="E127" s="697">
        <v>0</v>
      </c>
      <c r="F127" s="64">
        <f>'User Input'!F166*F$10</f>
        <v>0</v>
      </c>
      <c r="G127" s="64">
        <f>'User Input'!G166*G$10</f>
        <v>0</v>
      </c>
      <c r="H127" s="64">
        <f>'User Input'!H166*H$10</f>
        <v>0</v>
      </c>
      <c r="I127" s="64">
        <f>'User Input'!I166*I$10</f>
        <v>0</v>
      </c>
      <c r="J127" s="64">
        <f>'User Input'!J166*J$10</f>
        <v>0</v>
      </c>
      <c r="K127" s="64">
        <f>'User Input'!K166*K$10</f>
        <v>0</v>
      </c>
      <c r="L127" s="64">
        <f>'User Input'!L166*L$10</f>
        <v>0</v>
      </c>
      <c r="M127" s="64">
        <f>'User Input'!M166*M$10</f>
        <v>0</v>
      </c>
      <c r="N127" s="64">
        <f>'User Input'!N166*N$10</f>
        <v>0</v>
      </c>
      <c r="O127" s="64">
        <f>'User Input'!O166*O$10</f>
        <v>0</v>
      </c>
      <c r="P127" s="64">
        <f>'User Input'!P166*P$10</f>
        <v>0</v>
      </c>
      <c r="Q127" s="64">
        <f>'User Input'!Q166*Q$10</f>
        <v>0</v>
      </c>
      <c r="R127" s="64">
        <f>'User Input'!R166*R$10</f>
        <v>0</v>
      </c>
      <c r="S127" s="64">
        <f>'User Input'!S166*S$10</f>
        <v>0</v>
      </c>
      <c r="T127" s="64">
        <f>'User Input'!T166*T$10</f>
        <v>0</v>
      </c>
      <c r="U127" s="64">
        <f>'User Input'!U166*U$10</f>
        <v>0</v>
      </c>
      <c r="V127" s="64">
        <f>'User Input'!V166*V$10</f>
        <v>0</v>
      </c>
      <c r="W127" s="64">
        <f>'User Input'!W166*W$10</f>
        <v>0</v>
      </c>
      <c r="X127" s="64">
        <f>'User Input'!X166*X$10</f>
        <v>0</v>
      </c>
      <c r="Y127" s="64">
        <f>'User Input'!Y166*Y$10</f>
        <v>0</v>
      </c>
      <c r="Z127" s="64">
        <f>'User Input'!Z166*Z$10</f>
        <v>0</v>
      </c>
    </row>
    <row r="128" spans="1:26" ht="13.5" thickBot="1" x14ac:dyDescent="0.25">
      <c r="B128" s="13"/>
      <c r="C128" s="22" t="str">
        <f>'User Input'!D167</f>
        <v>Risk 5</v>
      </c>
      <c r="D128" s="67">
        <f t="shared" si="41"/>
        <v>0</v>
      </c>
      <c r="E128" s="697">
        <v>0</v>
      </c>
      <c r="F128" s="64">
        <f>'User Input'!F167*F$10</f>
        <v>0</v>
      </c>
      <c r="G128" s="64">
        <f>'User Input'!G167*G$10</f>
        <v>0</v>
      </c>
      <c r="H128" s="64">
        <f>'User Input'!H167*H$10</f>
        <v>0</v>
      </c>
      <c r="I128" s="64">
        <f>'User Input'!I167*I$10</f>
        <v>0</v>
      </c>
      <c r="J128" s="64">
        <f>'User Input'!J167*J$10</f>
        <v>0</v>
      </c>
      <c r="K128" s="64">
        <f>'User Input'!K167*K$10</f>
        <v>0</v>
      </c>
      <c r="L128" s="64">
        <f>'User Input'!L167*L$10</f>
        <v>0</v>
      </c>
      <c r="M128" s="64">
        <f>'User Input'!M167*M$10</f>
        <v>0</v>
      </c>
      <c r="N128" s="64">
        <f>'User Input'!N167*N$10</f>
        <v>0</v>
      </c>
      <c r="O128" s="64">
        <f>'User Input'!O167*O$10</f>
        <v>0</v>
      </c>
      <c r="P128" s="64">
        <f>'User Input'!P167*P$10</f>
        <v>0</v>
      </c>
      <c r="Q128" s="64">
        <f>'User Input'!Q167*Q$10</f>
        <v>0</v>
      </c>
      <c r="R128" s="64">
        <f>'User Input'!R167*R$10</f>
        <v>0</v>
      </c>
      <c r="S128" s="64">
        <f>'User Input'!S167*S$10</f>
        <v>0</v>
      </c>
      <c r="T128" s="64">
        <f>'User Input'!T167*T$10</f>
        <v>0</v>
      </c>
      <c r="U128" s="64">
        <f>'User Input'!U167*U$10</f>
        <v>0</v>
      </c>
      <c r="V128" s="64">
        <f>'User Input'!V167*V$10</f>
        <v>0</v>
      </c>
      <c r="W128" s="64">
        <f>'User Input'!W167*W$10</f>
        <v>0</v>
      </c>
      <c r="X128" s="64">
        <f>'User Input'!X167*X$10</f>
        <v>0</v>
      </c>
      <c r="Y128" s="64">
        <f>'User Input'!Y167*Y$10</f>
        <v>0</v>
      </c>
      <c r="Z128" s="64">
        <f>'User Input'!Z167*Z$10</f>
        <v>0</v>
      </c>
    </row>
    <row r="129" spans="1:26" ht="13.5" thickBot="1" x14ac:dyDescent="0.25">
      <c r="B129" s="13"/>
      <c r="C129" s="53" t="s">
        <v>2</v>
      </c>
      <c r="D129" s="67">
        <f>SUM(E129:Y129)</f>
        <v>0</v>
      </c>
      <c r="E129" s="68">
        <f>SUM(E110:E128)</f>
        <v>0</v>
      </c>
      <c r="F129" s="69">
        <f t="shared" ref="F129:Y129" si="42">SUM(F110:F128)</f>
        <v>0</v>
      </c>
      <c r="G129" s="69">
        <f t="shared" si="42"/>
        <v>0</v>
      </c>
      <c r="H129" s="69">
        <f t="shared" si="42"/>
        <v>0</v>
      </c>
      <c r="I129" s="69">
        <f t="shared" si="42"/>
        <v>0</v>
      </c>
      <c r="J129" s="69">
        <f t="shared" si="42"/>
        <v>0</v>
      </c>
      <c r="K129" s="69">
        <f t="shared" si="42"/>
        <v>0</v>
      </c>
      <c r="L129" s="69">
        <f t="shared" si="42"/>
        <v>0</v>
      </c>
      <c r="M129" s="69">
        <f t="shared" si="42"/>
        <v>0</v>
      </c>
      <c r="N129" s="69">
        <f t="shared" si="42"/>
        <v>0</v>
      </c>
      <c r="O129" s="69">
        <f t="shared" si="42"/>
        <v>0</v>
      </c>
      <c r="P129" s="69">
        <f t="shared" si="42"/>
        <v>0</v>
      </c>
      <c r="Q129" s="69">
        <f t="shared" si="42"/>
        <v>0</v>
      </c>
      <c r="R129" s="69">
        <f t="shared" si="42"/>
        <v>0</v>
      </c>
      <c r="S129" s="69">
        <f t="shared" si="42"/>
        <v>0</v>
      </c>
      <c r="T129" s="69">
        <f t="shared" si="42"/>
        <v>0</v>
      </c>
      <c r="U129" s="69">
        <f t="shared" si="42"/>
        <v>0</v>
      </c>
      <c r="V129" s="69">
        <f t="shared" si="42"/>
        <v>0</v>
      </c>
      <c r="W129" s="69">
        <f t="shared" si="42"/>
        <v>0</v>
      </c>
      <c r="X129" s="69">
        <f t="shared" si="42"/>
        <v>0</v>
      </c>
      <c r="Y129" s="150">
        <f t="shared" si="42"/>
        <v>0</v>
      </c>
      <c r="Z129" s="150">
        <f t="shared" ref="Z129" si="43">SUM(Z110:Z128)</f>
        <v>0</v>
      </c>
    </row>
    <row r="130" spans="1:26" ht="13.5" thickBot="1" x14ac:dyDescent="0.25">
      <c r="B130" s="13"/>
      <c r="C130" s="54" t="s">
        <v>50</v>
      </c>
      <c r="D130" s="67">
        <f>SUM(E130:Y130)</f>
        <v>0</v>
      </c>
      <c r="E130" s="77">
        <f t="shared" ref="E130:Z130" si="44">+E129/E$9</f>
        <v>0</v>
      </c>
      <c r="F130" s="77">
        <f t="shared" si="44"/>
        <v>0</v>
      </c>
      <c r="G130" s="77">
        <f t="shared" si="44"/>
        <v>0</v>
      </c>
      <c r="H130" s="77">
        <f t="shared" si="44"/>
        <v>0</v>
      </c>
      <c r="I130" s="77">
        <f t="shared" si="44"/>
        <v>0</v>
      </c>
      <c r="J130" s="77">
        <f t="shared" si="44"/>
        <v>0</v>
      </c>
      <c r="K130" s="77">
        <f t="shared" si="44"/>
        <v>0</v>
      </c>
      <c r="L130" s="77">
        <f t="shared" si="44"/>
        <v>0</v>
      </c>
      <c r="M130" s="77">
        <f t="shared" si="44"/>
        <v>0</v>
      </c>
      <c r="N130" s="77">
        <f t="shared" si="44"/>
        <v>0</v>
      </c>
      <c r="O130" s="77">
        <f t="shared" si="44"/>
        <v>0</v>
      </c>
      <c r="P130" s="77">
        <f t="shared" si="44"/>
        <v>0</v>
      </c>
      <c r="Q130" s="77">
        <f t="shared" si="44"/>
        <v>0</v>
      </c>
      <c r="R130" s="77">
        <f t="shared" si="44"/>
        <v>0</v>
      </c>
      <c r="S130" s="77">
        <f t="shared" si="44"/>
        <v>0</v>
      </c>
      <c r="T130" s="77">
        <f t="shared" si="44"/>
        <v>0</v>
      </c>
      <c r="U130" s="77">
        <f t="shared" si="44"/>
        <v>0</v>
      </c>
      <c r="V130" s="77">
        <f t="shared" si="44"/>
        <v>0</v>
      </c>
      <c r="W130" s="77">
        <f t="shared" si="44"/>
        <v>0</v>
      </c>
      <c r="X130" s="77">
        <f t="shared" si="44"/>
        <v>0</v>
      </c>
      <c r="Y130" s="77">
        <f t="shared" si="44"/>
        <v>0</v>
      </c>
      <c r="Z130" s="77">
        <f t="shared" si="44"/>
        <v>0</v>
      </c>
    </row>
    <row r="131" spans="1:26" x14ac:dyDescent="0.2">
      <c r="B131" s="10"/>
      <c r="C131" s="57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6"/>
      <c r="Z131" s="56"/>
    </row>
    <row r="132" spans="1:26" x14ac:dyDescent="0.2">
      <c r="B132" s="371" t="str">
        <f>'User Input'!D169</f>
        <v xml:space="preserve">Option 5: </v>
      </c>
      <c r="C132" s="367"/>
      <c r="D132" s="372"/>
      <c r="E132" s="369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</row>
    <row r="133" spans="1:26" ht="13.5" thickBot="1" x14ac:dyDescent="0.25">
      <c r="B133" s="20"/>
      <c r="C133" s="59"/>
      <c r="D133" s="5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7"/>
      <c r="Z133" s="17"/>
    </row>
    <row r="134" spans="1:26" ht="13.5" thickBot="1" x14ac:dyDescent="0.25">
      <c r="B134" s="52"/>
      <c r="C134" s="4" t="s">
        <v>76</v>
      </c>
      <c r="D134" s="67">
        <f>SUM(E134:Y134)</f>
        <v>0</v>
      </c>
      <c r="E134" s="64">
        <f>'User Input'!F20*E10</f>
        <v>0</v>
      </c>
      <c r="F134" s="64">
        <f>'User Input'!G20*F$10</f>
        <v>0</v>
      </c>
      <c r="G134" s="64">
        <f>'User Input'!H20*G$10</f>
        <v>0</v>
      </c>
      <c r="H134" s="64">
        <f>'User Input'!I20*H$10</f>
        <v>0</v>
      </c>
      <c r="I134" s="64">
        <f>'User Input'!J20*I$10</f>
        <v>0</v>
      </c>
      <c r="J134" s="64">
        <f>'User Input'!K20*J$10</f>
        <v>0</v>
      </c>
      <c r="K134" s="64">
        <f>'User Input'!L20*K$10</f>
        <v>0</v>
      </c>
      <c r="L134" s="64">
        <f>'User Input'!M20*L$10</f>
        <v>0</v>
      </c>
      <c r="M134" s="64">
        <f>'User Input'!N20*M$10</f>
        <v>0</v>
      </c>
      <c r="N134" s="64">
        <f>'User Input'!O20*N$10</f>
        <v>0</v>
      </c>
      <c r="O134" s="64">
        <f>'User Input'!P20*O$10</f>
        <v>0</v>
      </c>
      <c r="P134" s="64">
        <f>'User Input'!Q20*P$10</f>
        <v>0</v>
      </c>
      <c r="Q134" s="64">
        <f>'User Input'!R20*Q$10</f>
        <v>0</v>
      </c>
      <c r="R134" s="64">
        <f>'User Input'!S20*R$10</f>
        <v>0</v>
      </c>
      <c r="S134" s="64">
        <f>'User Input'!T20*S$10</f>
        <v>0</v>
      </c>
      <c r="T134" s="64">
        <f>'User Input'!U20*T$10</f>
        <v>0</v>
      </c>
      <c r="U134" s="64">
        <f>'User Input'!V20*U$10</f>
        <v>0</v>
      </c>
      <c r="V134" s="64">
        <f>'User Input'!W20*V$10</f>
        <v>0</v>
      </c>
      <c r="W134" s="64">
        <f>'User Input'!X20*W$10</f>
        <v>0</v>
      </c>
      <c r="X134" s="64">
        <f>'User Input'!Y20*X$10</f>
        <v>0</v>
      </c>
      <c r="Y134" s="64">
        <f>'User Input'!Z20*Y$10</f>
        <v>0</v>
      </c>
      <c r="Z134" s="64">
        <f>'User Input'!AA20*Z$10</f>
        <v>0</v>
      </c>
    </row>
    <row r="135" spans="1:26" ht="13.5" thickBot="1" x14ac:dyDescent="0.25">
      <c r="B135" s="13"/>
      <c r="C135" s="22" t="str">
        <f>'User Input'!D172</f>
        <v>Maintenance Costs</v>
      </c>
      <c r="D135" s="67">
        <f t="shared" ref="D135:D152" si="45">SUM(E135:Y135)</f>
        <v>0</v>
      </c>
      <c r="E135" s="697">
        <v>0</v>
      </c>
      <c r="F135" s="64">
        <f>'User Input'!F172*F$10</f>
        <v>0</v>
      </c>
      <c r="G135" s="64">
        <f>'User Input'!G172*G$10</f>
        <v>0</v>
      </c>
      <c r="H135" s="64">
        <f>'User Input'!H172*H$10</f>
        <v>0</v>
      </c>
      <c r="I135" s="64">
        <f>'User Input'!I172*I$10</f>
        <v>0</v>
      </c>
      <c r="J135" s="64">
        <f>'User Input'!J172*J$10</f>
        <v>0</v>
      </c>
      <c r="K135" s="64">
        <f>'User Input'!K172*K$10</f>
        <v>0</v>
      </c>
      <c r="L135" s="64">
        <f>'User Input'!L172*L$10</f>
        <v>0</v>
      </c>
      <c r="M135" s="64">
        <f>'User Input'!M172*M$10</f>
        <v>0</v>
      </c>
      <c r="N135" s="64">
        <f>'User Input'!N172*N$10</f>
        <v>0</v>
      </c>
      <c r="O135" s="64">
        <f>'User Input'!O172*O$10</f>
        <v>0</v>
      </c>
      <c r="P135" s="64">
        <f>'User Input'!P172*P$10</f>
        <v>0</v>
      </c>
      <c r="Q135" s="64">
        <f>'User Input'!Q172*Q$10</f>
        <v>0</v>
      </c>
      <c r="R135" s="64">
        <f>'User Input'!R172*R$10</f>
        <v>0</v>
      </c>
      <c r="S135" s="64">
        <f>'User Input'!S172*S$10</f>
        <v>0</v>
      </c>
      <c r="T135" s="64">
        <f>'User Input'!T172*T$10</f>
        <v>0</v>
      </c>
      <c r="U135" s="64">
        <f>'User Input'!U172*U$10</f>
        <v>0</v>
      </c>
      <c r="V135" s="64">
        <f>'User Input'!V172*V$10</f>
        <v>0</v>
      </c>
      <c r="W135" s="64">
        <f>'User Input'!W172*W$10</f>
        <v>0</v>
      </c>
      <c r="X135" s="64">
        <f>'User Input'!X172*X$10</f>
        <v>0</v>
      </c>
      <c r="Y135" s="64">
        <f>'User Input'!Y172*Y$10</f>
        <v>0</v>
      </c>
      <c r="Z135" s="64">
        <f>'User Input'!Z172*Z$10</f>
        <v>0</v>
      </c>
    </row>
    <row r="136" spans="1:26" ht="13.5" thickBot="1" x14ac:dyDescent="0.25">
      <c r="B136" s="13"/>
      <c r="C136" s="137" t="str">
        <f>'User Input'!D174</f>
        <v>Negative Impact on Revenue (STPIS)</v>
      </c>
      <c r="D136" s="195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46"/>
      <c r="Z136" s="146"/>
    </row>
    <row r="137" spans="1:26" ht="13.5" thickBot="1" x14ac:dyDescent="0.25">
      <c r="B137" s="13"/>
      <c r="C137" s="140" t="str">
        <f>'User Input'!D175</f>
        <v>SAIFI sustained</v>
      </c>
      <c r="D137" s="67">
        <f t="shared" si="45"/>
        <v>0</v>
      </c>
      <c r="E137" s="259">
        <v>0</v>
      </c>
      <c r="F137" s="259">
        <v>0</v>
      </c>
      <c r="G137" s="697">
        <v>0</v>
      </c>
      <c r="H137" s="64">
        <f>IF('User Input'!$I$8=1,'User Input'!F175*'Administrator Input'!$F$41*H10,0)</f>
        <v>0</v>
      </c>
      <c r="I137" s="64">
        <f>IF('User Input'!$I$8=1,'User Input'!G175*'Administrator Input'!$F$41*I10,0)</f>
        <v>0</v>
      </c>
      <c r="J137" s="64">
        <f>IF('User Input'!$I$8=1,'User Input'!H175*'Administrator Input'!$F$41*J10,0)</f>
        <v>0</v>
      </c>
      <c r="K137" s="64">
        <f>IF('User Input'!$I$8=1,'User Input'!I175*'Administrator Input'!$F$41*K10,0)</f>
        <v>0</v>
      </c>
      <c r="L137" s="64">
        <f>IF('User Input'!$I$8=1,'User Input'!J175*'Administrator Input'!$F$41*L10,0)</f>
        <v>0</v>
      </c>
      <c r="M137" s="64">
        <f>IF('User Input'!$I$8=1,'User Input'!K175*'Administrator Input'!$F$41*M10,0)</f>
        <v>0</v>
      </c>
      <c r="N137" s="64">
        <f>IF('User Input'!$I$8=1,'User Input'!L175*'Administrator Input'!$F$41*N10,0)</f>
        <v>0</v>
      </c>
      <c r="O137" s="64">
        <f>IF('User Input'!$I$8=1,'User Input'!M175*'Administrator Input'!$F$41*O10,0)</f>
        <v>0</v>
      </c>
      <c r="P137" s="64">
        <f>IF('User Input'!$I$8=1,'User Input'!N175*'Administrator Input'!$F$41*P10,0)</f>
        <v>0</v>
      </c>
      <c r="Q137" s="64">
        <f>IF('User Input'!$I$8=1,'User Input'!O175*'Administrator Input'!$F$41*Q10,0)</f>
        <v>0</v>
      </c>
      <c r="R137" s="64">
        <f>IF('User Input'!$I$8=1,'User Input'!P175*'Administrator Input'!$F$41*R10,0)</f>
        <v>0</v>
      </c>
      <c r="S137" s="64">
        <f>IF('User Input'!$I$8=1,'User Input'!Q175*'Administrator Input'!$F$41*S10,0)</f>
        <v>0</v>
      </c>
      <c r="T137" s="64">
        <f>IF('User Input'!$I$8=1,'User Input'!R175*'Administrator Input'!$F$41*T10,0)</f>
        <v>0</v>
      </c>
      <c r="U137" s="64">
        <f>IF('User Input'!$I$8=1,'User Input'!S175*'Administrator Input'!$F$41*U10,0)</f>
        <v>0</v>
      </c>
      <c r="V137" s="64">
        <f>IF('User Input'!$I$8=1,'User Input'!T175*'Administrator Input'!$F$41*V10,0)</f>
        <v>0</v>
      </c>
      <c r="W137" s="64">
        <f>IF('User Input'!$I$8=1,'User Input'!U175*'Administrator Input'!$F$41*W10,0)</f>
        <v>0</v>
      </c>
      <c r="X137" s="64">
        <f>IF('User Input'!$I$8=1,'User Input'!V175*'Administrator Input'!$F$41*X10,0)</f>
        <v>0</v>
      </c>
      <c r="Y137" s="64">
        <f>IF('User Input'!$I$8=1,'User Input'!W175*'Administrator Input'!$F$41*Y10,0)</f>
        <v>0</v>
      </c>
      <c r="Z137" s="64">
        <f>IF('User Input'!$I$8=1,'User Input'!X175*'Administrator Input'!$F$41*Z10,0)</f>
        <v>0</v>
      </c>
    </row>
    <row r="138" spans="1:26" ht="13.5" thickBot="1" x14ac:dyDescent="0.25">
      <c r="B138" s="13"/>
      <c r="C138" s="140" t="str">
        <f>'User Input'!D176</f>
        <v>SAIDI accidental</v>
      </c>
      <c r="D138" s="67">
        <f>SUM(E138:Y138)</f>
        <v>0</v>
      </c>
      <c r="E138" s="259">
        <v>0</v>
      </c>
      <c r="F138" s="259">
        <v>0</v>
      </c>
      <c r="G138" s="697">
        <v>0</v>
      </c>
      <c r="H138" s="64">
        <f>IF('User Input'!$I$8=1,'User Input'!F176*'Administrator Input'!$F$42*H10,0)</f>
        <v>0</v>
      </c>
      <c r="I138" s="64">
        <f>IF('User Input'!$I$8=1,'User Input'!G176*'Administrator Input'!$F$42*I10,0)</f>
        <v>0</v>
      </c>
      <c r="J138" s="64">
        <f>IF('User Input'!$I$8=1,'User Input'!H176*'Administrator Input'!$F$42*J10,0)</f>
        <v>0</v>
      </c>
      <c r="K138" s="64">
        <f>IF('User Input'!$I$8=1,'User Input'!I176*'Administrator Input'!$F$42*K10,0)</f>
        <v>0</v>
      </c>
      <c r="L138" s="64">
        <f>IF('User Input'!$I$8=1,'User Input'!J176*'Administrator Input'!$F$42*L10,0)</f>
        <v>0</v>
      </c>
      <c r="M138" s="64">
        <f>IF('User Input'!$I$8=1,'User Input'!K176*'Administrator Input'!$F$42*M10,0)</f>
        <v>0</v>
      </c>
      <c r="N138" s="64">
        <f>IF('User Input'!$I$8=1,'User Input'!L176*'Administrator Input'!$F$42*N10,0)</f>
        <v>0</v>
      </c>
      <c r="O138" s="64">
        <f>IF('User Input'!$I$8=1,'User Input'!M176*'Administrator Input'!$F$42*O10,0)</f>
        <v>0</v>
      </c>
      <c r="P138" s="64">
        <f>IF('User Input'!$I$8=1,'User Input'!N176*'Administrator Input'!$F$42*P10,0)</f>
        <v>0</v>
      </c>
      <c r="Q138" s="64">
        <f>IF('User Input'!$I$8=1,'User Input'!O176*'Administrator Input'!$F$42*Q10,0)</f>
        <v>0</v>
      </c>
      <c r="R138" s="64">
        <f>IF('User Input'!$I$8=1,'User Input'!P176*'Administrator Input'!$F$42*R10,0)</f>
        <v>0</v>
      </c>
      <c r="S138" s="64">
        <f>IF('User Input'!$I$8=1,'User Input'!Q176*'Administrator Input'!$F$42*S10,0)</f>
        <v>0</v>
      </c>
      <c r="T138" s="64">
        <f>IF('User Input'!$I$8=1,'User Input'!R176*'Administrator Input'!$F$42*T10,0)</f>
        <v>0</v>
      </c>
      <c r="U138" s="64">
        <f>IF('User Input'!$I$8=1,'User Input'!S176*'Administrator Input'!$F$42*U10,0)</f>
        <v>0</v>
      </c>
      <c r="V138" s="64">
        <f>IF('User Input'!$I$8=1,'User Input'!T176*'Administrator Input'!$F$42*V10,0)</f>
        <v>0</v>
      </c>
      <c r="W138" s="64">
        <f>IF('User Input'!$I$8=1,'User Input'!U176*'Administrator Input'!$F$42*W10,0)</f>
        <v>0</v>
      </c>
      <c r="X138" s="64">
        <f>IF('User Input'!$I$8=1,'User Input'!V176*'Administrator Input'!$F$42*X10,0)</f>
        <v>0</v>
      </c>
      <c r="Y138" s="64">
        <f>IF('User Input'!$I$8=1,'User Input'!W176*'Administrator Input'!$F$42*Y10,0)</f>
        <v>0</v>
      </c>
      <c r="Z138" s="64">
        <f>IF('User Input'!$I$8=1,'User Input'!X176*'Administrator Input'!$F$42*Z10,0)</f>
        <v>0</v>
      </c>
    </row>
    <row r="139" spans="1:26" ht="13.5" thickBot="1" x14ac:dyDescent="0.25">
      <c r="B139" s="13"/>
      <c r="C139" s="140" t="str">
        <f>'User Input'!D177</f>
        <v>MAIFI momentary</v>
      </c>
      <c r="D139" s="67">
        <f t="shared" si="45"/>
        <v>0</v>
      </c>
      <c r="E139" s="259">
        <v>0</v>
      </c>
      <c r="F139" s="259">
        <v>0</v>
      </c>
      <c r="G139" s="697">
        <v>0</v>
      </c>
      <c r="H139" s="64">
        <f>IF('User Input'!$I$8=1,'User Input'!F177*'Administrator Input'!$F$43*H10,0)</f>
        <v>0</v>
      </c>
      <c r="I139" s="64">
        <f>IF('User Input'!$I$8=1,'User Input'!G177*'Administrator Input'!$F$43*I10,0)</f>
        <v>0</v>
      </c>
      <c r="J139" s="64">
        <f>IF('User Input'!$I$8=1,'User Input'!H177*'Administrator Input'!$F$43*J10,0)</f>
        <v>0</v>
      </c>
      <c r="K139" s="64">
        <f>IF('User Input'!$I$8=1,'User Input'!I177*'Administrator Input'!$F$43*K10,0)</f>
        <v>0</v>
      </c>
      <c r="L139" s="64">
        <f>IF('User Input'!$I$8=1,'User Input'!J177*'Administrator Input'!$F$43*L10,0)</f>
        <v>0</v>
      </c>
      <c r="M139" s="64">
        <f>IF('User Input'!$I$8=1,'User Input'!K177*'Administrator Input'!$F$43*M10,0)</f>
        <v>0</v>
      </c>
      <c r="N139" s="64">
        <f>IF('User Input'!$I$8=1,'User Input'!L177*'Administrator Input'!$F$43*N10,0)</f>
        <v>0</v>
      </c>
      <c r="O139" s="64">
        <f>IF('User Input'!$I$8=1,'User Input'!M177*'Administrator Input'!$F$43*O10,0)</f>
        <v>0</v>
      </c>
      <c r="P139" s="64">
        <f>IF('User Input'!$I$8=1,'User Input'!N177*'Administrator Input'!$F$43*P10,0)</f>
        <v>0</v>
      </c>
      <c r="Q139" s="64">
        <f>IF('User Input'!$I$8=1,'User Input'!O177*'Administrator Input'!$F$43*Q10,0)</f>
        <v>0</v>
      </c>
      <c r="R139" s="64">
        <f>IF('User Input'!$I$8=1,'User Input'!P177*'Administrator Input'!$F$43*R10,0)</f>
        <v>0</v>
      </c>
      <c r="S139" s="64">
        <f>IF('User Input'!$I$8=1,'User Input'!Q177*'Administrator Input'!$F$43*S10,0)</f>
        <v>0</v>
      </c>
      <c r="T139" s="64">
        <f>IF('User Input'!$I$8=1,'User Input'!R177*'Administrator Input'!$F$43*T10,0)</f>
        <v>0</v>
      </c>
      <c r="U139" s="64">
        <f>IF('User Input'!$I$8=1,'User Input'!S177*'Administrator Input'!$F$43*U10,0)</f>
        <v>0</v>
      </c>
      <c r="V139" s="64">
        <f>IF('User Input'!$I$8=1,'User Input'!T177*'Administrator Input'!$F$43*V10,0)</f>
        <v>0</v>
      </c>
      <c r="W139" s="64">
        <f>IF('User Input'!$I$8=1,'User Input'!U177*'Administrator Input'!$F$43*W10,0)</f>
        <v>0</v>
      </c>
      <c r="X139" s="64">
        <f>IF('User Input'!$I$8=1,'User Input'!V177*'Administrator Input'!$F$43*X10,0)</f>
        <v>0</v>
      </c>
      <c r="Y139" s="64">
        <f>IF('User Input'!$I$8=1,'User Input'!W177*'Administrator Input'!$F$43*Y10,0)</f>
        <v>0</v>
      </c>
      <c r="Z139" s="64">
        <f>IF('User Input'!$I$8=1,'User Input'!X177*'Administrator Input'!$F$43*Z10,0)</f>
        <v>0</v>
      </c>
    </row>
    <row r="140" spans="1:26" ht="13.5" thickBot="1" x14ac:dyDescent="0.25">
      <c r="B140" s="13"/>
      <c r="C140" s="140" t="str">
        <f>'User Input'!D178</f>
        <v>Call centre response</v>
      </c>
      <c r="D140" s="67">
        <f t="shared" si="45"/>
        <v>0</v>
      </c>
      <c r="E140" s="259">
        <v>0</v>
      </c>
      <c r="F140" s="259">
        <v>0</v>
      </c>
      <c r="G140" s="697">
        <v>0</v>
      </c>
      <c r="H140" s="64">
        <f>IF('User Input'!$I$8=1,'User Input'!F178*'Administrator Input'!$F$44*H10,0)</f>
        <v>0</v>
      </c>
      <c r="I140" s="64">
        <f>IF('User Input'!$I$8=1,'User Input'!G178*'Administrator Input'!$F$44*I10,0)</f>
        <v>0</v>
      </c>
      <c r="J140" s="64">
        <f>IF('User Input'!$I$8=1,'User Input'!H178*'Administrator Input'!$F$44*J10,0)</f>
        <v>0</v>
      </c>
      <c r="K140" s="64">
        <f>IF('User Input'!$I$8=1,'User Input'!I178*'Administrator Input'!$F$44*K10,0)</f>
        <v>0</v>
      </c>
      <c r="L140" s="64">
        <f>IF('User Input'!$I$8=1,'User Input'!J178*'Administrator Input'!$F$44*L10,0)</f>
        <v>0</v>
      </c>
      <c r="M140" s="64">
        <f>IF('User Input'!$I$8=1,'User Input'!K178*'Administrator Input'!$F$44*M10,0)</f>
        <v>0</v>
      </c>
      <c r="N140" s="64">
        <f>IF('User Input'!$I$8=1,'User Input'!L178*'Administrator Input'!$F$44*N10,0)</f>
        <v>0</v>
      </c>
      <c r="O140" s="64">
        <f>IF('User Input'!$I$8=1,'User Input'!M178*'Administrator Input'!$F$44*O10,0)</f>
        <v>0</v>
      </c>
      <c r="P140" s="64">
        <f>IF('User Input'!$I$8=1,'User Input'!N178*'Administrator Input'!$F$44*P10,0)</f>
        <v>0</v>
      </c>
      <c r="Q140" s="64">
        <f>IF('User Input'!$I$8=1,'User Input'!O178*'Administrator Input'!$F$44*Q10,0)</f>
        <v>0</v>
      </c>
      <c r="R140" s="64">
        <f>IF('User Input'!$I$8=1,'User Input'!P178*'Administrator Input'!$F$44*R10,0)</f>
        <v>0</v>
      </c>
      <c r="S140" s="64">
        <f>IF('User Input'!$I$8=1,'User Input'!Q178*'Administrator Input'!$F$44*S10,0)</f>
        <v>0</v>
      </c>
      <c r="T140" s="64">
        <f>IF('User Input'!$I$8=1,'User Input'!R178*'Administrator Input'!$F$44*T10,0)</f>
        <v>0</v>
      </c>
      <c r="U140" s="64">
        <f>IF('User Input'!$I$8=1,'User Input'!S178*'Administrator Input'!$F$44*U10,0)</f>
        <v>0</v>
      </c>
      <c r="V140" s="64">
        <f>IF('User Input'!$I$8=1,'User Input'!T178*'Administrator Input'!$F$44*V10,0)</f>
        <v>0</v>
      </c>
      <c r="W140" s="64">
        <f>IF('User Input'!$I$8=1,'User Input'!U178*'Administrator Input'!$F$44*W10,0)</f>
        <v>0</v>
      </c>
      <c r="X140" s="64">
        <f>IF('User Input'!$I$8=1,'User Input'!V178*'Administrator Input'!$F$44*X10,0)</f>
        <v>0</v>
      </c>
      <c r="Y140" s="64">
        <f>IF('User Input'!$I$8=1,'User Input'!W178*'Administrator Input'!$F$44*Y10,0)</f>
        <v>0</v>
      </c>
      <c r="Z140" s="64">
        <f>IF('User Input'!$I$8=1,'User Input'!X178*'Administrator Input'!$F$44*Z10,0)</f>
        <v>0</v>
      </c>
    </row>
    <row r="141" spans="1:26" ht="13.5" thickBot="1" x14ac:dyDescent="0.25">
      <c r="A141" s="138"/>
      <c r="B141" s="142"/>
      <c r="C141" s="137" t="str">
        <f>'User Input'!D180</f>
        <v>Network Outage Costs</v>
      </c>
      <c r="D141" s="67">
        <f t="shared" si="45"/>
        <v>0</v>
      </c>
      <c r="E141" s="697">
        <v>0</v>
      </c>
      <c r="F141" s="141">
        <f>'User Input'!F181*'Administrator Input'!$F$49*F10</f>
        <v>0</v>
      </c>
      <c r="G141" s="141">
        <f>'User Input'!G181*'Administrator Input'!$F$49*G10</f>
        <v>0</v>
      </c>
      <c r="H141" s="141">
        <f>'User Input'!H181*'Administrator Input'!$F$49*H10</f>
        <v>0</v>
      </c>
      <c r="I141" s="141">
        <f>'User Input'!I181*'Administrator Input'!$F$49*I10</f>
        <v>0</v>
      </c>
      <c r="J141" s="141">
        <f>'User Input'!J181*'Administrator Input'!$F$49*J10</f>
        <v>0</v>
      </c>
      <c r="K141" s="141">
        <f>'User Input'!K181*'Administrator Input'!$F$49*K10</f>
        <v>0</v>
      </c>
      <c r="L141" s="141">
        <f>'User Input'!L181*'Administrator Input'!$F$49*L10</f>
        <v>0</v>
      </c>
      <c r="M141" s="141">
        <f>'User Input'!M181*'Administrator Input'!$F$49*M10</f>
        <v>0</v>
      </c>
      <c r="N141" s="141">
        <f>'User Input'!N181*'Administrator Input'!$F$49*N10</f>
        <v>0</v>
      </c>
      <c r="O141" s="141">
        <f>'User Input'!O181*'Administrator Input'!$F$49*O10</f>
        <v>0</v>
      </c>
      <c r="P141" s="141">
        <f>'User Input'!P181*'Administrator Input'!$F$49*P10</f>
        <v>0</v>
      </c>
      <c r="Q141" s="141">
        <f>'User Input'!Q181*'Administrator Input'!$F$49*Q10</f>
        <v>0</v>
      </c>
      <c r="R141" s="141">
        <f>'User Input'!R181*'Administrator Input'!$F$49*R10</f>
        <v>0</v>
      </c>
      <c r="S141" s="141">
        <f>'User Input'!S181*'Administrator Input'!$F$49*S10</f>
        <v>0</v>
      </c>
      <c r="T141" s="141">
        <f>'User Input'!T181*'Administrator Input'!$F$49*T10</f>
        <v>0</v>
      </c>
      <c r="U141" s="141">
        <f>'User Input'!U181*'Administrator Input'!$F$49*U10</f>
        <v>0</v>
      </c>
      <c r="V141" s="141">
        <f>'User Input'!V181*'Administrator Input'!$F$49*V10</f>
        <v>0</v>
      </c>
      <c r="W141" s="141">
        <f>'User Input'!W181*'Administrator Input'!$F$49*W10</f>
        <v>0</v>
      </c>
      <c r="X141" s="141">
        <f>'User Input'!X181*'Administrator Input'!$F$49*X10</f>
        <v>0</v>
      </c>
      <c r="Y141" s="141">
        <f>'User Input'!Y181*'Administrator Input'!$F$49*Y10</f>
        <v>0</v>
      </c>
      <c r="Z141" s="141">
        <f>'User Input'!Z181*'Administrator Input'!$F$49*Z10</f>
        <v>0</v>
      </c>
    </row>
    <row r="142" spans="1:26" ht="13.5" thickBot="1" x14ac:dyDescent="0.25">
      <c r="A142" s="138"/>
      <c r="B142" s="142"/>
      <c r="C142" s="137" t="str">
        <f>'User Input'!D184</f>
        <v>Loss of F Factor Benefit</v>
      </c>
      <c r="D142" s="67">
        <f t="shared" si="45"/>
        <v>0</v>
      </c>
      <c r="E142" s="697">
        <v>0</v>
      </c>
      <c r="F142" s="141">
        <f>'User Input'!F184*'Administrator Input'!$F$54</f>
        <v>0</v>
      </c>
      <c r="G142" s="141">
        <f>'User Input'!G184*'Administrator Input'!$F$54</f>
        <v>0</v>
      </c>
      <c r="H142" s="141">
        <f>'User Input'!H184*'Administrator Input'!$F$54</f>
        <v>0</v>
      </c>
      <c r="I142" s="141">
        <f>'User Input'!I184*'Administrator Input'!$F$54</f>
        <v>0</v>
      </c>
      <c r="J142" s="141">
        <f>'User Input'!J184*'Administrator Input'!$F$54</f>
        <v>0</v>
      </c>
      <c r="K142" s="141">
        <f>'User Input'!K184*'Administrator Input'!$F$54</f>
        <v>0</v>
      </c>
      <c r="L142" s="141">
        <f>'User Input'!L184*'Administrator Input'!$F$54</f>
        <v>0</v>
      </c>
      <c r="M142" s="141">
        <f>'User Input'!M184*'Administrator Input'!$F$54</f>
        <v>0</v>
      </c>
      <c r="N142" s="141">
        <f>'User Input'!N184*'Administrator Input'!$F$54</f>
        <v>0</v>
      </c>
      <c r="O142" s="141">
        <f>'User Input'!O184*'Administrator Input'!$F$54</f>
        <v>0</v>
      </c>
      <c r="P142" s="141">
        <f>'User Input'!P184*'Administrator Input'!$F$54</f>
        <v>0</v>
      </c>
      <c r="Q142" s="141">
        <f>'User Input'!Q184*'Administrator Input'!$F$54</f>
        <v>0</v>
      </c>
      <c r="R142" s="141">
        <f>'User Input'!R184*'Administrator Input'!$F$54</f>
        <v>0</v>
      </c>
      <c r="S142" s="141">
        <f>'User Input'!S184*'Administrator Input'!$F$54</f>
        <v>0</v>
      </c>
      <c r="T142" s="141">
        <f>'User Input'!T184*'Administrator Input'!$F$54</f>
        <v>0</v>
      </c>
      <c r="U142" s="141">
        <f>'User Input'!U184*'Administrator Input'!$F$54</f>
        <v>0</v>
      </c>
      <c r="V142" s="141">
        <f>'User Input'!V184*'Administrator Input'!$F$54</f>
        <v>0</v>
      </c>
      <c r="W142" s="141">
        <f>'User Input'!W184*'Administrator Input'!$F$54</f>
        <v>0</v>
      </c>
      <c r="X142" s="141">
        <f>'User Input'!X184*'Administrator Input'!$F$54</f>
        <v>0</v>
      </c>
      <c r="Y142" s="141">
        <f>'User Input'!Y184*'Administrator Input'!$F$54</f>
        <v>0</v>
      </c>
      <c r="Z142" s="141">
        <f>'User Input'!Z184*'Administrator Input'!$F$54</f>
        <v>0</v>
      </c>
    </row>
    <row r="143" spans="1:26" ht="13.5" thickBot="1" x14ac:dyDescent="0.25">
      <c r="B143" s="13"/>
      <c r="C143" s="22" t="str">
        <f>'User Input'!D187</f>
        <v>Cost 1</v>
      </c>
      <c r="D143" s="67">
        <f t="shared" si="45"/>
        <v>0</v>
      </c>
      <c r="E143" s="697">
        <v>0</v>
      </c>
      <c r="F143" s="64">
        <f>'User Input'!F187*F$10</f>
        <v>0</v>
      </c>
      <c r="G143" s="64">
        <f>'User Input'!G187*G$10</f>
        <v>0</v>
      </c>
      <c r="H143" s="64">
        <f>'User Input'!H187*H$10</f>
        <v>0</v>
      </c>
      <c r="I143" s="64">
        <f>'User Input'!I187*I$10</f>
        <v>0</v>
      </c>
      <c r="J143" s="64">
        <f>'User Input'!J187*J$10</f>
        <v>0</v>
      </c>
      <c r="K143" s="64">
        <f>'User Input'!K187*K$10</f>
        <v>0</v>
      </c>
      <c r="L143" s="64">
        <f>'User Input'!L187*L$10</f>
        <v>0</v>
      </c>
      <c r="M143" s="64">
        <f>'User Input'!M187*M$10</f>
        <v>0</v>
      </c>
      <c r="N143" s="64">
        <f>'User Input'!N187*N$10</f>
        <v>0</v>
      </c>
      <c r="O143" s="64">
        <f>'User Input'!O187*O$10</f>
        <v>0</v>
      </c>
      <c r="P143" s="64">
        <f>'User Input'!P187*P$10</f>
        <v>0</v>
      </c>
      <c r="Q143" s="64">
        <f>'User Input'!Q187*Q$10</f>
        <v>0</v>
      </c>
      <c r="R143" s="64">
        <f>'User Input'!R187*R$10</f>
        <v>0</v>
      </c>
      <c r="S143" s="64">
        <f>'User Input'!S187*S$10</f>
        <v>0</v>
      </c>
      <c r="T143" s="64">
        <f>'User Input'!T187*T$10</f>
        <v>0</v>
      </c>
      <c r="U143" s="64">
        <f>'User Input'!U187*U$10</f>
        <v>0</v>
      </c>
      <c r="V143" s="64">
        <f>'User Input'!V187*V$10</f>
        <v>0</v>
      </c>
      <c r="W143" s="64">
        <f>'User Input'!W187*W$10</f>
        <v>0</v>
      </c>
      <c r="X143" s="64">
        <f>'User Input'!X187*X$10</f>
        <v>0</v>
      </c>
      <c r="Y143" s="64">
        <f>'User Input'!Y187*Y$10</f>
        <v>0</v>
      </c>
      <c r="Z143" s="64">
        <f>'User Input'!Z187*Z$10</f>
        <v>0</v>
      </c>
    </row>
    <row r="144" spans="1:26" ht="13.5" thickBot="1" x14ac:dyDescent="0.25">
      <c r="B144" s="13"/>
      <c r="C144" s="22" t="str">
        <f>'User Input'!D188</f>
        <v>Cost 2</v>
      </c>
      <c r="D144" s="67">
        <f t="shared" si="45"/>
        <v>0</v>
      </c>
      <c r="E144" s="697">
        <v>0</v>
      </c>
      <c r="F144" s="64">
        <f>'User Input'!F188*F$10</f>
        <v>0</v>
      </c>
      <c r="G144" s="64">
        <f>'User Input'!G188*G$10</f>
        <v>0</v>
      </c>
      <c r="H144" s="64">
        <f>'User Input'!H188*H$10</f>
        <v>0</v>
      </c>
      <c r="I144" s="64">
        <f>'User Input'!I188*I$10</f>
        <v>0</v>
      </c>
      <c r="J144" s="64">
        <f>'User Input'!J188*J$10</f>
        <v>0</v>
      </c>
      <c r="K144" s="64">
        <f>'User Input'!K188*K$10</f>
        <v>0</v>
      </c>
      <c r="L144" s="64">
        <f>'User Input'!L188*L$10</f>
        <v>0</v>
      </c>
      <c r="M144" s="64">
        <f>'User Input'!M188*M$10</f>
        <v>0</v>
      </c>
      <c r="N144" s="64">
        <f>'User Input'!N188*N$10</f>
        <v>0</v>
      </c>
      <c r="O144" s="64">
        <f>'User Input'!O188*O$10</f>
        <v>0</v>
      </c>
      <c r="P144" s="64">
        <f>'User Input'!P188*P$10</f>
        <v>0</v>
      </c>
      <c r="Q144" s="64">
        <f>'User Input'!Q188*Q$10</f>
        <v>0</v>
      </c>
      <c r="R144" s="64">
        <f>'User Input'!R188*R$10</f>
        <v>0</v>
      </c>
      <c r="S144" s="64">
        <f>'User Input'!S188*S$10</f>
        <v>0</v>
      </c>
      <c r="T144" s="64">
        <f>'User Input'!T188*T$10</f>
        <v>0</v>
      </c>
      <c r="U144" s="64">
        <f>'User Input'!U188*U$10</f>
        <v>0</v>
      </c>
      <c r="V144" s="64">
        <f>'User Input'!V188*V$10</f>
        <v>0</v>
      </c>
      <c r="W144" s="64">
        <f>'User Input'!W188*W$10</f>
        <v>0</v>
      </c>
      <c r="X144" s="64">
        <f>'User Input'!X188*X$10</f>
        <v>0</v>
      </c>
      <c r="Y144" s="64">
        <f>'User Input'!Y188*Y$10</f>
        <v>0</v>
      </c>
      <c r="Z144" s="64">
        <f>'User Input'!Z188*Z$10</f>
        <v>0</v>
      </c>
    </row>
    <row r="145" spans="1:26" ht="13.5" thickBot="1" x14ac:dyDescent="0.25">
      <c r="B145" s="13"/>
      <c r="C145" s="22" t="str">
        <f>'User Input'!D189</f>
        <v>Cost 3</v>
      </c>
      <c r="D145" s="67">
        <f t="shared" si="45"/>
        <v>0</v>
      </c>
      <c r="E145" s="697">
        <v>0</v>
      </c>
      <c r="F145" s="64">
        <f>'User Input'!F189*F$10</f>
        <v>0</v>
      </c>
      <c r="G145" s="64">
        <f>'User Input'!G189*G$10</f>
        <v>0</v>
      </c>
      <c r="H145" s="64">
        <f>'User Input'!H189*H$10</f>
        <v>0</v>
      </c>
      <c r="I145" s="64">
        <f>'User Input'!I189*I$10</f>
        <v>0</v>
      </c>
      <c r="J145" s="64">
        <f>'User Input'!J189*J$10</f>
        <v>0</v>
      </c>
      <c r="K145" s="64">
        <f>'User Input'!K189*K$10</f>
        <v>0</v>
      </c>
      <c r="L145" s="64">
        <f>'User Input'!L189*L$10</f>
        <v>0</v>
      </c>
      <c r="M145" s="64">
        <f>'User Input'!M189*M$10</f>
        <v>0</v>
      </c>
      <c r="N145" s="64">
        <f>'User Input'!N189*N$10</f>
        <v>0</v>
      </c>
      <c r="O145" s="64">
        <f>'User Input'!O189*O$10</f>
        <v>0</v>
      </c>
      <c r="P145" s="64">
        <f>'User Input'!P189*P$10</f>
        <v>0</v>
      </c>
      <c r="Q145" s="64">
        <f>'User Input'!Q189*Q$10</f>
        <v>0</v>
      </c>
      <c r="R145" s="64">
        <f>'User Input'!R189*R$10</f>
        <v>0</v>
      </c>
      <c r="S145" s="64">
        <f>'User Input'!S189*S$10</f>
        <v>0</v>
      </c>
      <c r="T145" s="64">
        <f>'User Input'!T189*T$10</f>
        <v>0</v>
      </c>
      <c r="U145" s="64">
        <f>'User Input'!U189*U$10</f>
        <v>0</v>
      </c>
      <c r="V145" s="64">
        <f>'User Input'!V189*V$10</f>
        <v>0</v>
      </c>
      <c r="W145" s="64">
        <f>'User Input'!W189*W$10</f>
        <v>0</v>
      </c>
      <c r="X145" s="64">
        <f>'User Input'!X189*X$10</f>
        <v>0</v>
      </c>
      <c r="Y145" s="64">
        <f>'User Input'!Y189*Y$10</f>
        <v>0</v>
      </c>
      <c r="Z145" s="64">
        <f>'User Input'!Z189*Z$10</f>
        <v>0</v>
      </c>
    </row>
    <row r="146" spans="1:26" ht="13.5" thickBot="1" x14ac:dyDescent="0.25">
      <c r="B146" s="13"/>
      <c r="C146" s="22" t="str">
        <f>'User Input'!D190</f>
        <v>Cost 4</v>
      </c>
      <c r="D146" s="67">
        <f t="shared" si="45"/>
        <v>0</v>
      </c>
      <c r="E146" s="697">
        <v>0</v>
      </c>
      <c r="F146" s="64">
        <f>'User Input'!F190*F$10</f>
        <v>0</v>
      </c>
      <c r="G146" s="64">
        <f>'User Input'!G190*G$10</f>
        <v>0</v>
      </c>
      <c r="H146" s="64">
        <f>'User Input'!H190*H$10</f>
        <v>0</v>
      </c>
      <c r="I146" s="64">
        <f>'User Input'!I190*I$10</f>
        <v>0</v>
      </c>
      <c r="J146" s="64">
        <f>'User Input'!J190*J$10</f>
        <v>0</v>
      </c>
      <c r="K146" s="64">
        <f>'User Input'!K190*K$10</f>
        <v>0</v>
      </c>
      <c r="L146" s="64">
        <f>'User Input'!L190*L$10</f>
        <v>0</v>
      </c>
      <c r="M146" s="64">
        <f>'User Input'!M190*M$10</f>
        <v>0</v>
      </c>
      <c r="N146" s="64">
        <f>'User Input'!N190*N$10</f>
        <v>0</v>
      </c>
      <c r="O146" s="64">
        <f>'User Input'!O190*O$10</f>
        <v>0</v>
      </c>
      <c r="P146" s="64">
        <f>'User Input'!P190*P$10</f>
        <v>0</v>
      </c>
      <c r="Q146" s="64">
        <f>'User Input'!Q190*Q$10</f>
        <v>0</v>
      </c>
      <c r="R146" s="64">
        <f>'User Input'!R190*R$10</f>
        <v>0</v>
      </c>
      <c r="S146" s="64">
        <f>'User Input'!S190*S$10</f>
        <v>0</v>
      </c>
      <c r="T146" s="64">
        <f>'User Input'!T190*T$10</f>
        <v>0</v>
      </c>
      <c r="U146" s="64">
        <f>'User Input'!U190*U$10</f>
        <v>0</v>
      </c>
      <c r="V146" s="64">
        <f>'User Input'!V190*V$10</f>
        <v>0</v>
      </c>
      <c r="W146" s="64">
        <f>'User Input'!W190*W$10</f>
        <v>0</v>
      </c>
      <c r="X146" s="64">
        <f>'User Input'!X190*X$10</f>
        <v>0</v>
      </c>
      <c r="Y146" s="64">
        <f>'User Input'!Y190*Y$10</f>
        <v>0</v>
      </c>
      <c r="Z146" s="64">
        <f>'User Input'!Z190*Z$10</f>
        <v>0</v>
      </c>
    </row>
    <row r="147" spans="1:26" ht="13.5" thickBot="1" x14ac:dyDescent="0.25">
      <c r="B147" s="13"/>
      <c r="C147" s="22" t="str">
        <f>'User Input'!D191</f>
        <v>Cost 5</v>
      </c>
      <c r="D147" s="67">
        <f t="shared" si="45"/>
        <v>0</v>
      </c>
      <c r="E147" s="697">
        <v>0</v>
      </c>
      <c r="F147" s="64">
        <f>'User Input'!F191*F$10</f>
        <v>0</v>
      </c>
      <c r="G147" s="64">
        <f>'User Input'!G191*G$10</f>
        <v>0</v>
      </c>
      <c r="H147" s="64">
        <f>'User Input'!H191*H$10</f>
        <v>0</v>
      </c>
      <c r="I147" s="64">
        <f>'User Input'!I191*I$10</f>
        <v>0</v>
      </c>
      <c r="J147" s="64">
        <f>'User Input'!J191*J$10</f>
        <v>0</v>
      </c>
      <c r="K147" s="64">
        <f>'User Input'!K191*K$10</f>
        <v>0</v>
      </c>
      <c r="L147" s="64">
        <f>'User Input'!L191*L$10</f>
        <v>0</v>
      </c>
      <c r="M147" s="64">
        <f>'User Input'!M191*M$10</f>
        <v>0</v>
      </c>
      <c r="N147" s="64">
        <f>'User Input'!N191*N$10</f>
        <v>0</v>
      </c>
      <c r="O147" s="64">
        <f>'User Input'!O191*O$10</f>
        <v>0</v>
      </c>
      <c r="P147" s="64">
        <f>'User Input'!P191*P$10</f>
        <v>0</v>
      </c>
      <c r="Q147" s="64">
        <f>'User Input'!Q191*Q$10</f>
        <v>0</v>
      </c>
      <c r="R147" s="64">
        <f>'User Input'!R191*R$10</f>
        <v>0</v>
      </c>
      <c r="S147" s="64">
        <f>'User Input'!S191*S$10</f>
        <v>0</v>
      </c>
      <c r="T147" s="64">
        <f>'User Input'!T191*T$10</f>
        <v>0</v>
      </c>
      <c r="U147" s="64">
        <f>'User Input'!U191*U$10</f>
        <v>0</v>
      </c>
      <c r="V147" s="64">
        <f>'User Input'!V191*V$10</f>
        <v>0</v>
      </c>
      <c r="W147" s="64">
        <f>'User Input'!W191*W$10</f>
        <v>0</v>
      </c>
      <c r="X147" s="64">
        <f>'User Input'!X191*X$10</f>
        <v>0</v>
      </c>
      <c r="Y147" s="64">
        <f>'User Input'!Y191*Y$10</f>
        <v>0</v>
      </c>
      <c r="Z147" s="64">
        <f>'User Input'!Z191*Z$10</f>
        <v>0</v>
      </c>
    </row>
    <row r="148" spans="1:26" ht="13.5" thickBot="1" x14ac:dyDescent="0.25">
      <c r="B148" s="13"/>
      <c r="C148" s="22" t="str">
        <f>'User Input'!D192</f>
        <v>Risk 1</v>
      </c>
      <c r="D148" s="67">
        <f t="shared" si="45"/>
        <v>0</v>
      </c>
      <c r="E148" s="697">
        <v>0</v>
      </c>
      <c r="F148" s="64">
        <f>'User Input'!F192*F$10</f>
        <v>0</v>
      </c>
      <c r="G148" s="64">
        <f>'User Input'!G192*G$10</f>
        <v>0</v>
      </c>
      <c r="H148" s="64">
        <f>'User Input'!H192*H$10</f>
        <v>0</v>
      </c>
      <c r="I148" s="64">
        <f>'User Input'!I192*I$10</f>
        <v>0</v>
      </c>
      <c r="J148" s="64">
        <f>'User Input'!J192*J$10</f>
        <v>0</v>
      </c>
      <c r="K148" s="64">
        <f>'User Input'!K192*K$10</f>
        <v>0</v>
      </c>
      <c r="L148" s="64">
        <f>'User Input'!L192*L$10</f>
        <v>0</v>
      </c>
      <c r="M148" s="64">
        <f>'User Input'!M192*M$10</f>
        <v>0</v>
      </c>
      <c r="N148" s="64">
        <f>'User Input'!N192*N$10</f>
        <v>0</v>
      </c>
      <c r="O148" s="64">
        <f>'User Input'!O192*O$10</f>
        <v>0</v>
      </c>
      <c r="P148" s="64">
        <f>'User Input'!P192*P$10</f>
        <v>0</v>
      </c>
      <c r="Q148" s="64">
        <f>'User Input'!Q192*Q$10</f>
        <v>0</v>
      </c>
      <c r="R148" s="64">
        <f>'User Input'!R192*R$10</f>
        <v>0</v>
      </c>
      <c r="S148" s="64">
        <f>'User Input'!S192*S$10</f>
        <v>0</v>
      </c>
      <c r="T148" s="64">
        <f>'User Input'!T192*T$10</f>
        <v>0</v>
      </c>
      <c r="U148" s="64">
        <f>'User Input'!U192*U$10</f>
        <v>0</v>
      </c>
      <c r="V148" s="64">
        <f>'User Input'!V192*V$10</f>
        <v>0</v>
      </c>
      <c r="W148" s="64">
        <f>'User Input'!W192*W$10</f>
        <v>0</v>
      </c>
      <c r="X148" s="64">
        <f>'User Input'!X192*X$10</f>
        <v>0</v>
      </c>
      <c r="Y148" s="64">
        <f>'User Input'!Y192*Y$10</f>
        <v>0</v>
      </c>
      <c r="Z148" s="64">
        <f>'User Input'!Z192*Z$10</f>
        <v>0</v>
      </c>
    </row>
    <row r="149" spans="1:26" ht="13.5" thickBot="1" x14ac:dyDescent="0.25">
      <c r="B149" s="13"/>
      <c r="C149" s="22" t="str">
        <f>'User Input'!D193</f>
        <v>Risk 2</v>
      </c>
      <c r="D149" s="67">
        <f t="shared" si="45"/>
        <v>0</v>
      </c>
      <c r="E149" s="697">
        <v>0</v>
      </c>
      <c r="F149" s="64">
        <f>'User Input'!F193*F$10</f>
        <v>0</v>
      </c>
      <c r="G149" s="64">
        <f>'User Input'!G193*G$10</f>
        <v>0</v>
      </c>
      <c r="H149" s="64">
        <f>'User Input'!H193*H$10</f>
        <v>0</v>
      </c>
      <c r="I149" s="64">
        <f>'User Input'!I193*I$10</f>
        <v>0</v>
      </c>
      <c r="J149" s="64">
        <f>'User Input'!J193*J$10</f>
        <v>0</v>
      </c>
      <c r="K149" s="64">
        <f>'User Input'!K193*K$10</f>
        <v>0</v>
      </c>
      <c r="L149" s="64">
        <f>'User Input'!L193*L$10</f>
        <v>0</v>
      </c>
      <c r="M149" s="64">
        <f>'User Input'!M193*M$10</f>
        <v>0</v>
      </c>
      <c r="N149" s="64">
        <f>'User Input'!N193*N$10</f>
        <v>0</v>
      </c>
      <c r="O149" s="64">
        <f>'User Input'!O193*O$10</f>
        <v>0</v>
      </c>
      <c r="P149" s="64">
        <f>'User Input'!P193*P$10</f>
        <v>0</v>
      </c>
      <c r="Q149" s="64">
        <f>'User Input'!Q193*Q$10</f>
        <v>0</v>
      </c>
      <c r="R149" s="64">
        <f>'User Input'!R193*R$10</f>
        <v>0</v>
      </c>
      <c r="S149" s="64">
        <f>'User Input'!S193*S$10</f>
        <v>0</v>
      </c>
      <c r="T149" s="64">
        <f>'User Input'!T193*T$10</f>
        <v>0</v>
      </c>
      <c r="U149" s="64">
        <f>'User Input'!U193*U$10</f>
        <v>0</v>
      </c>
      <c r="V149" s="64">
        <f>'User Input'!V193*V$10</f>
        <v>0</v>
      </c>
      <c r="W149" s="64">
        <f>'User Input'!W193*W$10</f>
        <v>0</v>
      </c>
      <c r="X149" s="64">
        <f>'User Input'!X193*X$10</f>
        <v>0</v>
      </c>
      <c r="Y149" s="64">
        <f>'User Input'!Y193*Y$10</f>
        <v>0</v>
      </c>
      <c r="Z149" s="64">
        <f>'User Input'!Z193*Z$10</f>
        <v>0</v>
      </c>
    </row>
    <row r="150" spans="1:26" ht="13.5" thickBot="1" x14ac:dyDescent="0.25">
      <c r="B150" s="13"/>
      <c r="C150" s="22" t="str">
        <f>'User Input'!D194</f>
        <v>Risk 3</v>
      </c>
      <c r="D150" s="67">
        <f t="shared" si="45"/>
        <v>0</v>
      </c>
      <c r="E150" s="697">
        <v>0</v>
      </c>
      <c r="F150" s="64">
        <f>'User Input'!F194*F$10</f>
        <v>0</v>
      </c>
      <c r="G150" s="64">
        <f>'User Input'!G194*G$10</f>
        <v>0</v>
      </c>
      <c r="H150" s="64">
        <f>'User Input'!H194*H$10</f>
        <v>0</v>
      </c>
      <c r="I150" s="64">
        <f>'User Input'!I194*I$10</f>
        <v>0</v>
      </c>
      <c r="J150" s="64">
        <f>'User Input'!J194*J$10</f>
        <v>0</v>
      </c>
      <c r="K150" s="64">
        <f>'User Input'!K194*K$10</f>
        <v>0</v>
      </c>
      <c r="L150" s="64">
        <f>'User Input'!L194*L$10</f>
        <v>0</v>
      </c>
      <c r="M150" s="64">
        <f>'User Input'!M194*M$10</f>
        <v>0</v>
      </c>
      <c r="N150" s="64">
        <f>'User Input'!N194*N$10</f>
        <v>0</v>
      </c>
      <c r="O150" s="64">
        <f>'User Input'!O194*O$10</f>
        <v>0</v>
      </c>
      <c r="P150" s="64">
        <f>'User Input'!P194*P$10</f>
        <v>0</v>
      </c>
      <c r="Q150" s="64">
        <f>'User Input'!Q194*Q$10</f>
        <v>0</v>
      </c>
      <c r="R150" s="64">
        <f>'User Input'!R194*R$10</f>
        <v>0</v>
      </c>
      <c r="S150" s="64">
        <f>'User Input'!S194*S$10</f>
        <v>0</v>
      </c>
      <c r="T150" s="64">
        <f>'User Input'!T194*T$10</f>
        <v>0</v>
      </c>
      <c r="U150" s="64">
        <f>'User Input'!U194*U$10</f>
        <v>0</v>
      </c>
      <c r="V150" s="64">
        <f>'User Input'!V194*V$10</f>
        <v>0</v>
      </c>
      <c r="W150" s="64">
        <f>'User Input'!W194*W$10</f>
        <v>0</v>
      </c>
      <c r="X150" s="64">
        <f>'User Input'!X194*X$10</f>
        <v>0</v>
      </c>
      <c r="Y150" s="64">
        <f>'User Input'!Y194*Y$10</f>
        <v>0</v>
      </c>
      <c r="Z150" s="64">
        <f>'User Input'!Z194*Z$10</f>
        <v>0</v>
      </c>
    </row>
    <row r="151" spans="1:26" ht="13.5" thickBot="1" x14ac:dyDescent="0.25">
      <c r="B151" s="13"/>
      <c r="C151" s="22" t="str">
        <f>'User Input'!D195</f>
        <v>Risk 4</v>
      </c>
      <c r="D151" s="67">
        <f t="shared" si="45"/>
        <v>0</v>
      </c>
      <c r="E151" s="697">
        <v>0</v>
      </c>
      <c r="F151" s="64">
        <f>'User Input'!F195*F$10</f>
        <v>0</v>
      </c>
      <c r="G151" s="64">
        <f>'User Input'!G195*G$10</f>
        <v>0</v>
      </c>
      <c r="H151" s="64">
        <f>'User Input'!H195*H$10</f>
        <v>0</v>
      </c>
      <c r="I151" s="64">
        <f>'User Input'!I195*I$10</f>
        <v>0</v>
      </c>
      <c r="J151" s="64">
        <f>'User Input'!J195*J$10</f>
        <v>0</v>
      </c>
      <c r="K151" s="64">
        <f>'User Input'!K195*K$10</f>
        <v>0</v>
      </c>
      <c r="L151" s="64">
        <f>'User Input'!L195*L$10</f>
        <v>0</v>
      </c>
      <c r="M151" s="64">
        <f>'User Input'!M195*M$10</f>
        <v>0</v>
      </c>
      <c r="N151" s="64">
        <f>'User Input'!N195*N$10</f>
        <v>0</v>
      </c>
      <c r="O151" s="64">
        <f>'User Input'!O195*O$10</f>
        <v>0</v>
      </c>
      <c r="P151" s="64">
        <f>'User Input'!P195*P$10</f>
        <v>0</v>
      </c>
      <c r="Q151" s="64">
        <f>'User Input'!Q195*Q$10</f>
        <v>0</v>
      </c>
      <c r="R151" s="64">
        <f>'User Input'!R195*R$10</f>
        <v>0</v>
      </c>
      <c r="S151" s="64">
        <f>'User Input'!S195*S$10</f>
        <v>0</v>
      </c>
      <c r="T151" s="64">
        <f>'User Input'!T195*T$10</f>
        <v>0</v>
      </c>
      <c r="U151" s="64">
        <f>'User Input'!U195*U$10</f>
        <v>0</v>
      </c>
      <c r="V151" s="64">
        <f>'User Input'!V195*V$10</f>
        <v>0</v>
      </c>
      <c r="W151" s="64">
        <f>'User Input'!W195*W$10</f>
        <v>0</v>
      </c>
      <c r="X151" s="64">
        <f>'User Input'!X195*X$10</f>
        <v>0</v>
      </c>
      <c r="Y151" s="64">
        <f>'User Input'!Y195*Y$10</f>
        <v>0</v>
      </c>
      <c r="Z151" s="64">
        <f>'User Input'!Z195*Z$10</f>
        <v>0</v>
      </c>
    </row>
    <row r="152" spans="1:26" ht="13.5" thickBot="1" x14ac:dyDescent="0.25">
      <c r="B152" s="13"/>
      <c r="C152" s="22" t="str">
        <f>'User Input'!D196</f>
        <v>Risk 5</v>
      </c>
      <c r="D152" s="67">
        <f t="shared" si="45"/>
        <v>0</v>
      </c>
      <c r="E152" s="697">
        <v>0</v>
      </c>
      <c r="F152" s="64">
        <f>'User Input'!F196*F$10</f>
        <v>0</v>
      </c>
      <c r="G152" s="64">
        <f>'User Input'!G196*G$10</f>
        <v>0</v>
      </c>
      <c r="H152" s="64">
        <f>'User Input'!H196*H$10</f>
        <v>0</v>
      </c>
      <c r="I152" s="64">
        <f>'User Input'!I196*I$10</f>
        <v>0</v>
      </c>
      <c r="J152" s="64">
        <f>'User Input'!J196*J$10</f>
        <v>0</v>
      </c>
      <c r="K152" s="64">
        <f>'User Input'!K196*K$10</f>
        <v>0</v>
      </c>
      <c r="L152" s="64">
        <f>'User Input'!L196*L$10</f>
        <v>0</v>
      </c>
      <c r="M152" s="64">
        <f>'User Input'!M196*M$10</f>
        <v>0</v>
      </c>
      <c r="N152" s="64">
        <f>'User Input'!N196*N$10</f>
        <v>0</v>
      </c>
      <c r="O152" s="64">
        <f>'User Input'!O196*O$10</f>
        <v>0</v>
      </c>
      <c r="P152" s="64">
        <f>'User Input'!P196*P$10</f>
        <v>0</v>
      </c>
      <c r="Q152" s="64">
        <f>'User Input'!Q196*Q$10</f>
        <v>0</v>
      </c>
      <c r="R152" s="64">
        <f>'User Input'!R196*R$10</f>
        <v>0</v>
      </c>
      <c r="S152" s="64">
        <f>'User Input'!S196*S$10</f>
        <v>0</v>
      </c>
      <c r="T152" s="64">
        <f>'User Input'!T196*T$10</f>
        <v>0</v>
      </c>
      <c r="U152" s="64">
        <f>'User Input'!U196*U$10</f>
        <v>0</v>
      </c>
      <c r="V152" s="64">
        <f>'User Input'!V196*V$10</f>
        <v>0</v>
      </c>
      <c r="W152" s="64">
        <f>'User Input'!W196*W$10</f>
        <v>0</v>
      </c>
      <c r="X152" s="64">
        <f>'User Input'!X196*X$10</f>
        <v>0</v>
      </c>
      <c r="Y152" s="64">
        <f>'User Input'!Y196*Y$10</f>
        <v>0</v>
      </c>
      <c r="Z152" s="64">
        <f>'User Input'!Z196*Z$10</f>
        <v>0</v>
      </c>
    </row>
    <row r="153" spans="1:26" ht="13.5" thickBot="1" x14ac:dyDescent="0.25">
      <c r="B153" s="13"/>
      <c r="C153" s="53" t="s">
        <v>2</v>
      </c>
      <c r="D153" s="67">
        <f>SUM(E153:Y153)</f>
        <v>0</v>
      </c>
      <c r="E153" s="68">
        <f>SUM(E134:E152)</f>
        <v>0</v>
      </c>
      <c r="F153" s="69">
        <f t="shared" ref="F153:Y153" si="46">SUM(F134:F152)</f>
        <v>0</v>
      </c>
      <c r="G153" s="69">
        <f t="shared" si="46"/>
        <v>0</v>
      </c>
      <c r="H153" s="69">
        <f t="shared" si="46"/>
        <v>0</v>
      </c>
      <c r="I153" s="69">
        <f t="shared" si="46"/>
        <v>0</v>
      </c>
      <c r="J153" s="69">
        <f t="shared" si="46"/>
        <v>0</v>
      </c>
      <c r="K153" s="69">
        <f t="shared" si="46"/>
        <v>0</v>
      </c>
      <c r="L153" s="69">
        <f t="shared" si="46"/>
        <v>0</v>
      </c>
      <c r="M153" s="69">
        <f t="shared" si="46"/>
        <v>0</v>
      </c>
      <c r="N153" s="69">
        <f t="shared" si="46"/>
        <v>0</v>
      </c>
      <c r="O153" s="69">
        <f t="shared" si="46"/>
        <v>0</v>
      </c>
      <c r="P153" s="69">
        <f t="shared" si="46"/>
        <v>0</v>
      </c>
      <c r="Q153" s="69">
        <f t="shared" si="46"/>
        <v>0</v>
      </c>
      <c r="R153" s="69">
        <f t="shared" si="46"/>
        <v>0</v>
      </c>
      <c r="S153" s="69">
        <f t="shared" si="46"/>
        <v>0</v>
      </c>
      <c r="T153" s="69">
        <f t="shared" si="46"/>
        <v>0</v>
      </c>
      <c r="U153" s="69">
        <f t="shared" si="46"/>
        <v>0</v>
      </c>
      <c r="V153" s="69">
        <f t="shared" si="46"/>
        <v>0</v>
      </c>
      <c r="W153" s="69">
        <f t="shared" si="46"/>
        <v>0</v>
      </c>
      <c r="X153" s="69">
        <f t="shared" si="46"/>
        <v>0</v>
      </c>
      <c r="Y153" s="150">
        <f t="shared" si="46"/>
        <v>0</v>
      </c>
      <c r="Z153" s="150">
        <f t="shared" ref="Z153" si="47">SUM(Z134:Z152)</f>
        <v>0</v>
      </c>
    </row>
    <row r="154" spans="1:26" ht="13.5" thickBot="1" x14ac:dyDescent="0.25">
      <c r="B154" s="13"/>
      <c r="C154" s="54" t="s">
        <v>50</v>
      </c>
      <c r="D154" s="67">
        <f>SUM(E154:Y154)</f>
        <v>0</v>
      </c>
      <c r="E154" s="77">
        <f t="shared" ref="E154:Z154" si="48">+E153/E$9</f>
        <v>0</v>
      </c>
      <c r="F154" s="77">
        <f t="shared" si="48"/>
        <v>0</v>
      </c>
      <c r="G154" s="77">
        <f t="shared" si="48"/>
        <v>0</v>
      </c>
      <c r="H154" s="77">
        <f t="shared" si="48"/>
        <v>0</v>
      </c>
      <c r="I154" s="77">
        <f t="shared" si="48"/>
        <v>0</v>
      </c>
      <c r="J154" s="77">
        <f t="shared" si="48"/>
        <v>0</v>
      </c>
      <c r="K154" s="77">
        <f t="shared" si="48"/>
        <v>0</v>
      </c>
      <c r="L154" s="77">
        <f t="shared" si="48"/>
        <v>0</v>
      </c>
      <c r="M154" s="77">
        <f t="shared" si="48"/>
        <v>0</v>
      </c>
      <c r="N154" s="77">
        <f t="shared" si="48"/>
        <v>0</v>
      </c>
      <c r="O154" s="77">
        <f t="shared" si="48"/>
        <v>0</v>
      </c>
      <c r="P154" s="77">
        <f t="shared" si="48"/>
        <v>0</v>
      </c>
      <c r="Q154" s="77">
        <f t="shared" si="48"/>
        <v>0</v>
      </c>
      <c r="R154" s="77">
        <f t="shared" si="48"/>
        <v>0</v>
      </c>
      <c r="S154" s="77">
        <f t="shared" si="48"/>
        <v>0</v>
      </c>
      <c r="T154" s="77">
        <f t="shared" si="48"/>
        <v>0</v>
      </c>
      <c r="U154" s="77">
        <f t="shared" si="48"/>
        <v>0</v>
      </c>
      <c r="V154" s="77">
        <f t="shared" si="48"/>
        <v>0</v>
      </c>
      <c r="W154" s="77">
        <f t="shared" si="48"/>
        <v>0</v>
      </c>
      <c r="X154" s="77">
        <f t="shared" si="48"/>
        <v>0</v>
      </c>
      <c r="Y154" s="77">
        <f t="shared" si="48"/>
        <v>0</v>
      </c>
      <c r="Z154" s="77">
        <f t="shared" si="48"/>
        <v>0</v>
      </c>
    </row>
    <row r="155" spans="1:26" ht="13.5" thickBot="1" x14ac:dyDescent="0.25">
      <c r="B155" s="61"/>
      <c r="C155" s="62"/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110"/>
      <c r="Z155" s="110"/>
    </row>
    <row r="156" spans="1:26" s="3" customFormat="1" ht="13.5" thickBot="1" x14ac:dyDescent="0.25">
      <c r="A156" s="2"/>
      <c r="B156" s="60"/>
      <c r="C156" s="2"/>
      <c r="D156" s="2"/>
      <c r="E156" s="2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2"/>
      <c r="Y156" s="2"/>
      <c r="Z156" s="2"/>
    </row>
    <row r="157" spans="1:26" s="3" customFormat="1" x14ac:dyDescent="0.2">
      <c r="A157" s="2"/>
      <c r="B157" s="374" t="s">
        <v>79</v>
      </c>
      <c r="C157" s="375"/>
      <c r="D157" s="375"/>
      <c r="E157" s="375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5"/>
      <c r="Y157" s="375"/>
      <c r="Z157" s="375"/>
    </row>
    <row r="158" spans="1:26" s="3" customFormat="1" x14ac:dyDescent="0.2">
      <c r="A158" s="2"/>
      <c r="B158" s="107"/>
      <c r="C158" s="2"/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2"/>
    </row>
    <row r="159" spans="1:26" s="3" customFormat="1" x14ac:dyDescent="0.2">
      <c r="A159" s="85"/>
      <c r="B159" s="13"/>
      <c r="C159" s="79" t="s">
        <v>2</v>
      </c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2"/>
    </row>
    <row r="160" spans="1:26" s="3" customFormat="1" x14ac:dyDescent="0.2">
      <c r="A160" s="85"/>
      <c r="B160" s="13"/>
      <c r="C160" s="2"/>
      <c r="D160" s="2"/>
      <c r="E160" s="2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2"/>
      <c r="Y160" s="2"/>
      <c r="Z160" s="2"/>
    </row>
    <row r="161" spans="1:26" s="3" customFormat="1" x14ac:dyDescent="0.2">
      <c r="A161" s="130">
        <v>1</v>
      </c>
      <c r="B161" s="13"/>
      <c r="C161" s="80" t="str">
        <f>B12</f>
        <v>"Status Quo" Reference Case</v>
      </c>
      <c r="D161" s="2"/>
      <c r="E161" s="81">
        <f>E33</f>
        <v>0</v>
      </c>
      <c r="F161" s="81">
        <f t="shared" ref="F161:N161" si="49">F33</f>
        <v>137.60466560277465</v>
      </c>
      <c r="G161" s="81">
        <f t="shared" si="49"/>
        <v>280.548392230937</v>
      </c>
      <c r="H161" s="81">
        <f t="shared" si="49"/>
        <v>285.99103104021719</v>
      </c>
      <c r="I161" s="81">
        <f t="shared" si="49"/>
        <v>291.53925704239737</v>
      </c>
      <c r="J161" s="81">
        <f t="shared" si="49"/>
        <v>297.19511862901987</v>
      </c>
      <c r="K161" s="81">
        <f t="shared" si="49"/>
        <v>302.96070393042282</v>
      </c>
      <c r="L161" s="81">
        <f t="shared" si="49"/>
        <v>308.83814158667303</v>
      </c>
      <c r="M161" s="81">
        <f t="shared" si="49"/>
        <v>314.82960153345454</v>
      </c>
      <c r="N161" s="81">
        <f t="shared" si="49"/>
        <v>320.93729580320354</v>
      </c>
      <c r="O161" s="81">
        <f t="shared" ref="O161:Y161" si="50">O33</f>
        <v>327.16347934178572</v>
      </c>
      <c r="P161" s="81">
        <f t="shared" si="50"/>
        <v>333.51045084101634</v>
      </c>
      <c r="Q161" s="81">
        <f t="shared" si="50"/>
        <v>339.98055358733205</v>
      </c>
      <c r="R161" s="81">
        <f t="shared" si="50"/>
        <v>346.57617632692626</v>
      </c>
      <c r="S161" s="81">
        <f t="shared" si="50"/>
        <v>353.29975414766864</v>
      </c>
      <c r="T161" s="81">
        <f t="shared" si="50"/>
        <v>360.15376937813335</v>
      </c>
      <c r="U161" s="81">
        <f t="shared" si="50"/>
        <v>367.14075250406916</v>
      </c>
      <c r="V161" s="81">
        <f t="shared" si="50"/>
        <v>374.26328310264807</v>
      </c>
      <c r="W161" s="81">
        <f t="shared" si="50"/>
        <v>381.52399079483945</v>
      </c>
      <c r="X161" s="81">
        <f t="shared" si="50"/>
        <v>388.92555621625934</v>
      </c>
      <c r="Y161" s="81">
        <f t="shared" si="50"/>
        <v>396.4707120068548</v>
      </c>
      <c r="Z161" s="81">
        <f t="shared" ref="Z161" si="51">Z33</f>
        <v>0</v>
      </c>
    </row>
    <row r="162" spans="1:26" s="3" customFormat="1" x14ac:dyDescent="0.2">
      <c r="A162" s="130">
        <v>2</v>
      </c>
      <c r="B162" s="13"/>
      <c r="C162" s="80" t="str">
        <f>B36</f>
        <v>Option 1: Provide In Meter Capabilities</v>
      </c>
      <c r="D162" s="2"/>
      <c r="E162" s="84">
        <f>E57</f>
        <v>1447.7867148036742</v>
      </c>
      <c r="F162" s="84">
        <f t="shared" ref="F162:N162" si="52">F57</f>
        <v>1156.6530797026574</v>
      </c>
      <c r="G162" s="84">
        <f t="shared" si="52"/>
        <v>0</v>
      </c>
      <c r="H162" s="84">
        <f t="shared" si="52"/>
        <v>0</v>
      </c>
      <c r="I162" s="84">
        <f t="shared" si="52"/>
        <v>0</v>
      </c>
      <c r="J162" s="84">
        <f t="shared" si="52"/>
        <v>0</v>
      </c>
      <c r="K162" s="84">
        <f t="shared" si="52"/>
        <v>0</v>
      </c>
      <c r="L162" s="84">
        <f t="shared" si="52"/>
        <v>0</v>
      </c>
      <c r="M162" s="84">
        <f t="shared" si="52"/>
        <v>0</v>
      </c>
      <c r="N162" s="84">
        <f t="shared" si="52"/>
        <v>0</v>
      </c>
      <c r="O162" s="84">
        <f t="shared" ref="O162:Y162" si="53">O57</f>
        <v>0</v>
      </c>
      <c r="P162" s="84">
        <f t="shared" si="53"/>
        <v>0</v>
      </c>
      <c r="Q162" s="84">
        <f t="shared" si="53"/>
        <v>0</v>
      </c>
      <c r="R162" s="84">
        <f t="shared" si="53"/>
        <v>0</v>
      </c>
      <c r="S162" s="84">
        <f t="shared" si="53"/>
        <v>0</v>
      </c>
      <c r="T162" s="84">
        <f t="shared" si="53"/>
        <v>0</v>
      </c>
      <c r="U162" s="84">
        <f t="shared" si="53"/>
        <v>0</v>
      </c>
      <c r="V162" s="84">
        <f t="shared" si="53"/>
        <v>0</v>
      </c>
      <c r="W162" s="84">
        <f t="shared" si="53"/>
        <v>0</v>
      </c>
      <c r="X162" s="84">
        <f t="shared" si="53"/>
        <v>0</v>
      </c>
      <c r="Y162" s="84">
        <f t="shared" si="53"/>
        <v>0</v>
      </c>
      <c r="Z162" s="84">
        <f t="shared" ref="Z162" si="54">Z57</f>
        <v>0</v>
      </c>
    </row>
    <row r="163" spans="1:26" s="3" customFormat="1" x14ac:dyDescent="0.2">
      <c r="A163" s="130">
        <v>3</v>
      </c>
      <c r="B163" s="13"/>
      <c r="C163" s="80" t="str">
        <f>B60</f>
        <v>Option 2: Provide In Meter Capabilities with Near Real-time Centralised Analytics</v>
      </c>
      <c r="D163" s="2"/>
      <c r="E163" s="84">
        <f>E81</f>
        <v>6479.3250430971002</v>
      </c>
      <c r="F163" s="84">
        <f t="shared" ref="F163:N163" si="55">F81</f>
        <v>5175.0362639891491</v>
      </c>
      <c r="G163" s="84">
        <f t="shared" si="55"/>
        <v>0</v>
      </c>
      <c r="H163" s="84">
        <f t="shared" si="55"/>
        <v>0</v>
      </c>
      <c r="I163" s="84">
        <f t="shared" si="55"/>
        <v>0</v>
      </c>
      <c r="J163" s="84">
        <f t="shared" si="55"/>
        <v>0</v>
      </c>
      <c r="K163" s="84">
        <f t="shared" si="55"/>
        <v>0</v>
      </c>
      <c r="L163" s="84">
        <f t="shared" si="55"/>
        <v>0</v>
      </c>
      <c r="M163" s="84">
        <f t="shared" si="55"/>
        <v>0</v>
      </c>
      <c r="N163" s="84">
        <f t="shared" si="55"/>
        <v>0</v>
      </c>
      <c r="O163" s="84">
        <f t="shared" ref="O163:Y163" si="56">O81</f>
        <v>0</v>
      </c>
      <c r="P163" s="84">
        <f t="shared" si="56"/>
        <v>0</v>
      </c>
      <c r="Q163" s="84">
        <f t="shared" si="56"/>
        <v>0</v>
      </c>
      <c r="R163" s="84">
        <f t="shared" si="56"/>
        <v>0</v>
      </c>
      <c r="S163" s="84">
        <f t="shared" si="56"/>
        <v>0</v>
      </c>
      <c r="T163" s="84">
        <f t="shared" si="56"/>
        <v>0</v>
      </c>
      <c r="U163" s="84">
        <f t="shared" si="56"/>
        <v>0</v>
      </c>
      <c r="V163" s="84">
        <f t="shared" si="56"/>
        <v>0</v>
      </c>
      <c r="W163" s="84">
        <f t="shared" si="56"/>
        <v>0</v>
      </c>
      <c r="X163" s="84">
        <f t="shared" si="56"/>
        <v>0</v>
      </c>
      <c r="Y163" s="84">
        <f t="shared" si="56"/>
        <v>0</v>
      </c>
      <c r="Z163" s="84">
        <f t="shared" ref="Z163" si="57">Z81</f>
        <v>0</v>
      </c>
    </row>
    <row r="164" spans="1:26" s="3" customFormat="1" x14ac:dyDescent="0.2">
      <c r="A164" s="131">
        <v>4</v>
      </c>
      <c r="B164" s="13"/>
      <c r="C164" s="80" t="str">
        <f>B84</f>
        <v xml:space="preserve">Option 3: </v>
      </c>
      <c r="D164" s="2"/>
      <c r="E164" s="84">
        <f>E105</f>
        <v>0</v>
      </c>
      <c r="F164" s="84">
        <f t="shared" ref="F164:Y164" si="58">F105</f>
        <v>0</v>
      </c>
      <c r="G164" s="84">
        <f t="shared" si="58"/>
        <v>0</v>
      </c>
      <c r="H164" s="84">
        <f t="shared" si="58"/>
        <v>0</v>
      </c>
      <c r="I164" s="84">
        <f t="shared" si="58"/>
        <v>0</v>
      </c>
      <c r="J164" s="84">
        <f t="shared" si="58"/>
        <v>0</v>
      </c>
      <c r="K164" s="84">
        <f t="shared" si="58"/>
        <v>0</v>
      </c>
      <c r="L164" s="84">
        <f t="shared" si="58"/>
        <v>0</v>
      </c>
      <c r="M164" s="84">
        <f t="shared" si="58"/>
        <v>0</v>
      </c>
      <c r="N164" s="84">
        <f t="shared" si="58"/>
        <v>0</v>
      </c>
      <c r="O164" s="84">
        <f t="shared" si="58"/>
        <v>0</v>
      </c>
      <c r="P164" s="84">
        <f t="shared" si="58"/>
        <v>0</v>
      </c>
      <c r="Q164" s="84">
        <f t="shared" si="58"/>
        <v>0</v>
      </c>
      <c r="R164" s="84">
        <f t="shared" si="58"/>
        <v>0</v>
      </c>
      <c r="S164" s="84">
        <f t="shared" si="58"/>
        <v>0</v>
      </c>
      <c r="T164" s="84">
        <f t="shared" si="58"/>
        <v>0</v>
      </c>
      <c r="U164" s="84">
        <f t="shared" si="58"/>
        <v>0</v>
      </c>
      <c r="V164" s="84">
        <f t="shared" si="58"/>
        <v>0</v>
      </c>
      <c r="W164" s="84">
        <f t="shared" si="58"/>
        <v>0</v>
      </c>
      <c r="X164" s="84">
        <f t="shared" si="58"/>
        <v>0</v>
      </c>
      <c r="Y164" s="84">
        <f t="shared" si="58"/>
        <v>0</v>
      </c>
      <c r="Z164" s="84">
        <f t="shared" ref="Z164" si="59">Z105</f>
        <v>0</v>
      </c>
    </row>
    <row r="165" spans="1:26" s="3" customFormat="1" x14ac:dyDescent="0.2">
      <c r="A165" s="131">
        <v>5</v>
      </c>
      <c r="B165" s="13"/>
      <c r="C165" s="80" t="str">
        <f>B108</f>
        <v xml:space="preserve">Option 4: </v>
      </c>
      <c r="D165" s="2"/>
      <c r="E165" s="84">
        <f>E129</f>
        <v>0</v>
      </c>
      <c r="F165" s="84">
        <f t="shared" ref="F165:Y165" si="60">F129</f>
        <v>0</v>
      </c>
      <c r="G165" s="84">
        <f t="shared" si="60"/>
        <v>0</v>
      </c>
      <c r="H165" s="84">
        <f t="shared" si="60"/>
        <v>0</v>
      </c>
      <c r="I165" s="84">
        <f t="shared" si="60"/>
        <v>0</v>
      </c>
      <c r="J165" s="84">
        <f t="shared" si="60"/>
        <v>0</v>
      </c>
      <c r="K165" s="84">
        <f t="shared" si="60"/>
        <v>0</v>
      </c>
      <c r="L165" s="84">
        <f t="shared" si="60"/>
        <v>0</v>
      </c>
      <c r="M165" s="84">
        <f t="shared" si="60"/>
        <v>0</v>
      </c>
      <c r="N165" s="84">
        <f t="shared" si="60"/>
        <v>0</v>
      </c>
      <c r="O165" s="84">
        <f t="shared" si="60"/>
        <v>0</v>
      </c>
      <c r="P165" s="84">
        <f t="shared" si="60"/>
        <v>0</v>
      </c>
      <c r="Q165" s="84">
        <f t="shared" si="60"/>
        <v>0</v>
      </c>
      <c r="R165" s="84">
        <f t="shared" si="60"/>
        <v>0</v>
      </c>
      <c r="S165" s="84">
        <f t="shared" si="60"/>
        <v>0</v>
      </c>
      <c r="T165" s="84">
        <f t="shared" si="60"/>
        <v>0</v>
      </c>
      <c r="U165" s="84">
        <f t="shared" si="60"/>
        <v>0</v>
      </c>
      <c r="V165" s="84">
        <f t="shared" si="60"/>
        <v>0</v>
      </c>
      <c r="W165" s="84">
        <f t="shared" si="60"/>
        <v>0</v>
      </c>
      <c r="X165" s="84">
        <f t="shared" si="60"/>
        <v>0</v>
      </c>
      <c r="Y165" s="84">
        <f t="shared" si="60"/>
        <v>0</v>
      </c>
      <c r="Z165" s="84">
        <f t="shared" ref="Z165" si="61">Z129</f>
        <v>0</v>
      </c>
    </row>
    <row r="166" spans="1:26" s="3" customFormat="1" x14ac:dyDescent="0.2">
      <c r="A166" s="131">
        <v>6</v>
      </c>
      <c r="B166" s="13"/>
      <c r="C166" s="80" t="str">
        <f>B132</f>
        <v xml:space="preserve">Option 5: </v>
      </c>
      <c r="D166" s="2"/>
      <c r="E166" s="84">
        <f>E153</f>
        <v>0</v>
      </c>
      <c r="F166" s="84">
        <f t="shared" ref="F166:Y166" si="62">F153</f>
        <v>0</v>
      </c>
      <c r="G166" s="84">
        <f t="shared" si="62"/>
        <v>0</v>
      </c>
      <c r="H166" s="84">
        <f t="shared" si="62"/>
        <v>0</v>
      </c>
      <c r="I166" s="84">
        <f t="shared" si="62"/>
        <v>0</v>
      </c>
      <c r="J166" s="84">
        <f t="shared" si="62"/>
        <v>0</v>
      </c>
      <c r="K166" s="84">
        <f t="shared" si="62"/>
        <v>0</v>
      </c>
      <c r="L166" s="84">
        <f t="shared" si="62"/>
        <v>0</v>
      </c>
      <c r="M166" s="84">
        <f t="shared" si="62"/>
        <v>0</v>
      </c>
      <c r="N166" s="84">
        <f t="shared" si="62"/>
        <v>0</v>
      </c>
      <c r="O166" s="84">
        <f t="shared" si="62"/>
        <v>0</v>
      </c>
      <c r="P166" s="84">
        <f t="shared" si="62"/>
        <v>0</v>
      </c>
      <c r="Q166" s="84">
        <f t="shared" si="62"/>
        <v>0</v>
      </c>
      <c r="R166" s="84">
        <f t="shared" si="62"/>
        <v>0</v>
      </c>
      <c r="S166" s="84">
        <f t="shared" si="62"/>
        <v>0</v>
      </c>
      <c r="T166" s="84">
        <f t="shared" si="62"/>
        <v>0</v>
      </c>
      <c r="U166" s="84">
        <f t="shared" si="62"/>
        <v>0</v>
      </c>
      <c r="V166" s="84">
        <f t="shared" si="62"/>
        <v>0</v>
      </c>
      <c r="W166" s="84">
        <f t="shared" si="62"/>
        <v>0</v>
      </c>
      <c r="X166" s="84">
        <f t="shared" si="62"/>
        <v>0</v>
      </c>
      <c r="Y166" s="84">
        <f t="shared" si="62"/>
        <v>0</v>
      </c>
      <c r="Z166" s="84">
        <f t="shared" ref="Z166" si="63">Z153</f>
        <v>0</v>
      </c>
    </row>
    <row r="167" spans="1:26" s="3" customFormat="1" x14ac:dyDescent="0.2">
      <c r="A167" s="85"/>
      <c r="B167" s="13"/>
      <c r="C167" s="2"/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2"/>
    </row>
    <row r="168" spans="1:26" s="3" customFormat="1" x14ac:dyDescent="0.2">
      <c r="A168" s="85"/>
      <c r="B168" s="13"/>
      <c r="C168" s="79" t="s">
        <v>80</v>
      </c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2"/>
    </row>
    <row r="169" spans="1:26" s="3" customFormat="1" x14ac:dyDescent="0.2">
      <c r="A169" s="85"/>
      <c r="B169" s="13"/>
      <c r="C169" s="2"/>
      <c r="D169" s="2"/>
      <c r="E169" s="2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2"/>
      <c r="Y169" s="2"/>
      <c r="Z169" s="2"/>
    </row>
    <row r="170" spans="1:26" s="3" customFormat="1" x14ac:dyDescent="0.2">
      <c r="A170" s="130">
        <v>1</v>
      </c>
      <c r="B170" s="13"/>
      <c r="C170" s="80" t="str">
        <f>B12</f>
        <v>"Status Quo" Reference Case</v>
      </c>
      <c r="D170" s="2"/>
      <c r="E170" s="81">
        <f>E34</f>
        <v>0</v>
      </c>
      <c r="F170" s="81">
        <f>F34</f>
        <v>90.799785792223034</v>
      </c>
      <c r="G170" s="81">
        <f>G34</f>
        <v>170.35299831893289</v>
      </c>
      <c r="H170" s="81">
        <f>H34</f>
        <v>159.80293225942779</v>
      </c>
      <c r="I170" s="81">
        <f>I34</f>
        <v>149.90623828587528</v>
      </c>
      <c r="J170" s="81">
        <f t="shared" ref="J170:Y170" si="64">J34</f>
        <v>140.62245266275997</v>
      </c>
      <c r="K170" s="81">
        <f t="shared" si="64"/>
        <v>131.91361759861738</v>
      </c>
      <c r="L170" s="81">
        <f t="shared" si="64"/>
        <v>123.74412605137623</v>
      </c>
      <c r="M170" s="81">
        <f t="shared" si="64"/>
        <v>116.08057614500132</v>
      </c>
      <c r="N170" s="81">
        <f t="shared" si="64"/>
        <v>108.89163460220333</v>
      </c>
      <c r="O170" s="81">
        <f t="shared" si="64"/>
        <v>102.14790863484502</v>
      </c>
      <c r="P170" s="81">
        <f t="shared" si="64"/>
        <v>95.821825768253404</v>
      </c>
      <c r="Q170" s="81">
        <f t="shared" si="64"/>
        <v>89.887521108086446</v>
      </c>
      <c r="R170" s="81">
        <f t="shared" si="64"/>
        <v>84.320731588831606</v>
      </c>
      <c r="S170" s="81">
        <f t="shared" si="64"/>
        <v>79.09869677156064</v>
      </c>
      <c r="T170" s="81">
        <f t="shared" si="64"/>
        <v>74.20006578533993</v>
      </c>
      <c r="U170" s="81">
        <f t="shared" si="64"/>
        <v>69.604810031816982</v>
      </c>
      <c r="V170" s="81">
        <f t="shared" si="64"/>
        <v>65.294141296065376</v>
      </c>
      <c r="W170" s="81">
        <f t="shared" si="64"/>
        <v>61.250434928875535</v>
      </c>
      <c r="X170" s="81">
        <f t="shared" si="64"/>
        <v>57.457157786413646</v>
      </c>
      <c r="Y170" s="81">
        <f t="shared" si="64"/>
        <v>53.898800632621771</v>
      </c>
      <c r="Z170" s="81">
        <f t="shared" ref="Z170" si="65">Z34</f>
        <v>0</v>
      </c>
    </row>
    <row r="171" spans="1:26" s="3" customFormat="1" x14ac:dyDescent="0.2">
      <c r="A171" s="130">
        <v>2</v>
      </c>
      <c r="B171" s="13"/>
      <c r="C171" s="80" t="str">
        <f>B36</f>
        <v>Option 1: Provide In Meter Capabilities</v>
      </c>
      <c r="D171" s="2"/>
      <c r="E171" s="81">
        <f>E58</f>
        <v>1038.1638899040736</v>
      </c>
      <c r="F171" s="81">
        <f>F58</f>
        <v>763.2288586499692</v>
      </c>
      <c r="G171" s="81">
        <f>G58</f>
        <v>0</v>
      </c>
      <c r="H171" s="81">
        <f>H58</f>
        <v>0</v>
      </c>
      <c r="I171" s="81">
        <f>I58</f>
        <v>0</v>
      </c>
      <c r="J171" s="81">
        <f t="shared" ref="J171:Y171" si="66">J58</f>
        <v>0</v>
      </c>
      <c r="K171" s="81">
        <f t="shared" si="66"/>
        <v>0</v>
      </c>
      <c r="L171" s="81">
        <f t="shared" si="66"/>
        <v>0</v>
      </c>
      <c r="M171" s="81">
        <f t="shared" si="66"/>
        <v>0</v>
      </c>
      <c r="N171" s="81">
        <f t="shared" si="66"/>
        <v>0</v>
      </c>
      <c r="O171" s="81">
        <f t="shared" si="66"/>
        <v>0</v>
      </c>
      <c r="P171" s="81">
        <f t="shared" si="66"/>
        <v>0</v>
      </c>
      <c r="Q171" s="81">
        <f t="shared" si="66"/>
        <v>0</v>
      </c>
      <c r="R171" s="81">
        <f t="shared" si="66"/>
        <v>0</v>
      </c>
      <c r="S171" s="81">
        <f t="shared" si="66"/>
        <v>0</v>
      </c>
      <c r="T171" s="81">
        <f t="shared" si="66"/>
        <v>0</v>
      </c>
      <c r="U171" s="81">
        <f t="shared" si="66"/>
        <v>0</v>
      </c>
      <c r="V171" s="81">
        <f t="shared" si="66"/>
        <v>0</v>
      </c>
      <c r="W171" s="81">
        <f t="shared" si="66"/>
        <v>0</v>
      </c>
      <c r="X171" s="81">
        <f t="shared" si="66"/>
        <v>0</v>
      </c>
      <c r="Y171" s="81">
        <f t="shared" si="66"/>
        <v>0</v>
      </c>
      <c r="Z171" s="81">
        <f t="shared" ref="Z171" si="67">Z58</f>
        <v>0</v>
      </c>
    </row>
    <row r="172" spans="1:26" s="3" customFormat="1" x14ac:dyDescent="0.2">
      <c r="A172" s="130">
        <v>3</v>
      </c>
      <c r="B172" s="13"/>
      <c r="C172" s="80" t="str">
        <f>B60</f>
        <v>Option 2: Provide In Meter Capabilities with Near Real-time Centralised Analytics</v>
      </c>
      <c r="D172" s="2"/>
      <c r="E172" s="81">
        <f>E82</f>
        <v>4646.1272381593308</v>
      </c>
      <c r="F172" s="81">
        <f>F82</f>
        <v>3414.798344073924</v>
      </c>
      <c r="G172" s="81">
        <f>G82</f>
        <v>0</v>
      </c>
      <c r="H172" s="81">
        <f>H82</f>
        <v>0</v>
      </c>
      <c r="I172" s="81">
        <f>I82</f>
        <v>0</v>
      </c>
      <c r="J172" s="81">
        <f t="shared" ref="J172:Y172" si="68">J82</f>
        <v>0</v>
      </c>
      <c r="K172" s="81">
        <f t="shared" si="68"/>
        <v>0</v>
      </c>
      <c r="L172" s="81">
        <f t="shared" si="68"/>
        <v>0</v>
      </c>
      <c r="M172" s="81">
        <f t="shared" si="68"/>
        <v>0</v>
      </c>
      <c r="N172" s="81">
        <f t="shared" si="68"/>
        <v>0</v>
      </c>
      <c r="O172" s="81">
        <f t="shared" si="68"/>
        <v>0</v>
      </c>
      <c r="P172" s="81">
        <f t="shared" si="68"/>
        <v>0</v>
      </c>
      <c r="Q172" s="81">
        <f t="shared" si="68"/>
        <v>0</v>
      </c>
      <c r="R172" s="81">
        <f t="shared" si="68"/>
        <v>0</v>
      </c>
      <c r="S172" s="81">
        <f t="shared" si="68"/>
        <v>0</v>
      </c>
      <c r="T172" s="81">
        <f t="shared" si="68"/>
        <v>0</v>
      </c>
      <c r="U172" s="81">
        <f t="shared" si="68"/>
        <v>0</v>
      </c>
      <c r="V172" s="81">
        <f t="shared" si="68"/>
        <v>0</v>
      </c>
      <c r="W172" s="81">
        <f t="shared" si="68"/>
        <v>0</v>
      </c>
      <c r="X172" s="81">
        <f t="shared" si="68"/>
        <v>0</v>
      </c>
      <c r="Y172" s="81">
        <f t="shared" si="68"/>
        <v>0</v>
      </c>
      <c r="Z172" s="81">
        <f t="shared" ref="Z172" si="69">Z82</f>
        <v>0</v>
      </c>
    </row>
    <row r="173" spans="1:26" s="3" customFormat="1" x14ac:dyDescent="0.2">
      <c r="A173" s="131">
        <v>4</v>
      </c>
      <c r="B173" s="13"/>
      <c r="C173" s="80" t="str">
        <f>B84</f>
        <v xml:space="preserve">Option 3: </v>
      </c>
      <c r="D173" s="2"/>
      <c r="E173" s="81">
        <f>E106</f>
        <v>0</v>
      </c>
      <c r="F173" s="81">
        <f>F106</f>
        <v>0</v>
      </c>
      <c r="G173" s="81">
        <f>G106</f>
        <v>0</v>
      </c>
      <c r="H173" s="81">
        <f>H106</f>
        <v>0</v>
      </c>
      <c r="I173" s="81">
        <f>I106</f>
        <v>0</v>
      </c>
      <c r="J173" s="81">
        <f t="shared" ref="J173:Y173" si="70">J106</f>
        <v>0</v>
      </c>
      <c r="K173" s="81">
        <f t="shared" si="70"/>
        <v>0</v>
      </c>
      <c r="L173" s="81">
        <f t="shared" si="70"/>
        <v>0</v>
      </c>
      <c r="M173" s="81">
        <f t="shared" si="70"/>
        <v>0</v>
      </c>
      <c r="N173" s="81">
        <f t="shared" si="70"/>
        <v>0</v>
      </c>
      <c r="O173" s="81">
        <f t="shared" si="70"/>
        <v>0</v>
      </c>
      <c r="P173" s="81">
        <f t="shared" si="70"/>
        <v>0</v>
      </c>
      <c r="Q173" s="81">
        <f t="shared" si="70"/>
        <v>0</v>
      </c>
      <c r="R173" s="81">
        <f t="shared" si="70"/>
        <v>0</v>
      </c>
      <c r="S173" s="81">
        <f t="shared" si="70"/>
        <v>0</v>
      </c>
      <c r="T173" s="81">
        <f t="shared" si="70"/>
        <v>0</v>
      </c>
      <c r="U173" s="81">
        <f t="shared" si="70"/>
        <v>0</v>
      </c>
      <c r="V173" s="81">
        <f t="shared" si="70"/>
        <v>0</v>
      </c>
      <c r="W173" s="81">
        <f t="shared" si="70"/>
        <v>0</v>
      </c>
      <c r="X173" s="81">
        <f t="shared" si="70"/>
        <v>0</v>
      </c>
      <c r="Y173" s="81">
        <f t="shared" si="70"/>
        <v>0</v>
      </c>
      <c r="Z173" s="81">
        <f t="shared" ref="Z173" si="71">Z106</f>
        <v>0</v>
      </c>
    </row>
    <row r="174" spans="1:26" s="3" customFormat="1" x14ac:dyDescent="0.2">
      <c r="A174" s="131">
        <v>5</v>
      </c>
      <c r="B174" s="13"/>
      <c r="C174" s="80" t="str">
        <f>B108</f>
        <v xml:space="preserve">Option 4: </v>
      </c>
      <c r="D174" s="2"/>
      <c r="E174" s="81">
        <f>E130</f>
        <v>0</v>
      </c>
      <c r="F174" s="81">
        <f>F130</f>
        <v>0</v>
      </c>
      <c r="G174" s="81">
        <f>G130</f>
        <v>0</v>
      </c>
      <c r="H174" s="81">
        <f>H130</f>
        <v>0</v>
      </c>
      <c r="I174" s="81">
        <f>I130</f>
        <v>0</v>
      </c>
      <c r="J174" s="81">
        <f t="shared" ref="J174:Y174" si="72">J130</f>
        <v>0</v>
      </c>
      <c r="K174" s="81">
        <f t="shared" si="72"/>
        <v>0</v>
      </c>
      <c r="L174" s="81">
        <f t="shared" si="72"/>
        <v>0</v>
      </c>
      <c r="M174" s="81">
        <f t="shared" si="72"/>
        <v>0</v>
      </c>
      <c r="N174" s="81">
        <f t="shared" si="72"/>
        <v>0</v>
      </c>
      <c r="O174" s="81">
        <f t="shared" si="72"/>
        <v>0</v>
      </c>
      <c r="P174" s="81">
        <f t="shared" si="72"/>
        <v>0</v>
      </c>
      <c r="Q174" s="81">
        <f t="shared" si="72"/>
        <v>0</v>
      </c>
      <c r="R174" s="81">
        <f t="shared" si="72"/>
        <v>0</v>
      </c>
      <c r="S174" s="81">
        <f t="shared" si="72"/>
        <v>0</v>
      </c>
      <c r="T174" s="81">
        <f t="shared" si="72"/>
        <v>0</v>
      </c>
      <c r="U174" s="81">
        <f t="shared" si="72"/>
        <v>0</v>
      </c>
      <c r="V174" s="81">
        <f t="shared" si="72"/>
        <v>0</v>
      </c>
      <c r="W174" s="81">
        <f t="shared" si="72"/>
        <v>0</v>
      </c>
      <c r="X174" s="81">
        <f t="shared" si="72"/>
        <v>0</v>
      </c>
      <c r="Y174" s="81">
        <f t="shared" si="72"/>
        <v>0</v>
      </c>
      <c r="Z174" s="81">
        <f t="shared" ref="Z174" si="73">Z130</f>
        <v>0</v>
      </c>
    </row>
    <row r="175" spans="1:26" s="3" customFormat="1" x14ac:dyDescent="0.2">
      <c r="A175" s="131">
        <v>6</v>
      </c>
      <c r="B175" s="13"/>
      <c r="C175" s="80" t="str">
        <f>B132</f>
        <v xml:space="preserve">Option 5: </v>
      </c>
      <c r="D175" s="2"/>
      <c r="E175" s="81">
        <f>E154</f>
        <v>0</v>
      </c>
      <c r="F175" s="81">
        <f>F154</f>
        <v>0</v>
      </c>
      <c r="G175" s="81">
        <f>G154</f>
        <v>0</v>
      </c>
      <c r="H175" s="81">
        <f>H154</f>
        <v>0</v>
      </c>
      <c r="I175" s="81">
        <f>I154</f>
        <v>0</v>
      </c>
      <c r="J175" s="81">
        <f t="shared" ref="J175:Y175" si="74">J154</f>
        <v>0</v>
      </c>
      <c r="K175" s="81">
        <f t="shared" si="74"/>
        <v>0</v>
      </c>
      <c r="L175" s="81">
        <f t="shared" si="74"/>
        <v>0</v>
      </c>
      <c r="M175" s="81">
        <f t="shared" si="74"/>
        <v>0</v>
      </c>
      <c r="N175" s="81">
        <f t="shared" si="74"/>
        <v>0</v>
      </c>
      <c r="O175" s="81">
        <f t="shared" si="74"/>
        <v>0</v>
      </c>
      <c r="P175" s="81">
        <f t="shared" si="74"/>
        <v>0</v>
      </c>
      <c r="Q175" s="81">
        <f t="shared" si="74"/>
        <v>0</v>
      </c>
      <c r="R175" s="81">
        <f t="shared" si="74"/>
        <v>0</v>
      </c>
      <c r="S175" s="81">
        <f t="shared" si="74"/>
        <v>0</v>
      </c>
      <c r="T175" s="81">
        <f t="shared" si="74"/>
        <v>0</v>
      </c>
      <c r="U175" s="81">
        <f t="shared" si="74"/>
        <v>0</v>
      </c>
      <c r="V175" s="81">
        <f t="shared" si="74"/>
        <v>0</v>
      </c>
      <c r="W175" s="81">
        <f t="shared" si="74"/>
        <v>0</v>
      </c>
      <c r="X175" s="81">
        <f t="shared" si="74"/>
        <v>0</v>
      </c>
      <c r="Y175" s="81">
        <f t="shared" si="74"/>
        <v>0</v>
      </c>
      <c r="Z175" s="81">
        <f t="shared" ref="Z175" si="75">Z154</f>
        <v>0</v>
      </c>
    </row>
    <row r="176" spans="1:26" s="291" customFormat="1" x14ac:dyDescent="0.2">
      <c r="A176" s="85"/>
      <c r="B176" s="107"/>
      <c r="C176" s="80"/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80"/>
    </row>
    <row r="177" spans="1:26" s="291" customFormat="1" x14ac:dyDescent="0.2">
      <c r="A177" s="85"/>
      <c r="B177" s="107"/>
      <c r="C177" s="79" t="s">
        <v>242</v>
      </c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80"/>
    </row>
    <row r="178" spans="1:26" s="291" customFormat="1" x14ac:dyDescent="0.2">
      <c r="A178" s="85"/>
      <c r="B178" s="107"/>
      <c r="C178" s="80"/>
      <c r="D178" s="80"/>
      <c r="E178" s="80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80"/>
      <c r="Y178" s="80"/>
      <c r="Z178" s="80"/>
    </row>
    <row r="179" spans="1:26" s="291" customFormat="1" x14ac:dyDescent="0.2">
      <c r="A179" s="130">
        <v>1</v>
      </c>
      <c r="B179" s="107"/>
      <c r="C179" s="80" t="str">
        <f>B12</f>
        <v>"Status Quo" Reference Case</v>
      </c>
      <c r="D179" s="80"/>
      <c r="E179" s="302">
        <f>E14</f>
        <v>0</v>
      </c>
      <c r="F179" s="302">
        <f t="shared" ref="F179:Y179" si="76">F14</f>
        <v>137.60466560277465</v>
      </c>
      <c r="G179" s="302">
        <f t="shared" si="76"/>
        <v>280.548392230937</v>
      </c>
      <c r="H179" s="302">
        <f t="shared" si="76"/>
        <v>285.99103104021719</v>
      </c>
      <c r="I179" s="302">
        <f t="shared" si="76"/>
        <v>291.53925704239737</v>
      </c>
      <c r="J179" s="302">
        <f t="shared" si="76"/>
        <v>297.19511862901987</v>
      </c>
      <c r="K179" s="302">
        <f t="shared" si="76"/>
        <v>302.96070393042282</v>
      </c>
      <c r="L179" s="302">
        <f t="shared" si="76"/>
        <v>308.83814158667303</v>
      </c>
      <c r="M179" s="302">
        <f t="shared" si="76"/>
        <v>314.82960153345454</v>
      </c>
      <c r="N179" s="302">
        <f t="shared" si="76"/>
        <v>320.93729580320354</v>
      </c>
      <c r="O179" s="302">
        <f t="shared" si="76"/>
        <v>327.16347934178572</v>
      </c>
      <c r="P179" s="302">
        <f t="shared" si="76"/>
        <v>333.51045084101634</v>
      </c>
      <c r="Q179" s="302">
        <f t="shared" si="76"/>
        <v>339.98055358733205</v>
      </c>
      <c r="R179" s="302">
        <f t="shared" si="76"/>
        <v>346.57617632692626</v>
      </c>
      <c r="S179" s="302">
        <f t="shared" si="76"/>
        <v>353.29975414766864</v>
      </c>
      <c r="T179" s="302">
        <f t="shared" si="76"/>
        <v>360.15376937813335</v>
      </c>
      <c r="U179" s="302">
        <f t="shared" si="76"/>
        <v>367.14075250406916</v>
      </c>
      <c r="V179" s="302">
        <f t="shared" si="76"/>
        <v>374.26328310264807</v>
      </c>
      <c r="W179" s="302">
        <f t="shared" si="76"/>
        <v>381.52399079483945</v>
      </c>
      <c r="X179" s="302">
        <f t="shared" si="76"/>
        <v>388.92555621625934</v>
      </c>
      <c r="Y179" s="302">
        <f t="shared" si="76"/>
        <v>396.4707120068548</v>
      </c>
      <c r="Z179" s="302">
        <f t="shared" ref="Z179" si="77">Z14</f>
        <v>0</v>
      </c>
    </row>
    <row r="180" spans="1:26" s="291" customFormat="1" x14ac:dyDescent="0.2">
      <c r="A180" s="130">
        <v>2</v>
      </c>
      <c r="B180" s="107"/>
      <c r="C180" s="80" t="str">
        <f>B36</f>
        <v>Option 1: Provide In Meter Capabilities</v>
      </c>
      <c r="D180" s="80"/>
      <c r="E180" s="302">
        <f>E38</f>
        <v>1447.7867148036742</v>
      </c>
      <c r="F180" s="302">
        <f t="shared" ref="F180:Y180" si="78">F38</f>
        <v>1156.6530797026574</v>
      </c>
      <c r="G180" s="302">
        <f t="shared" si="78"/>
        <v>0</v>
      </c>
      <c r="H180" s="302">
        <f t="shared" si="78"/>
        <v>0</v>
      </c>
      <c r="I180" s="302">
        <f t="shared" si="78"/>
        <v>0</v>
      </c>
      <c r="J180" s="302">
        <f t="shared" si="78"/>
        <v>0</v>
      </c>
      <c r="K180" s="302">
        <f t="shared" si="78"/>
        <v>0</v>
      </c>
      <c r="L180" s="302">
        <f t="shared" si="78"/>
        <v>0</v>
      </c>
      <c r="M180" s="302">
        <f t="shared" si="78"/>
        <v>0</v>
      </c>
      <c r="N180" s="302">
        <f t="shared" si="78"/>
        <v>0</v>
      </c>
      <c r="O180" s="302">
        <f t="shared" si="78"/>
        <v>0</v>
      </c>
      <c r="P180" s="302">
        <f t="shared" si="78"/>
        <v>0</v>
      </c>
      <c r="Q180" s="302">
        <f t="shared" si="78"/>
        <v>0</v>
      </c>
      <c r="R180" s="302">
        <f t="shared" si="78"/>
        <v>0</v>
      </c>
      <c r="S180" s="302">
        <f t="shared" si="78"/>
        <v>0</v>
      </c>
      <c r="T180" s="302">
        <f t="shared" si="78"/>
        <v>0</v>
      </c>
      <c r="U180" s="302">
        <f t="shared" si="78"/>
        <v>0</v>
      </c>
      <c r="V180" s="302">
        <f t="shared" si="78"/>
        <v>0</v>
      </c>
      <c r="W180" s="302">
        <f t="shared" si="78"/>
        <v>0</v>
      </c>
      <c r="X180" s="302">
        <f t="shared" si="78"/>
        <v>0</v>
      </c>
      <c r="Y180" s="302">
        <f t="shared" si="78"/>
        <v>0</v>
      </c>
      <c r="Z180" s="302">
        <f t="shared" ref="Z180" si="79">Z38</f>
        <v>0</v>
      </c>
    </row>
    <row r="181" spans="1:26" s="291" customFormat="1" x14ac:dyDescent="0.2">
      <c r="A181" s="130">
        <v>3</v>
      </c>
      <c r="B181" s="107"/>
      <c r="C181" s="80" t="str">
        <f>B60</f>
        <v>Option 2: Provide In Meter Capabilities with Near Real-time Centralised Analytics</v>
      </c>
      <c r="D181" s="80"/>
      <c r="E181" s="302">
        <f>E62</f>
        <v>6479.3250430971002</v>
      </c>
      <c r="F181" s="302">
        <f t="shared" ref="F181:Y181" si="80">F62</f>
        <v>5175.0362639891491</v>
      </c>
      <c r="G181" s="302">
        <f t="shared" si="80"/>
        <v>0</v>
      </c>
      <c r="H181" s="302">
        <f t="shared" si="80"/>
        <v>0</v>
      </c>
      <c r="I181" s="302">
        <f t="shared" si="80"/>
        <v>0</v>
      </c>
      <c r="J181" s="302">
        <f t="shared" si="80"/>
        <v>0</v>
      </c>
      <c r="K181" s="302">
        <f t="shared" si="80"/>
        <v>0</v>
      </c>
      <c r="L181" s="302">
        <f t="shared" si="80"/>
        <v>0</v>
      </c>
      <c r="M181" s="302">
        <f t="shared" si="80"/>
        <v>0</v>
      </c>
      <c r="N181" s="302">
        <f t="shared" si="80"/>
        <v>0</v>
      </c>
      <c r="O181" s="302">
        <f t="shared" si="80"/>
        <v>0</v>
      </c>
      <c r="P181" s="302">
        <f t="shared" si="80"/>
        <v>0</v>
      </c>
      <c r="Q181" s="302">
        <f t="shared" si="80"/>
        <v>0</v>
      </c>
      <c r="R181" s="302">
        <f t="shared" si="80"/>
        <v>0</v>
      </c>
      <c r="S181" s="302">
        <f t="shared" si="80"/>
        <v>0</v>
      </c>
      <c r="T181" s="302">
        <f t="shared" si="80"/>
        <v>0</v>
      </c>
      <c r="U181" s="302">
        <f t="shared" si="80"/>
        <v>0</v>
      </c>
      <c r="V181" s="302">
        <f t="shared" si="80"/>
        <v>0</v>
      </c>
      <c r="W181" s="302">
        <f t="shared" si="80"/>
        <v>0</v>
      </c>
      <c r="X181" s="302">
        <f t="shared" si="80"/>
        <v>0</v>
      </c>
      <c r="Y181" s="302">
        <f t="shared" si="80"/>
        <v>0</v>
      </c>
      <c r="Z181" s="302">
        <f t="shared" ref="Z181" si="81">Z62</f>
        <v>0</v>
      </c>
    </row>
    <row r="182" spans="1:26" s="291" customFormat="1" x14ac:dyDescent="0.2">
      <c r="A182" s="131">
        <v>4</v>
      </c>
      <c r="B182" s="107"/>
      <c r="C182" s="80" t="str">
        <f>B84</f>
        <v xml:space="preserve">Option 3: </v>
      </c>
      <c r="D182" s="80"/>
      <c r="E182" s="302">
        <f>E86</f>
        <v>0</v>
      </c>
      <c r="F182" s="302">
        <f t="shared" ref="F182:Y182" si="82">F86</f>
        <v>0</v>
      </c>
      <c r="G182" s="302">
        <f t="shared" si="82"/>
        <v>0</v>
      </c>
      <c r="H182" s="302">
        <f t="shared" si="82"/>
        <v>0</v>
      </c>
      <c r="I182" s="302">
        <f t="shared" si="82"/>
        <v>0</v>
      </c>
      <c r="J182" s="302">
        <f t="shared" si="82"/>
        <v>0</v>
      </c>
      <c r="K182" s="302">
        <f t="shared" si="82"/>
        <v>0</v>
      </c>
      <c r="L182" s="302">
        <f t="shared" si="82"/>
        <v>0</v>
      </c>
      <c r="M182" s="302">
        <f t="shared" si="82"/>
        <v>0</v>
      </c>
      <c r="N182" s="302">
        <f t="shared" si="82"/>
        <v>0</v>
      </c>
      <c r="O182" s="302">
        <f t="shared" si="82"/>
        <v>0</v>
      </c>
      <c r="P182" s="302">
        <f t="shared" si="82"/>
        <v>0</v>
      </c>
      <c r="Q182" s="302">
        <f t="shared" si="82"/>
        <v>0</v>
      </c>
      <c r="R182" s="302">
        <f t="shared" si="82"/>
        <v>0</v>
      </c>
      <c r="S182" s="302">
        <f t="shared" si="82"/>
        <v>0</v>
      </c>
      <c r="T182" s="302">
        <f t="shared" si="82"/>
        <v>0</v>
      </c>
      <c r="U182" s="302">
        <f t="shared" si="82"/>
        <v>0</v>
      </c>
      <c r="V182" s="302">
        <f t="shared" si="82"/>
        <v>0</v>
      </c>
      <c r="W182" s="302">
        <f t="shared" si="82"/>
        <v>0</v>
      </c>
      <c r="X182" s="302">
        <f t="shared" si="82"/>
        <v>0</v>
      </c>
      <c r="Y182" s="302">
        <f t="shared" si="82"/>
        <v>0</v>
      </c>
      <c r="Z182" s="302">
        <f t="shared" ref="Z182" si="83">Z86</f>
        <v>0</v>
      </c>
    </row>
    <row r="183" spans="1:26" s="291" customFormat="1" x14ac:dyDescent="0.2">
      <c r="A183" s="131">
        <v>5</v>
      </c>
      <c r="B183" s="107"/>
      <c r="C183" s="80" t="str">
        <f>B108</f>
        <v xml:space="preserve">Option 4: </v>
      </c>
      <c r="D183" s="80"/>
      <c r="E183" s="302">
        <f>E110</f>
        <v>0</v>
      </c>
      <c r="F183" s="302">
        <f t="shared" ref="F183:Y183" si="84">F110</f>
        <v>0</v>
      </c>
      <c r="G183" s="302">
        <f t="shared" si="84"/>
        <v>0</v>
      </c>
      <c r="H183" s="302">
        <f t="shared" si="84"/>
        <v>0</v>
      </c>
      <c r="I183" s="302">
        <f t="shared" si="84"/>
        <v>0</v>
      </c>
      <c r="J183" s="302">
        <f t="shared" si="84"/>
        <v>0</v>
      </c>
      <c r="K183" s="302">
        <f t="shared" si="84"/>
        <v>0</v>
      </c>
      <c r="L183" s="302">
        <f t="shared" si="84"/>
        <v>0</v>
      </c>
      <c r="M183" s="302">
        <f t="shared" si="84"/>
        <v>0</v>
      </c>
      <c r="N183" s="302">
        <f t="shared" si="84"/>
        <v>0</v>
      </c>
      <c r="O183" s="302">
        <f t="shared" si="84"/>
        <v>0</v>
      </c>
      <c r="P183" s="302">
        <f t="shared" si="84"/>
        <v>0</v>
      </c>
      <c r="Q183" s="302">
        <f t="shared" si="84"/>
        <v>0</v>
      </c>
      <c r="R183" s="302">
        <f t="shared" si="84"/>
        <v>0</v>
      </c>
      <c r="S183" s="302">
        <f t="shared" si="84"/>
        <v>0</v>
      </c>
      <c r="T183" s="302">
        <f t="shared" si="84"/>
        <v>0</v>
      </c>
      <c r="U183" s="302">
        <f t="shared" si="84"/>
        <v>0</v>
      </c>
      <c r="V183" s="302">
        <f t="shared" si="84"/>
        <v>0</v>
      </c>
      <c r="W183" s="302">
        <f t="shared" si="84"/>
        <v>0</v>
      </c>
      <c r="X183" s="302">
        <f t="shared" si="84"/>
        <v>0</v>
      </c>
      <c r="Y183" s="302">
        <f t="shared" si="84"/>
        <v>0</v>
      </c>
      <c r="Z183" s="302">
        <f t="shared" ref="Z183" si="85">Z110</f>
        <v>0</v>
      </c>
    </row>
    <row r="184" spans="1:26" s="291" customFormat="1" x14ac:dyDescent="0.2">
      <c r="A184" s="131">
        <v>6</v>
      </c>
      <c r="B184" s="107"/>
      <c r="C184" s="80" t="str">
        <f>B132</f>
        <v xml:space="preserve">Option 5: </v>
      </c>
      <c r="D184" s="80"/>
      <c r="E184" s="302">
        <f>E134</f>
        <v>0</v>
      </c>
      <c r="F184" s="302">
        <f t="shared" ref="F184:Y184" si="86">F134</f>
        <v>0</v>
      </c>
      <c r="G184" s="302">
        <f t="shared" si="86"/>
        <v>0</v>
      </c>
      <c r="H184" s="302">
        <f t="shared" si="86"/>
        <v>0</v>
      </c>
      <c r="I184" s="302">
        <f t="shared" si="86"/>
        <v>0</v>
      </c>
      <c r="J184" s="302">
        <f t="shared" si="86"/>
        <v>0</v>
      </c>
      <c r="K184" s="302">
        <f t="shared" si="86"/>
        <v>0</v>
      </c>
      <c r="L184" s="302">
        <f t="shared" si="86"/>
        <v>0</v>
      </c>
      <c r="M184" s="302">
        <f t="shared" si="86"/>
        <v>0</v>
      </c>
      <c r="N184" s="302">
        <f t="shared" si="86"/>
        <v>0</v>
      </c>
      <c r="O184" s="302">
        <f t="shared" si="86"/>
        <v>0</v>
      </c>
      <c r="P184" s="302">
        <f t="shared" si="86"/>
        <v>0</v>
      </c>
      <c r="Q184" s="302">
        <f t="shared" si="86"/>
        <v>0</v>
      </c>
      <c r="R184" s="302">
        <f t="shared" si="86"/>
        <v>0</v>
      </c>
      <c r="S184" s="302">
        <f t="shared" si="86"/>
        <v>0</v>
      </c>
      <c r="T184" s="302">
        <f t="shared" si="86"/>
        <v>0</v>
      </c>
      <c r="U184" s="302">
        <f t="shared" si="86"/>
        <v>0</v>
      </c>
      <c r="V184" s="302">
        <f t="shared" si="86"/>
        <v>0</v>
      </c>
      <c r="W184" s="302">
        <f t="shared" si="86"/>
        <v>0</v>
      </c>
      <c r="X184" s="302">
        <f t="shared" si="86"/>
        <v>0</v>
      </c>
      <c r="Y184" s="302">
        <f t="shared" si="86"/>
        <v>0</v>
      </c>
      <c r="Z184" s="302">
        <f t="shared" ref="Z184" si="87">Z134</f>
        <v>0</v>
      </c>
    </row>
    <row r="185" spans="1:26" s="3" customFormat="1" x14ac:dyDescent="0.2">
      <c r="A185" s="85"/>
      <c r="B185" s="13"/>
      <c r="C185" s="11"/>
      <c r="D185" s="11"/>
      <c r="E185" s="11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11"/>
      <c r="Y185" s="11"/>
      <c r="Z185" s="11"/>
    </row>
    <row r="186" spans="1:26" s="3" customFormat="1" x14ac:dyDescent="0.2">
      <c r="A186" s="2"/>
      <c r="B186" s="378" t="str">
        <f>"Differential Analysis between Status Quo and "&amp;+D222</f>
        <v>Differential Analysis between Status Quo and Option 1: Provide In Meter Capabilities</v>
      </c>
      <c r="C186" s="369"/>
      <c r="D186" s="369"/>
      <c r="E186" s="369"/>
      <c r="F186" s="379"/>
      <c r="G186" s="379"/>
      <c r="H186" s="379"/>
      <c r="I186" s="379"/>
      <c r="J186" s="379"/>
      <c r="K186" s="379"/>
      <c r="L186" s="379"/>
      <c r="M186" s="379"/>
      <c r="N186" s="379"/>
      <c r="O186" s="379"/>
      <c r="P186" s="379"/>
      <c r="Q186" s="379"/>
      <c r="R186" s="379"/>
      <c r="S186" s="379"/>
      <c r="T186" s="379"/>
      <c r="U186" s="379"/>
      <c r="V186" s="379"/>
      <c r="W186" s="379"/>
      <c r="X186" s="380"/>
      <c r="Y186" s="380"/>
      <c r="Z186" s="380"/>
    </row>
    <row r="187" spans="1:26" s="3" customFormat="1" x14ac:dyDescent="0.2">
      <c r="A187" s="2"/>
      <c r="B187" s="107"/>
      <c r="C187" s="2"/>
      <c r="D187" s="2"/>
      <c r="E187" s="2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2"/>
      <c r="Y187" s="2"/>
      <c r="Z187" s="2"/>
    </row>
    <row r="188" spans="1:26" s="3" customFormat="1" x14ac:dyDescent="0.2">
      <c r="A188" s="2"/>
      <c r="B188" s="13"/>
      <c r="C188" s="80" t="str">
        <f>"Cashflow - "&amp;+'User Input'!E15</f>
        <v>Cashflow - Status Quo</v>
      </c>
      <c r="D188" s="2"/>
      <c r="E188" s="145">
        <f>-E161</f>
        <v>0</v>
      </c>
      <c r="F188" s="145">
        <f t="shared" ref="F188:U188" si="88">-F161</f>
        <v>-137.60466560277465</v>
      </c>
      <c r="G188" s="145">
        <f t="shared" si="88"/>
        <v>-280.548392230937</v>
      </c>
      <c r="H188" s="145">
        <f t="shared" si="88"/>
        <v>-285.99103104021719</v>
      </c>
      <c r="I188" s="145">
        <f t="shared" si="88"/>
        <v>-291.53925704239737</v>
      </c>
      <c r="J188" s="145">
        <f t="shared" si="88"/>
        <v>-297.19511862901987</v>
      </c>
      <c r="K188" s="145">
        <f t="shared" si="88"/>
        <v>-302.96070393042282</v>
      </c>
      <c r="L188" s="145">
        <f t="shared" si="88"/>
        <v>-308.83814158667303</v>
      </c>
      <c r="M188" s="145">
        <f t="shared" si="88"/>
        <v>-314.82960153345454</v>
      </c>
      <c r="N188" s="145">
        <f t="shared" si="88"/>
        <v>-320.93729580320354</v>
      </c>
      <c r="O188" s="145">
        <f t="shared" si="88"/>
        <v>-327.16347934178572</v>
      </c>
      <c r="P188" s="145">
        <f t="shared" si="88"/>
        <v>-333.51045084101634</v>
      </c>
      <c r="Q188" s="145">
        <f t="shared" si="88"/>
        <v>-339.98055358733205</v>
      </c>
      <c r="R188" s="145">
        <f t="shared" si="88"/>
        <v>-346.57617632692626</v>
      </c>
      <c r="S188" s="145">
        <f t="shared" si="88"/>
        <v>-353.29975414766864</v>
      </c>
      <c r="T188" s="145">
        <f t="shared" si="88"/>
        <v>-360.15376937813335</v>
      </c>
      <c r="U188" s="145">
        <f t="shared" si="88"/>
        <v>-367.14075250406916</v>
      </c>
      <c r="V188" s="145">
        <f>-V161</f>
        <v>-374.26328310264807</v>
      </c>
      <c r="W188" s="145">
        <f>-W161</f>
        <v>-381.52399079483945</v>
      </c>
      <c r="X188" s="145">
        <f>-X161</f>
        <v>-388.92555621625934</v>
      </c>
      <c r="Y188" s="145">
        <f>-Y161</f>
        <v>-396.4707120068548</v>
      </c>
      <c r="Z188" s="145">
        <f t="shared" ref="Z188" si="89">-Z161</f>
        <v>0</v>
      </c>
    </row>
    <row r="189" spans="1:26" s="3" customFormat="1" x14ac:dyDescent="0.2">
      <c r="A189" s="2"/>
      <c r="B189" s="13"/>
      <c r="C189" s="80" t="str">
        <f>"Cashflow - "&amp;+D222</f>
        <v>Cashflow - Option 1: Provide In Meter Capabilities</v>
      </c>
      <c r="D189" s="2"/>
      <c r="E189" s="145">
        <f>-E240-E242</f>
        <v>-1447.7867148036742</v>
      </c>
      <c r="F189" s="145">
        <f>-F240+E240-F242</f>
        <v>-1156.6530797026574</v>
      </c>
      <c r="G189" s="145">
        <f t="shared" ref="G189:Y189" si="90">-G240+F240-G242</f>
        <v>0</v>
      </c>
      <c r="H189" s="145">
        <f t="shared" si="90"/>
        <v>0</v>
      </c>
      <c r="I189" s="145">
        <f t="shared" si="90"/>
        <v>0</v>
      </c>
      <c r="J189" s="145">
        <f t="shared" si="90"/>
        <v>0</v>
      </c>
      <c r="K189" s="145">
        <f t="shared" si="90"/>
        <v>0</v>
      </c>
      <c r="L189" s="145">
        <f t="shared" si="90"/>
        <v>0</v>
      </c>
      <c r="M189" s="145">
        <f t="shared" si="90"/>
        <v>0</v>
      </c>
      <c r="N189" s="145">
        <f t="shared" si="90"/>
        <v>0</v>
      </c>
      <c r="O189" s="145">
        <f t="shared" si="90"/>
        <v>0</v>
      </c>
      <c r="P189" s="145">
        <f t="shared" si="90"/>
        <v>0</v>
      </c>
      <c r="Q189" s="145">
        <f t="shared" si="90"/>
        <v>0</v>
      </c>
      <c r="R189" s="145">
        <f t="shared" si="90"/>
        <v>0</v>
      </c>
      <c r="S189" s="145">
        <f t="shared" si="90"/>
        <v>0</v>
      </c>
      <c r="T189" s="145">
        <f t="shared" si="90"/>
        <v>0</v>
      </c>
      <c r="U189" s="145">
        <f t="shared" si="90"/>
        <v>0</v>
      </c>
      <c r="V189" s="145">
        <f t="shared" si="90"/>
        <v>0</v>
      </c>
      <c r="W189" s="145">
        <f t="shared" si="90"/>
        <v>0</v>
      </c>
      <c r="X189" s="145">
        <f t="shared" si="90"/>
        <v>0</v>
      </c>
      <c r="Y189" s="145">
        <f t="shared" si="90"/>
        <v>0</v>
      </c>
      <c r="Z189" s="145">
        <f t="shared" ref="Z189" si="91">-Z240+Y240-Z242</f>
        <v>0</v>
      </c>
    </row>
    <row r="190" spans="1:26" s="3" customFormat="1" x14ac:dyDescent="0.2">
      <c r="A190" s="2"/>
      <c r="B190" s="13"/>
      <c r="C190" s="80" t="s">
        <v>82</v>
      </c>
      <c r="D190" s="2"/>
      <c r="E190" s="82">
        <f t="shared" ref="E190:Y190" si="92">E189-E188</f>
        <v>-1447.7867148036742</v>
      </c>
      <c r="F190" s="82">
        <f t="shared" si="92"/>
        <v>-1019.0484140998827</v>
      </c>
      <c r="G190" s="82">
        <f t="shared" si="92"/>
        <v>280.548392230937</v>
      </c>
      <c r="H190" s="82">
        <f t="shared" si="92"/>
        <v>285.99103104021719</v>
      </c>
      <c r="I190" s="82">
        <f t="shared" si="92"/>
        <v>291.53925704239737</v>
      </c>
      <c r="J190" s="82">
        <f t="shared" si="92"/>
        <v>297.19511862901987</v>
      </c>
      <c r="K190" s="82">
        <f t="shared" si="92"/>
        <v>302.96070393042282</v>
      </c>
      <c r="L190" s="82">
        <f t="shared" si="92"/>
        <v>308.83814158667303</v>
      </c>
      <c r="M190" s="82">
        <f t="shared" si="92"/>
        <v>314.82960153345454</v>
      </c>
      <c r="N190" s="82">
        <f t="shared" si="92"/>
        <v>320.93729580320354</v>
      </c>
      <c r="O190" s="82">
        <f t="shared" si="92"/>
        <v>327.16347934178572</v>
      </c>
      <c r="P190" s="82">
        <f t="shared" si="92"/>
        <v>333.51045084101634</v>
      </c>
      <c r="Q190" s="82">
        <f t="shared" si="92"/>
        <v>339.98055358733205</v>
      </c>
      <c r="R190" s="82">
        <f t="shared" si="92"/>
        <v>346.57617632692626</v>
      </c>
      <c r="S190" s="82">
        <f t="shared" si="92"/>
        <v>353.29975414766864</v>
      </c>
      <c r="T190" s="82">
        <f t="shared" si="92"/>
        <v>360.15376937813335</v>
      </c>
      <c r="U190" s="82">
        <f t="shared" si="92"/>
        <v>367.14075250406916</v>
      </c>
      <c r="V190" s="82">
        <f t="shared" si="92"/>
        <v>374.26328310264807</v>
      </c>
      <c r="W190" s="82">
        <f t="shared" si="92"/>
        <v>381.52399079483945</v>
      </c>
      <c r="X190" s="82">
        <f t="shared" si="92"/>
        <v>388.92555621625934</v>
      </c>
      <c r="Y190" s="82">
        <f t="shared" si="92"/>
        <v>396.4707120068548</v>
      </c>
      <c r="Z190" s="82">
        <f t="shared" ref="Z190" si="93">Z189-Z188</f>
        <v>0</v>
      </c>
    </row>
    <row r="191" spans="1:26" s="3" customFormat="1" x14ac:dyDescent="0.2">
      <c r="A191" s="2"/>
      <c r="B191" s="13"/>
      <c r="C191" s="80"/>
      <c r="D191" s="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s="3" customFormat="1" x14ac:dyDescent="0.2">
      <c r="A192" s="2"/>
      <c r="B192" s="13"/>
      <c r="C192" s="80" t="str">
        <f>"PV - "&amp;+'User Input'!E15</f>
        <v>PV - Status Quo</v>
      </c>
      <c r="D192" s="2"/>
      <c r="E192" s="81">
        <f>-E170</f>
        <v>0</v>
      </c>
      <c r="F192" s="81">
        <f t="shared" ref="F192:K192" si="94">-F170</f>
        <v>-90.799785792223034</v>
      </c>
      <c r="G192" s="81">
        <f t="shared" si="94"/>
        <v>-170.35299831893289</v>
      </c>
      <c r="H192" s="81">
        <f t="shared" si="94"/>
        <v>-159.80293225942779</v>
      </c>
      <c r="I192" s="81">
        <f t="shared" si="94"/>
        <v>-149.90623828587528</v>
      </c>
      <c r="J192" s="81">
        <f t="shared" si="94"/>
        <v>-140.62245266275997</v>
      </c>
      <c r="K192" s="81">
        <f t="shared" si="94"/>
        <v>-131.91361759861738</v>
      </c>
      <c r="L192" s="81">
        <f t="shared" ref="L192:Y192" si="95">-L170</f>
        <v>-123.74412605137623</v>
      </c>
      <c r="M192" s="81">
        <f t="shared" si="95"/>
        <v>-116.08057614500132</v>
      </c>
      <c r="N192" s="81">
        <f t="shared" si="95"/>
        <v>-108.89163460220333</v>
      </c>
      <c r="O192" s="81">
        <f t="shared" si="95"/>
        <v>-102.14790863484502</v>
      </c>
      <c r="P192" s="81">
        <f t="shared" si="95"/>
        <v>-95.821825768253404</v>
      </c>
      <c r="Q192" s="81">
        <f t="shared" si="95"/>
        <v>-89.887521108086446</v>
      </c>
      <c r="R192" s="81">
        <f t="shared" si="95"/>
        <v>-84.320731588831606</v>
      </c>
      <c r="S192" s="81">
        <f t="shared" si="95"/>
        <v>-79.09869677156064</v>
      </c>
      <c r="T192" s="81">
        <f t="shared" si="95"/>
        <v>-74.20006578533993</v>
      </c>
      <c r="U192" s="81">
        <f t="shared" si="95"/>
        <v>-69.604810031816982</v>
      </c>
      <c r="V192" s="81">
        <f t="shared" si="95"/>
        <v>-65.294141296065376</v>
      </c>
      <c r="W192" s="81">
        <f t="shared" si="95"/>
        <v>-61.250434928875535</v>
      </c>
      <c r="X192" s="81">
        <f t="shared" si="95"/>
        <v>-57.457157786413646</v>
      </c>
      <c r="Y192" s="81">
        <f t="shared" si="95"/>
        <v>-53.898800632621771</v>
      </c>
      <c r="Z192" s="81">
        <f t="shared" ref="Z192" si="96">-Z170</f>
        <v>0</v>
      </c>
    </row>
    <row r="193" spans="1:26" s="3" customFormat="1" x14ac:dyDescent="0.2">
      <c r="A193" s="2"/>
      <c r="B193" s="13"/>
      <c r="C193" s="80" t="str">
        <f>"PV - "&amp;+D222</f>
        <v>PV - Option 1: Provide In Meter Capabilities</v>
      </c>
      <c r="D193" s="2"/>
      <c r="E193" s="81">
        <f t="shared" ref="E193:Y193" si="97">-E231</f>
        <v>-1038.1638899040736</v>
      </c>
      <c r="F193" s="81">
        <f t="shared" si="97"/>
        <v>-763.2288586499692</v>
      </c>
      <c r="G193" s="81">
        <f t="shared" si="97"/>
        <v>0</v>
      </c>
      <c r="H193" s="81">
        <f t="shared" si="97"/>
        <v>0</v>
      </c>
      <c r="I193" s="81">
        <f t="shared" si="97"/>
        <v>0</v>
      </c>
      <c r="J193" s="81">
        <f t="shared" si="97"/>
        <v>0</v>
      </c>
      <c r="K193" s="81">
        <f t="shared" si="97"/>
        <v>0</v>
      </c>
      <c r="L193" s="81">
        <f t="shared" si="97"/>
        <v>0</v>
      </c>
      <c r="M193" s="81">
        <f t="shared" si="97"/>
        <v>0</v>
      </c>
      <c r="N193" s="81">
        <f t="shared" si="97"/>
        <v>0</v>
      </c>
      <c r="O193" s="81">
        <f t="shared" si="97"/>
        <v>0</v>
      </c>
      <c r="P193" s="81">
        <f t="shared" si="97"/>
        <v>0</v>
      </c>
      <c r="Q193" s="81">
        <f t="shared" si="97"/>
        <v>0</v>
      </c>
      <c r="R193" s="81">
        <f t="shared" si="97"/>
        <v>0</v>
      </c>
      <c r="S193" s="81">
        <f t="shared" si="97"/>
        <v>0</v>
      </c>
      <c r="T193" s="81">
        <f t="shared" si="97"/>
        <v>0</v>
      </c>
      <c r="U193" s="81">
        <f t="shared" si="97"/>
        <v>0</v>
      </c>
      <c r="V193" s="81">
        <f t="shared" si="97"/>
        <v>0</v>
      </c>
      <c r="W193" s="81">
        <f t="shared" si="97"/>
        <v>0</v>
      </c>
      <c r="X193" s="81">
        <f t="shared" si="97"/>
        <v>0</v>
      </c>
      <c r="Y193" s="81">
        <f t="shared" si="97"/>
        <v>0</v>
      </c>
      <c r="Z193" s="81">
        <f t="shared" ref="Z193" si="98">-Z231</f>
        <v>0</v>
      </c>
    </row>
    <row r="194" spans="1:26" s="3" customFormat="1" x14ac:dyDescent="0.2">
      <c r="A194" s="2"/>
      <c r="B194" s="13"/>
      <c r="C194" s="80" t="s">
        <v>89</v>
      </c>
      <c r="D194" s="2"/>
      <c r="E194" s="82">
        <f t="shared" ref="E194:Y194" si="99">E193-E192</f>
        <v>-1038.1638899040736</v>
      </c>
      <c r="F194" s="82">
        <f t="shared" si="99"/>
        <v>-672.42907285774618</v>
      </c>
      <c r="G194" s="82">
        <f t="shared" si="99"/>
        <v>170.35299831893289</v>
      </c>
      <c r="H194" s="82">
        <f t="shared" si="99"/>
        <v>159.80293225942779</v>
      </c>
      <c r="I194" s="82">
        <f t="shared" si="99"/>
        <v>149.90623828587528</v>
      </c>
      <c r="J194" s="82">
        <f t="shared" si="99"/>
        <v>140.62245266275997</v>
      </c>
      <c r="K194" s="82">
        <f t="shared" si="99"/>
        <v>131.91361759861738</v>
      </c>
      <c r="L194" s="82">
        <f t="shared" si="99"/>
        <v>123.74412605137623</v>
      </c>
      <c r="M194" s="82">
        <f t="shared" si="99"/>
        <v>116.08057614500132</v>
      </c>
      <c r="N194" s="82">
        <f t="shared" si="99"/>
        <v>108.89163460220333</v>
      </c>
      <c r="O194" s="82">
        <f t="shared" si="99"/>
        <v>102.14790863484502</v>
      </c>
      <c r="P194" s="82">
        <f t="shared" si="99"/>
        <v>95.821825768253404</v>
      </c>
      <c r="Q194" s="82">
        <f t="shared" si="99"/>
        <v>89.887521108086446</v>
      </c>
      <c r="R194" s="82">
        <f t="shared" si="99"/>
        <v>84.320731588831606</v>
      </c>
      <c r="S194" s="82">
        <f t="shared" si="99"/>
        <v>79.09869677156064</v>
      </c>
      <c r="T194" s="82">
        <f t="shared" si="99"/>
        <v>74.20006578533993</v>
      </c>
      <c r="U194" s="82">
        <f t="shared" si="99"/>
        <v>69.604810031816982</v>
      </c>
      <c r="V194" s="82">
        <f t="shared" si="99"/>
        <v>65.294141296065376</v>
      </c>
      <c r="W194" s="82">
        <f t="shared" si="99"/>
        <v>61.250434928875535</v>
      </c>
      <c r="X194" s="82">
        <f t="shared" si="99"/>
        <v>57.457157786413646</v>
      </c>
      <c r="Y194" s="82">
        <f t="shared" si="99"/>
        <v>53.898800632621771</v>
      </c>
      <c r="Z194" s="82">
        <f t="shared" ref="Z194" si="100">Z193-Z192</f>
        <v>0</v>
      </c>
    </row>
    <row r="195" spans="1:26" s="3" customFormat="1" x14ac:dyDescent="0.2">
      <c r="A195" s="2"/>
      <c r="B195" s="13"/>
      <c r="C195" s="104" t="s">
        <v>102</v>
      </c>
      <c r="D195" s="104"/>
      <c r="E195" s="105">
        <f>E194</f>
        <v>-1038.1638899040736</v>
      </c>
      <c r="F195" s="105">
        <f>E195+F194</f>
        <v>-1710.5929627618198</v>
      </c>
      <c r="G195" s="105">
        <f t="shared" ref="G195:Y195" si="101">F195+G194</f>
        <v>-1540.239964442887</v>
      </c>
      <c r="H195" s="105">
        <f t="shared" si="101"/>
        <v>-1380.4370321834592</v>
      </c>
      <c r="I195" s="105">
        <f t="shared" si="101"/>
        <v>-1230.5307938975839</v>
      </c>
      <c r="J195" s="105">
        <f t="shared" si="101"/>
        <v>-1089.9083412348239</v>
      </c>
      <c r="K195" s="105">
        <f t="shared" si="101"/>
        <v>-957.99472363620646</v>
      </c>
      <c r="L195" s="105">
        <f t="shared" si="101"/>
        <v>-834.25059758483019</v>
      </c>
      <c r="M195" s="105">
        <f t="shared" si="101"/>
        <v>-718.17002143982882</v>
      </c>
      <c r="N195" s="105">
        <f t="shared" si="101"/>
        <v>-609.27838683762548</v>
      </c>
      <c r="O195" s="105">
        <f t="shared" si="101"/>
        <v>-507.13047820278047</v>
      </c>
      <c r="P195" s="105">
        <f t="shared" si="101"/>
        <v>-411.30865243452706</v>
      </c>
      <c r="Q195" s="105">
        <f t="shared" si="101"/>
        <v>-321.42113132644062</v>
      </c>
      <c r="R195" s="105">
        <f t="shared" si="101"/>
        <v>-237.100399737609</v>
      </c>
      <c r="S195" s="105">
        <f t="shared" si="101"/>
        <v>-158.00170296604836</v>
      </c>
      <c r="T195" s="105">
        <f t="shared" si="101"/>
        <v>-83.801637180708425</v>
      </c>
      <c r="U195" s="105">
        <f t="shared" si="101"/>
        <v>-14.196827148891444</v>
      </c>
      <c r="V195" s="105">
        <f t="shared" si="101"/>
        <v>51.097314147173932</v>
      </c>
      <c r="W195" s="105">
        <f t="shared" si="101"/>
        <v>112.34774907604947</v>
      </c>
      <c r="X195" s="105">
        <f t="shared" si="101"/>
        <v>169.8049068624631</v>
      </c>
      <c r="Y195" s="105">
        <f t="shared" si="101"/>
        <v>223.70370749508487</v>
      </c>
      <c r="Z195" s="105">
        <f t="shared" ref="Z195" si="102">Y195+Z194</f>
        <v>223.70370749508487</v>
      </c>
    </row>
    <row r="196" spans="1:26" s="3" customFormat="1" x14ac:dyDescent="0.2">
      <c r="A196" s="2"/>
      <c r="B196" s="13"/>
      <c r="C196" s="80"/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s="3" customFormat="1" ht="13.5" thickBot="1" x14ac:dyDescent="0.25">
      <c r="A197" s="2"/>
      <c r="B197" s="13"/>
      <c r="C197" s="79" t="s">
        <v>90</v>
      </c>
      <c r="D197" s="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s="3" customFormat="1" ht="13.5" thickBot="1" x14ac:dyDescent="0.25">
      <c r="A198" s="2"/>
      <c r="B198" s="13"/>
      <c r="C198" s="80" t="s">
        <v>83</v>
      </c>
      <c r="D198" s="67">
        <f>SUM(E194:Y194)</f>
        <v>223.70370749508487</v>
      </c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s="3" customFormat="1" ht="13.5" thickBot="1" x14ac:dyDescent="0.25">
      <c r="A199" s="2"/>
      <c r="B199" s="13"/>
      <c r="C199" s="80" t="s">
        <v>20</v>
      </c>
      <c r="D199" s="86">
        <f>IRR(E190:Y190)</f>
        <v>0.1024565352132738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2"/>
    </row>
    <row r="200" spans="1:26" s="3" customFormat="1" ht="13.5" thickBot="1" x14ac:dyDescent="0.25">
      <c r="A200" s="2"/>
      <c r="B200" s="13"/>
      <c r="C200" s="80" t="s">
        <v>87</v>
      </c>
      <c r="D200" s="106">
        <f>COUNTIF(E195:Y195,"&lt;0")</f>
        <v>17</v>
      </c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2"/>
    </row>
    <row r="201" spans="1:26" s="3" customFormat="1" x14ac:dyDescent="0.2">
      <c r="A201" s="2"/>
      <c r="B201" s="107"/>
      <c r="C201" s="2"/>
      <c r="D201" s="2"/>
      <c r="E201" s="2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2"/>
      <c r="Y201" s="2"/>
      <c r="Z201" s="2"/>
    </row>
    <row r="202" spans="1:26" s="3" customFormat="1" x14ac:dyDescent="0.2">
      <c r="A202" s="2"/>
      <c r="B202" s="378" t="s">
        <v>91</v>
      </c>
      <c r="C202" s="382"/>
      <c r="D202" s="382"/>
      <c r="E202" s="382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2"/>
      <c r="Y202" s="382"/>
      <c r="Z202" s="382"/>
    </row>
    <row r="203" spans="1:26" s="3" customFormat="1" x14ac:dyDescent="0.2">
      <c r="A203" s="2"/>
      <c r="B203" s="107"/>
      <c r="C203" s="2"/>
      <c r="D203" s="2"/>
      <c r="E203" s="2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2"/>
    </row>
    <row r="204" spans="1:26" s="3" customFormat="1" ht="102" x14ac:dyDescent="0.2">
      <c r="A204" s="2"/>
      <c r="B204" s="107"/>
      <c r="C204" s="385"/>
      <c r="D204" s="386" t="str">
        <f>B12</f>
        <v>"Status Quo" Reference Case</v>
      </c>
      <c r="E204" s="386" t="str">
        <f>B36</f>
        <v>Option 1: Provide In Meter Capabilities</v>
      </c>
      <c r="F204" s="387" t="str">
        <f>B60</f>
        <v>Option 2: Provide In Meter Capabilities with Near Real-time Centralised Analytics</v>
      </c>
      <c r="G204" s="388" t="str">
        <f>B84</f>
        <v xml:space="preserve">Option 3: </v>
      </c>
      <c r="H204" s="388" t="str">
        <f>B108</f>
        <v xml:space="preserve">Option 4: </v>
      </c>
      <c r="I204" s="388" t="str">
        <f>B132</f>
        <v xml:space="preserve">Option 5: </v>
      </c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2"/>
    </row>
    <row r="205" spans="1:26" s="3" customFormat="1" x14ac:dyDescent="0.2">
      <c r="A205" s="2"/>
      <c r="B205" s="107"/>
      <c r="C205" s="112"/>
      <c r="D205" s="120"/>
      <c r="E205" s="120"/>
      <c r="F205" s="124"/>
      <c r="G205" s="113"/>
      <c r="H205" s="113"/>
      <c r="I205" s="11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2"/>
    </row>
    <row r="206" spans="1:26" s="3" customFormat="1" x14ac:dyDescent="0.2">
      <c r="A206" s="2"/>
      <c r="B206" s="107"/>
      <c r="C206" s="114" t="str">
        <f>C14</f>
        <v>Capital Costs</v>
      </c>
      <c r="D206" s="121">
        <f>D14</f>
        <v>6509.4526856466355</v>
      </c>
      <c r="E206" s="121">
        <f>D38</f>
        <v>2604.4397945063315</v>
      </c>
      <c r="F206" s="125">
        <f>D62</f>
        <v>11654.361307086248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2"/>
    </row>
    <row r="207" spans="1:26" s="3" customFormat="1" x14ac:dyDescent="0.2">
      <c r="A207" s="2"/>
      <c r="B207" s="107"/>
      <c r="C207" s="114" t="str">
        <f>C15</f>
        <v>Maintenance Costs</v>
      </c>
      <c r="D207" s="121">
        <f>D15</f>
        <v>0</v>
      </c>
      <c r="E207" s="121">
        <f>D39</f>
        <v>0</v>
      </c>
      <c r="F207" s="125">
        <f>D63</f>
        <v>0</v>
      </c>
      <c r="G207" s="115">
        <f>D87</f>
        <v>0</v>
      </c>
      <c r="H207" s="115">
        <f>D111</f>
        <v>0</v>
      </c>
      <c r="I207" s="115">
        <f>D135</f>
        <v>0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2"/>
    </row>
    <row r="208" spans="1:26" s="3" customFormat="1" x14ac:dyDescent="0.2">
      <c r="A208" s="2"/>
      <c r="B208" s="107"/>
      <c r="C208" s="114" t="str">
        <f>C16</f>
        <v>Negative Impact on Revenue (STPIS)</v>
      </c>
      <c r="D208" s="121">
        <f>SUM(D17:D20)</f>
        <v>0</v>
      </c>
      <c r="E208" s="121">
        <f>SUM(D41:D44)</f>
        <v>0</v>
      </c>
      <c r="F208" s="125">
        <f>SUM(D65:D68)</f>
        <v>0</v>
      </c>
      <c r="G208" s="115">
        <f>SUM(D89:D92)</f>
        <v>0</v>
      </c>
      <c r="H208" s="115">
        <f>SUM(D113:D116)</f>
        <v>0</v>
      </c>
      <c r="I208" s="115">
        <f>SUM(D137:D140)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2"/>
    </row>
    <row r="209" spans="1:26" s="3" customFormat="1" x14ac:dyDescent="0.2">
      <c r="A209" s="2"/>
      <c r="B209" s="107"/>
      <c r="C209" s="114" t="str">
        <f t="shared" ref="C209:D215" si="103">C21</f>
        <v>Network Outage Costs</v>
      </c>
      <c r="D209" s="121">
        <f t="shared" si="103"/>
        <v>0</v>
      </c>
      <c r="E209" s="121">
        <f t="shared" ref="E209:E215" si="104">D45</f>
        <v>0</v>
      </c>
      <c r="F209" s="125">
        <f t="shared" ref="F209:F215" si="105">D69</f>
        <v>0</v>
      </c>
      <c r="G209" s="115">
        <f t="shared" ref="G209:G215" si="106">D93</f>
        <v>0</v>
      </c>
      <c r="H209" s="115">
        <f t="shared" ref="H209:H215" si="107">D117</f>
        <v>0</v>
      </c>
      <c r="I209" s="115">
        <f t="shared" ref="I209:I215" si="108">D141</f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2"/>
    </row>
    <row r="210" spans="1:26" s="3" customFormat="1" x14ac:dyDescent="0.2">
      <c r="A210" s="2"/>
      <c r="B210" s="107"/>
      <c r="C210" s="114" t="str">
        <f t="shared" si="103"/>
        <v>Loss of F Factor Benefit</v>
      </c>
      <c r="D210" s="121">
        <f t="shared" si="103"/>
        <v>0</v>
      </c>
      <c r="E210" s="121">
        <f t="shared" si="104"/>
        <v>0</v>
      </c>
      <c r="F210" s="125">
        <f t="shared" si="105"/>
        <v>0</v>
      </c>
      <c r="G210" s="115">
        <f t="shared" si="106"/>
        <v>0</v>
      </c>
      <c r="H210" s="115">
        <f t="shared" si="107"/>
        <v>0</v>
      </c>
      <c r="I210" s="115">
        <f t="shared" si="108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2"/>
    </row>
    <row r="211" spans="1:26" s="3" customFormat="1" x14ac:dyDescent="0.2">
      <c r="A211" s="2"/>
      <c r="B211" s="107"/>
      <c r="C211" s="114" t="str">
        <f t="shared" si="103"/>
        <v>Cost 1</v>
      </c>
      <c r="D211" s="121">
        <f t="shared" si="103"/>
        <v>0</v>
      </c>
      <c r="E211" s="121">
        <f t="shared" si="104"/>
        <v>0</v>
      </c>
      <c r="F211" s="125">
        <f t="shared" si="105"/>
        <v>0</v>
      </c>
      <c r="G211" s="115">
        <f t="shared" si="106"/>
        <v>0</v>
      </c>
      <c r="H211" s="115">
        <f t="shared" si="107"/>
        <v>0</v>
      </c>
      <c r="I211" s="115">
        <f t="shared" si="108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2"/>
    </row>
    <row r="212" spans="1:26" s="3" customFormat="1" x14ac:dyDescent="0.2">
      <c r="A212" s="2"/>
      <c r="B212" s="107"/>
      <c r="C212" s="114" t="str">
        <f t="shared" si="103"/>
        <v>Cost 2</v>
      </c>
      <c r="D212" s="121">
        <f t="shared" si="103"/>
        <v>0</v>
      </c>
      <c r="E212" s="121">
        <f t="shared" si="104"/>
        <v>0</v>
      </c>
      <c r="F212" s="125">
        <f t="shared" si="105"/>
        <v>0</v>
      </c>
      <c r="G212" s="115">
        <f t="shared" si="106"/>
        <v>0</v>
      </c>
      <c r="H212" s="115">
        <f t="shared" si="107"/>
        <v>0</v>
      </c>
      <c r="I212" s="115">
        <f t="shared" si="108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2"/>
    </row>
    <row r="213" spans="1:26" s="3" customFormat="1" x14ac:dyDescent="0.2">
      <c r="A213" s="2"/>
      <c r="B213" s="107"/>
      <c r="C213" s="114" t="str">
        <f t="shared" si="103"/>
        <v>Cost 3</v>
      </c>
      <c r="D213" s="121">
        <f t="shared" si="103"/>
        <v>0</v>
      </c>
      <c r="E213" s="121">
        <f t="shared" si="104"/>
        <v>0</v>
      </c>
      <c r="F213" s="125">
        <f t="shared" si="105"/>
        <v>0</v>
      </c>
      <c r="G213" s="115">
        <f t="shared" si="106"/>
        <v>0</v>
      </c>
      <c r="H213" s="115">
        <f t="shared" si="107"/>
        <v>0</v>
      </c>
      <c r="I213" s="115">
        <f t="shared" si="108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2"/>
    </row>
    <row r="214" spans="1:26" s="3" customFormat="1" x14ac:dyDescent="0.2">
      <c r="A214" s="2"/>
      <c r="B214" s="107"/>
      <c r="C214" s="114" t="str">
        <f t="shared" si="103"/>
        <v>Cost 4</v>
      </c>
      <c r="D214" s="121">
        <f t="shared" si="103"/>
        <v>0</v>
      </c>
      <c r="E214" s="121">
        <f t="shared" si="104"/>
        <v>0</v>
      </c>
      <c r="F214" s="125">
        <f t="shared" si="105"/>
        <v>0</v>
      </c>
      <c r="G214" s="115">
        <f t="shared" si="106"/>
        <v>0</v>
      </c>
      <c r="H214" s="115">
        <f t="shared" si="107"/>
        <v>0</v>
      </c>
      <c r="I214" s="115">
        <f t="shared" si="108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2"/>
    </row>
    <row r="215" spans="1:26" s="3" customFormat="1" x14ac:dyDescent="0.2">
      <c r="A215" s="2"/>
      <c r="B215" s="107"/>
      <c r="C215" s="114" t="str">
        <f t="shared" si="103"/>
        <v>Cost 5</v>
      </c>
      <c r="D215" s="121">
        <f t="shared" si="103"/>
        <v>0</v>
      </c>
      <c r="E215" s="121">
        <f t="shared" si="104"/>
        <v>0</v>
      </c>
      <c r="F215" s="125">
        <f t="shared" si="105"/>
        <v>0</v>
      </c>
      <c r="G215" s="115">
        <f t="shared" si="106"/>
        <v>0</v>
      </c>
      <c r="H215" s="115">
        <f t="shared" si="107"/>
        <v>0</v>
      </c>
      <c r="I215" s="115">
        <f t="shared" si="108"/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2"/>
    </row>
    <row r="216" spans="1:26" s="3" customFormat="1" x14ac:dyDescent="0.2">
      <c r="A216" s="2"/>
      <c r="B216" s="107"/>
      <c r="C216" s="114" t="s">
        <v>292</v>
      </c>
      <c r="D216" s="121">
        <f>SUM(D28:D32)</f>
        <v>0</v>
      </c>
      <c r="E216" s="121">
        <f>SUM(D52:D56)</f>
        <v>0</v>
      </c>
      <c r="F216" s="125">
        <f>SUM(D76:D80)</f>
        <v>0</v>
      </c>
      <c r="G216" s="115">
        <f>SUM(D100:D104)</f>
        <v>0</v>
      </c>
      <c r="H216" s="115">
        <f>SUM(D124:D128)</f>
        <v>0</v>
      </c>
      <c r="I216" s="115">
        <f>SUM(D148:D152)</f>
        <v>0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2"/>
    </row>
    <row r="217" spans="1:26" s="3" customFormat="1" x14ac:dyDescent="0.2">
      <c r="A217" s="2"/>
      <c r="B217" s="107"/>
      <c r="C217" s="116" t="str">
        <f>C33</f>
        <v>Total Costs</v>
      </c>
      <c r="D217" s="122">
        <f t="shared" ref="D217:I217" si="109">SUM(D206:D216)</f>
        <v>6509.4526856466355</v>
      </c>
      <c r="E217" s="122">
        <f t="shared" si="109"/>
        <v>2604.4397945063315</v>
      </c>
      <c r="F217" s="122">
        <f t="shared" si="109"/>
        <v>11654.361307086248</v>
      </c>
      <c r="G217" s="122">
        <f t="shared" si="109"/>
        <v>0</v>
      </c>
      <c r="H217" s="122">
        <f t="shared" si="109"/>
        <v>0</v>
      </c>
      <c r="I217" s="122">
        <f t="shared" si="109"/>
        <v>0</v>
      </c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2"/>
    </row>
    <row r="218" spans="1:26" s="3" customFormat="1" x14ac:dyDescent="0.2">
      <c r="A218" s="2"/>
      <c r="B218" s="107"/>
      <c r="C218" s="114"/>
      <c r="D218" s="112"/>
      <c r="E218" s="112"/>
      <c r="F218" s="127"/>
      <c r="G218" s="117"/>
      <c r="H218" s="117"/>
      <c r="I218" s="1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2"/>
    </row>
    <row r="219" spans="1:26" s="3" customFormat="1" x14ac:dyDescent="0.2">
      <c r="A219" s="2"/>
      <c r="B219" s="107"/>
      <c r="C219" s="118" t="s">
        <v>80</v>
      </c>
      <c r="D219" s="123">
        <f>IF(D217=0," ",D34)</f>
        <v>2025.0964560491279</v>
      </c>
      <c r="E219" s="123">
        <f>IF(E217=0," ",D58)</f>
        <v>1801.3927485540428</v>
      </c>
      <c r="F219" s="128">
        <f>IF(F217=0," ",D82)</f>
        <v>8060.9255822332543</v>
      </c>
      <c r="G219" s="119" t="str">
        <f>IF(G217=0," ",D106)</f>
        <v xml:space="preserve"> </v>
      </c>
      <c r="H219" s="119" t="str">
        <f>IF(H217=0," ",D130)</f>
        <v xml:space="preserve"> </v>
      </c>
      <c r="I219" s="119" t="str">
        <f>IF(I217=0," ",D154)</f>
        <v xml:space="preserve"> 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2"/>
    </row>
    <row r="220" spans="1:26" s="3" customFormat="1" x14ac:dyDescent="0.2">
      <c r="A220" s="2"/>
      <c r="B220" s="107"/>
      <c r="C220" s="80"/>
      <c r="D220" s="2"/>
      <c r="E220" s="2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2"/>
    </row>
    <row r="221" spans="1:26" s="3" customFormat="1" x14ac:dyDescent="0.2">
      <c r="A221" s="2"/>
      <c r="B221" s="107"/>
      <c r="C221" s="6" t="s">
        <v>92</v>
      </c>
      <c r="D221" s="83">
        <f>MIN(D219:I219)</f>
        <v>1801.3927485540428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2"/>
    </row>
    <row r="222" spans="1:26" s="3" customFormat="1" x14ac:dyDescent="0.2">
      <c r="A222" s="2"/>
      <c r="B222" s="107"/>
      <c r="C222" s="6" t="s">
        <v>81</v>
      </c>
      <c r="D222" s="6" t="str">
        <f>IF(D221=D219,D204,IF(D221=E219,E204,IF(D221=F219,F204,IF(D221=G219,G204,IF(D221=H219,H204,IF(D221=I219,I204,"N/A"))))))</f>
        <v>Option 1: Provide In Meter Capabilities</v>
      </c>
      <c r="E222" s="2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2"/>
      <c r="Y222" s="2"/>
      <c r="Z222" s="2"/>
    </row>
    <row r="223" spans="1:26" s="3" customFormat="1" ht="13.5" thickBot="1" x14ac:dyDescent="0.25">
      <c r="A223" s="2"/>
      <c r="B223" s="108"/>
      <c r="C223" s="109"/>
      <c r="D223" s="109"/>
      <c r="E223" s="109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09"/>
      <c r="Y223" s="109"/>
      <c r="Z223" s="109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  <c r="Z224" s="2"/>
    </row>
    <row r="225" spans="1:26" s="3" customFormat="1" x14ac:dyDescent="0.2">
      <c r="A225" s="2"/>
      <c r="B225" s="80"/>
      <c r="C225" s="2"/>
      <c r="D225" s="2"/>
      <c r="E225" s="2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2"/>
      <c r="Y225" s="2"/>
      <c r="Z225" s="2"/>
    </row>
    <row r="226" spans="1:26" s="3" customFormat="1" x14ac:dyDescent="0.2">
      <c r="A226" s="2"/>
      <c r="B226" s="187" t="s">
        <v>103</v>
      </c>
      <c r="C226" s="188"/>
      <c r="D226" s="188"/>
      <c r="E226" s="188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8"/>
      <c r="Y226" s="188"/>
      <c r="Z226" s="188"/>
    </row>
    <row r="227" spans="1:26" s="3" customFormat="1" x14ac:dyDescent="0.2">
      <c r="A227" s="2"/>
      <c r="B227" s="191"/>
      <c r="C227" s="85"/>
      <c r="D227" s="85"/>
      <c r="E227" s="85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85"/>
      <c r="Y227" s="85"/>
      <c r="Z227" s="85"/>
    </row>
    <row r="228" spans="1:26" s="3" customFormat="1" x14ac:dyDescent="0.2">
      <c r="A228" s="2"/>
      <c r="B228" s="191"/>
      <c r="C228" s="85"/>
      <c r="D228" s="80"/>
      <c r="E228" s="80">
        <f t="shared" ref="E228:O228" si="110">E5</f>
        <v>2019</v>
      </c>
      <c r="F228" s="80">
        <f t="shared" si="110"/>
        <v>2020</v>
      </c>
      <c r="G228" s="80">
        <f t="shared" si="110"/>
        <v>2021</v>
      </c>
      <c r="H228" s="80">
        <f t="shared" si="110"/>
        <v>2022</v>
      </c>
      <c r="I228" s="80">
        <f t="shared" si="110"/>
        <v>2023</v>
      </c>
      <c r="J228" s="80">
        <f t="shared" si="110"/>
        <v>2024</v>
      </c>
      <c r="K228" s="80">
        <f t="shared" si="110"/>
        <v>2025</v>
      </c>
      <c r="L228" s="80">
        <f t="shared" si="110"/>
        <v>2026</v>
      </c>
      <c r="M228" s="80">
        <f t="shared" si="110"/>
        <v>2027</v>
      </c>
      <c r="N228" s="80">
        <f t="shared" si="110"/>
        <v>2028</v>
      </c>
      <c r="O228" s="80">
        <f t="shared" si="110"/>
        <v>2029</v>
      </c>
      <c r="P228" s="185"/>
      <c r="Q228" s="185"/>
      <c r="R228" s="185"/>
      <c r="S228" s="185"/>
      <c r="T228" s="185"/>
      <c r="U228" s="185"/>
      <c r="V228" s="185"/>
      <c r="W228" s="185"/>
      <c r="X228" s="80"/>
      <c r="Y228" s="80"/>
      <c r="Z228" s="80"/>
    </row>
    <row r="229" spans="1:26" s="291" customFormat="1" x14ac:dyDescent="0.2">
      <c r="A229" s="80"/>
      <c r="B229" s="191"/>
      <c r="C229" s="85"/>
      <c r="D229" s="407" t="s">
        <v>243</v>
      </c>
      <c r="E229" s="145">
        <f>E237</f>
        <v>0</v>
      </c>
      <c r="F229" s="145">
        <f t="shared" ref="F229:Y229" si="111">F237</f>
        <v>11.930324507760561</v>
      </c>
      <c r="G229" s="145">
        <f t="shared" si="111"/>
        <v>36.253870114182796</v>
      </c>
      <c r="H229" s="145">
        <f t="shared" si="111"/>
        <v>61.049292505369628</v>
      </c>
      <c r="I229" s="145">
        <f t="shared" si="111"/>
        <v>86.325746090945472</v>
      </c>
      <c r="J229" s="145">
        <f t="shared" si="111"/>
        <v>112.0925628760815</v>
      </c>
      <c r="K229" s="145">
        <f t="shared" si="111"/>
        <v>138.35925590684917</v>
      </c>
      <c r="L229" s="145">
        <f t="shared" si="111"/>
        <v>165.13552278241372</v>
      </c>
      <c r="M229" s="145">
        <f t="shared" si="111"/>
        <v>192.43124923536422</v>
      </c>
      <c r="N229" s="145">
        <f t="shared" si="111"/>
        <v>220.25651278150195</v>
      </c>
      <c r="O229" s="145">
        <f t="shared" si="111"/>
        <v>248.62158644043478</v>
      </c>
      <c r="P229" s="145">
        <f t="shared" si="111"/>
        <v>277.53694252835089</v>
      </c>
      <c r="Q229" s="145">
        <f t="shared" si="111"/>
        <v>307.01325652437259</v>
      </c>
      <c r="R229" s="145">
        <f t="shared" si="111"/>
        <v>337.06141101191707</v>
      </c>
      <c r="S229" s="145">
        <f t="shared" si="111"/>
        <v>367.69249969651997</v>
      </c>
      <c r="T229" s="145">
        <f t="shared" si="111"/>
        <v>398.91783150160416</v>
      </c>
      <c r="U229" s="145">
        <f t="shared" si="111"/>
        <v>430.74893474370697</v>
      </c>
      <c r="V229" s="145">
        <f t="shared" si="111"/>
        <v>463.19756138870662</v>
      </c>
      <c r="W229" s="145">
        <f t="shared" si="111"/>
        <v>496.27569139061922</v>
      </c>
      <c r="X229" s="145">
        <f t="shared" si="111"/>
        <v>529.99553711456895</v>
      </c>
      <c r="Y229" s="145">
        <f t="shared" si="111"/>
        <v>564.36954784556326</v>
      </c>
      <c r="Z229" s="145">
        <f t="shared" ref="Z229" si="112">Z237</f>
        <v>564.36954784556326</v>
      </c>
    </row>
    <row r="230" spans="1:26" s="291" customFormat="1" x14ac:dyDescent="0.2">
      <c r="A230" s="80"/>
      <c r="B230" s="426"/>
      <c r="C230" s="85"/>
      <c r="D230" s="186" t="str">
        <f>D222&amp;+" annual costs"</f>
        <v>Option 1: Provide In Meter Capabilities annual costs</v>
      </c>
      <c r="E230" s="145">
        <f>E243</f>
        <v>125.52310817347855</v>
      </c>
      <c r="F230" s="145">
        <f t="shared" ref="F230:Y230" si="113">F243</f>
        <v>225.80493018369893</v>
      </c>
      <c r="G230" s="145">
        <f t="shared" si="113"/>
        <v>225.80493018369893</v>
      </c>
      <c r="H230" s="145">
        <f t="shared" si="113"/>
        <v>225.80493018369893</v>
      </c>
      <c r="I230" s="145">
        <f t="shared" si="113"/>
        <v>225.80493018369893</v>
      </c>
      <c r="J230" s="145">
        <f t="shared" si="113"/>
        <v>225.80493018369893</v>
      </c>
      <c r="K230" s="145">
        <f t="shared" si="113"/>
        <v>225.80493018369893</v>
      </c>
      <c r="L230" s="145">
        <f t="shared" si="113"/>
        <v>225.80493018369893</v>
      </c>
      <c r="M230" s="145">
        <f t="shared" si="113"/>
        <v>225.80493018369893</v>
      </c>
      <c r="N230" s="145">
        <f t="shared" si="113"/>
        <v>225.80493018369893</v>
      </c>
      <c r="O230" s="145">
        <f t="shared" si="113"/>
        <v>225.80493018369893</v>
      </c>
      <c r="P230" s="145">
        <f t="shared" si="113"/>
        <v>225.80493018369893</v>
      </c>
      <c r="Q230" s="145">
        <f t="shared" si="113"/>
        <v>225.80493018369893</v>
      </c>
      <c r="R230" s="145">
        <f t="shared" si="113"/>
        <v>225.80493018369893</v>
      </c>
      <c r="S230" s="145">
        <f t="shared" si="113"/>
        <v>225.80493018369893</v>
      </c>
      <c r="T230" s="145">
        <f t="shared" si="113"/>
        <v>225.80493018369893</v>
      </c>
      <c r="U230" s="145">
        <f t="shared" si="113"/>
        <v>225.80493018369893</v>
      </c>
      <c r="V230" s="145">
        <f t="shared" si="113"/>
        <v>225.80493018369893</v>
      </c>
      <c r="W230" s="145">
        <f t="shared" si="113"/>
        <v>225.80493018369893</v>
      </c>
      <c r="X230" s="145">
        <f t="shared" si="113"/>
        <v>225.80493018369893</v>
      </c>
      <c r="Y230" s="145">
        <f t="shared" si="113"/>
        <v>225.80493018369893</v>
      </c>
      <c r="Z230" s="145">
        <f t="shared" ref="Z230" si="114">Z243</f>
        <v>225.80493018369893</v>
      </c>
    </row>
    <row r="231" spans="1:26" s="291" customFormat="1" x14ac:dyDescent="0.2">
      <c r="A231" s="80"/>
      <c r="B231" s="191"/>
      <c r="C231" s="85"/>
      <c r="D231" s="186" t="str">
        <f>D222&amp;+" PV of costs"</f>
        <v>Option 1: Provide In Meter Capabilities PV of costs</v>
      </c>
      <c r="E231" s="145">
        <f>VLOOKUP($B$239,$A$170:$Y$175,5)</f>
        <v>1038.1638899040736</v>
      </c>
      <c r="F231" s="145">
        <f>VLOOKUP($B$239,$A$170:$Y$175,6)</f>
        <v>763.2288586499692</v>
      </c>
      <c r="G231" s="145">
        <f>VLOOKUP($B$239,$A$170:$Y$175,7)</f>
        <v>0</v>
      </c>
      <c r="H231" s="145">
        <f>VLOOKUP($B$239,$A$170:$Y$175,8)</f>
        <v>0</v>
      </c>
      <c r="I231" s="145">
        <f>VLOOKUP($B$239,$A$170:$Y$175,9)</f>
        <v>0</v>
      </c>
      <c r="J231" s="145">
        <f>VLOOKUP($B$239,$A$170:$Y$175,10)</f>
        <v>0</v>
      </c>
      <c r="K231" s="145">
        <f>VLOOKUP($B$239,$A$170:$Y$175,11)</f>
        <v>0</v>
      </c>
      <c r="L231" s="145">
        <f>VLOOKUP($B$239,$A$170:$Y$175,12)</f>
        <v>0</v>
      </c>
      <c r="M231" s="145">
        <f>VLOOKUP($B$239,$A$170:$Y$175,13)</f>
        <v>0</v>
      </c>
      <c r="N231" s="145">
        <f>VLOOKUP($B$239,$A$170:$Y$175,14)</f>
        <v>0</v>
      </c>
      <c r="O231" s="145">
        <f>VLOOKUP($B$239,$A$170:$Y$175,15)</f>
        <v>0</v>
      </c>
      <c r="P231" s="145">
        <f>VLOOKUP($B$239,$A$170:$Y$175,16)</f>
        <v>0</v>
      </c>
      <c r="Q231" s="145">
        <f>VLOOKUP($B$239,$A$170:$Y$175,17)</f>
        <v>0</v>
      </c>
      <c r="R231" s="145">
        <f>VLOOKUP($B$239,$A$170:$Y$175,18)</f>
        <v>0</v>
      </c>
      <c r="S231" s="145">
        <f>VLOOKUP($B$239,$A$170:$Y$175,19)</f>
        <v>0</v>
      </c>
      <c r="T231" s="145">
        <f>VLOOKUP($B$239,$A$170:$Y$175,20)</f>
        <v>0</v>
      </c>
      <c r="U231" s="145">
        <f>VLOOKUP($B$239,$A$170:$Y$175,21)</f>
        <v>0</v>
      </c>
      <c r="V231" s="145">
        <f>VLOOKUP($B$239,$A$170:$Y$175,22)</f>
        <v>0</v>
      </c>
      <c r="W231" s="145">
        <f>VLOOKUP($B$239,$A$170:$Y$175,23)</f>
        <v>0</v>
      </c>
      <c r="X231" s="145">
        <f>VLOOKUP($B$239,$A$170:$Y$175,24)</f>
        <v>0</v>
      </c>
      <c r="Y231" s="145">
        <f>VLOOKUP($B$239,$A$170:$Y$175,25)</f>
        <v>0</v>
      </c>
      <c r="Z231" s="145">
        <f t="shared" ref="Z231" si="115">VLOOKUP($B$239,$A$170:$Y$175,25)</f>
        <v>0</v>
      </c>
    </row>
    <row r="232" spans="1:26" s="291" customFormat="1" x14ac:dyDescent="0.2">
      <c r="A232" s="80"/>
      <c r="B232" s="193"/>
      <c r="C232" s="80"/>
      <c r="D232" s="80"/>
      <c r="E232" s="80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5"/>
      <c r="X232" s="80"/>
      <c r="Y232" s="80"/>
      <c r="Z232" s="80"/>
    </row>
    <row r="233" spans="1:26" s="143" customFormat="1" x14ac:dyDescent="0.2">
      <c r="A233" s="29"/>
      <c r="B233" s="193"/>
      <c r="C233" s="80"/>
      <c r="D233" s="194" t="str">
        <f>B12</f>
        <v>"Status Quo" Reference Case</v>
      </c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s="143" customFormat="1" x14ac:dyDescent="0.2">
      <c r="A234" s="29"/>
      <c r="B234" s="193"/>
      <c r="C234" s="80"/>
      <c r="D234" s="186" t="s">
        <v>76</v>
      </c>
      <c r="E234" s="145">
        <f>SUM($E14:E14)</f>
        <v>0</v>
      </c>
      <c r="F234" s="145">
        <f>SUM($E14:F14)</f>
        <v>137.60466560277465</v>
      </c>
      <c r="G234" s="145">
        <f>SUM($E14:G14)</f>
        <v>418.15305783371161</v>
      </c>
      <c r="H234" s="145">
        <f>SUM($E14:H14)</f>
        <v>704.14408887392881</v>
      </c>
      <c r="I234" s="145">
        <f>SUM($E14:I14)</f>
        <v>995.68334591632618</v>
      </c>
      <c r="J234" s="145">
        <f>SUM($E14:J14)</f>
        <v>1292.8784645453461</v>
      </c>
      <c r="K234" s="145">
        <f>SUM($E14:K14)</f>
        <v>1595.8391684757689</v>
      </c>
      <c r="L234" s="145">
        <f>SUM($E14:L14)</f>
        <v>1904.6773100624418</v>
      </c>
      <c r="M234" s="145">
        <f>SUM($E14:M14)</f>
        <v>2219.5069115958963</v>
      </c>
      <c r="N234" s="145">
        <f>SUM($E14:N14)</f>
        <v>2540.4442073990999</v>
      </c>
      <c r="O234" s="145">
        <f>SUM($E14:O14)</f>
        <v>2867.6076867408856</v>
      </c>
      <c r="P234" s="145">
        <f>SUM($E14:P14)</f>
        <v>3201.1181375819019</v>
      </c>
      <c r="Q234" s="145">
        <f>SUM($E14:Q14)</f>
        <v>3541.0986911692339</v>
      </c>
      <c r="R234" s="145">
        <f>SUM($E14:R14)</f>
        <v>3887.67486749616</v>
      </c>
      <c r="S234" s="145">
        <f>SUM($E14:S14)</f>
        <v>4240.9746216438289</v>
      </c>
      <c r="T234" s="145">
        <f>SUM($E14:T14)</f>
        <v>4601.1283910219627</v>
      </c>
      <c r="U234" s="145">
        <f>SUM($E14:U14)</f>
        <v>4968.2691435260322</v>
      </c>
      <c r="V234" s="145">
        <f>SUM($E14:V14)</f>
        <v>5342.5324266286807</v>
      </c>
      <c r="W234" s="145">
        <f>SUM($E14:W14)</f>
        <v>5724.0564174235205</v>
      </c>
      <c r="X234" s="145">
        <f>SUM($E14:X14)</f>
        <v>6112.9819736397803</v>
      </c>
      <c r="Y234" s="145">
        <f>SUM($E14:Y14)</f>
        <v>6509.4526856466355</v>
      </c>
      <c r="Z234" s="145">
        <f>SUM($E14:Z14)</f>
        <v>6509.4526856466355</v>
      </c>
    </row>
    <row r="235" spans="1:26" s="143" customFormat="1" x14ac:dyDescent="0.2">
      <c r="A235" s="29"/>
      <c r="B235" s="193"/>
      <c r="C235" s="80"/>
      <c r="D235" s="186" t="s">
        <v>160</v>
      </c>
      <c r="E235" s="145">
        <f>E234*'Administrator Input'!$F$22</f>
        <v>0</v>
      </c>
      <c r="F235" s="145">
        <f>F234*'Administrator Input'!$F$22</f>
        <v>11.930324507760561</v>
      </c>
      <c r="G235" s="145">
        <f>G234*'Administrator Input'!$F$22</f>
        <v>36.253870114182796</v>
      </c>
      <c r="H235" s="145">
        <f>H234*'Administrator Input'!$F$22</f>
        <v>61.049292505369628</v>
      </c>
      <c r="I235" s="145">
        <f>I234*'Administrator Input'!$F$22</f>
        <v>86.325746090945472</v>
      </c>
      <c r="J235" s="145">
        <f>J234*'Administrator Input'!$F$22</f>
        <v>112.0925628760815</v>
      </c>
      <c r="K235" s="145">
        <f>K234*'Administrator Input'!$F$22</f>
        <v>138.35925590684917</v>
      </c>
      <c r="L235" s="145">
        <f>L234*'Administrator Input'!$F$22</f>
        <v>165.13552278241372</v>
      </c>
      <c r="M235" s="145">
        <f>M234*'Administrator Input'!$F$22</f>
        <v>192.43124923536422</v>
      </c>
      <c r="N235" s="145">
        <f>N234*'Administrator Input'!$F$22</f>
        <v>220.25651278150195</v>
      </c>
      <c r="O235" s="145">
        <f>O234*'Administrator Input'!$F$22</f>
        <v>248.62158644043478</v>
      </c>
      <c r="P235" s="145">
        <f>P234*'Administrator Input'!$F$22</f>
        <v>277.53694252835089</v>
      </c>
      <c r="Q235" s="145">
        <f>Q234*'Administrator Input'!$F$22</f>
        <v>307.01325652437259</v>
      </c>
      <c r="R235" s="145">
        <f>R234*'Administrator Input'!$F$22</f>
        <v>337.06141101191707</v>
      </c>
      <c r="S235" s="145">
        <f>S234*'Administrator Input'!$F$22</f>
        <v>367.69249969651997</v>
      </c>
      <c r="T235" s="145">
        <f>T234*'Administrator Input'!$F$22</f>
        <v>398.91783150160416</v>
      </c>
      <c r="U235" s="145">
        <f>U234*'Administrator Input'!$F$22</f>
        <v>430.74893474370697</v>
      </c>
      <c r="V235" s="145">
        <f>V234*'Administrator Input'!$F$22</f>
        <v>463.19756138870662</v>
      </c>
      <c r="W235" s="145">
        <f>W234*'Administrator Input'!$F$22</f>
        <v>496.27569139061922</v>
      </c>
      <c r="X235" s="145">
        <f>X234*'Administrator Input'!$F$22</f>
        <v>529.99553711456895</v>
      </c>
      <c r="Y235" s="145">
        <f>Y234*'Administrator Input'!$F$22</f>
        <v>564.36954784556326</v>
      </c>
      <c r="Z235" s="145">
        <f>Z234*'Administrator Input'!$F$22</f>
        <v>564.36954784556326</v>
      </c>
    </row>
    <row r="236" spans="1:26" s="143" customFormat="1" x14ac:dyDescent="0.2">
      <c r="A236" s="29"/>
      <c r="B236" s="193"/>
      <c r="C236" s="80"/>
      <c r="D236" s="186" t="s">
        <v>158</v>
      </c>
      <c r="E236" s="145">
        <f>E33-E14</f>
        <v>0</v>
      </c>
      <c r="F236" s="145">
        <f t="shared" ref="F236:Y236" si="116">F33-F14</f>
        <v>0</v>
      </c>
      <c r="G236" s="145">
        <f t="shared" si="116"/>
        <v>0</v>
      </c>
      <c r="H236" s="145">
        <f t="shared" si="116"/>
        <v>0</v>
      </c>
      <c r="I236" s="145">
        <f t="shared" si="116"/>
        <v>0</v>
      </c>
      <c r="J236" s="145">
        <f t="shared" si="116"/>
        <v>0</v>
      </c>
      <c r="K236" s="145">
        <f t="shared" si="116"/>
        <v>0</v>
      </c>
      <c r="L236" s="145">
        <f t="shared" si="116"/>
        <v>0</v>
      </c>
      <c r="M236" s="145">
        <f t="shared" si="116"/>
        <v>0</v>
      </c>
      <c r="N236" s="145">
        <f t="shared" si="116"/>
        <v>0</v>
      </c>
      <c r="O236" s="145">
        <f t="shared" si="116"/>
        <v>0</v>
      </c>
      <c r="P236" s="145">
        <f t="shared" si="116"/>
        <v>0</v>
      </c>
      <c r="Q236" s="145">
        <f t="shared" si="116"/>
        <v>0</v>
      </c>
      <c r="R236" s="145">
        <f t="shared" si="116"/>
        <v>0</v>
      </c>
      <c r="S236" s="145">
        <f t="shared" si="116"/>
        <v>0</v>
      </c>
      <c r="T236" s="145">
        <f t="shared" si="116"/>
        <v>0</v>
      </c>
      <c r="U236" s="145">
        <f t="shared" si="116"/>
        <v>0</v>
      </c>
      <c r="V236" s="145">
        <f t="shared" si="116"/>
        <v>0</v>
      </c>
      <c r="W236" s="145">
        <f t="shared" si="116"/>
        <v>0</v>
      </c>
      <c r="X236" s="145">
        <f t="shared" si="116"/>
        <v>0</v>
      </c>
      <c r="Y236" s="145">
        <f t="shared" si="116"/>
        <v>0</v>
      </c>
      <c r="Z236" s="145">
        <f t="shared" ref="Z236" si="117">Z33-Z14</f>
        <v>0</v>
      </c>
    </row>
    <row r="237" spans="1:26" s="143" customFormat="1" x14ac:dyDescent="0.2">
      <c r="A237" s="29"/>
      <c r="B237" s="193"/>
      <c r="C237" s="80"/>
      <c r="D237" s="186" t="s">
        <v>244</v>
      </c>
      <c r="E237" s="145">
        <f>E235+E236</f>
        <v>0</v>
      </c>
      <c r="F237" s="145">
        <f t="shared" ref="F237:Y237" si="118">F235+F236</f>
        <v>11.930324507760561</v>
      </c>
      <c r="G237" s="145">
        <f t="shared" si="118"/>
        <v>36.253870114182796</v>
      </c>
      <c r="H237" s="145">
        <f t="shared" si="118"/>
        <v>61.049292505369628</v>
      </c>
      <c r="I237" s="145">
        <f t="shared" si="118"/>
        <v>86.325746090945472</v>
      </c>
      <c r="J237" s="145">
        <f t="shared" si="118"/>
        <v>112.0925628760815</v>
      </c>
      <c r="K237" s="145">
        <f t="shared" si="118"/>
        <v>138.35925590684917</v>
      </c>
      <c r="L237" s="145">
        <f t="shared" si="118"/>
        <v>165.13552278241372</v>
      </c>
      <c r="M237" s="145">
        <f t="shared" si="118"/>
        <v>192.43124923536422</v>
      </c>
      <c r="N237" s="145">
        <f t="shared" si="118"/>
        <v>220.25651278150195</v>
      </c>
      <c r="O237" s="145">
        <f t="shared" si="118"/>
        <v>248.62158644043478</v>
      </c>
      <c r="P237" s="145">
        <f t="shared" si="118"/>
        <v>277.53694252835089</v>
      </c>
      <c r="Q237" s="145">
        <f t="shared" si="118"/>
        <v>307.01325652437259</v>
      </c>
      <c r="R237" s="145">
        <f t="shared" si="118"/>
        <v>337.06141101191707</v>
      </c>
      <c r="S237" s="145">
        <f t="shared" si="118"/>
        <v>367.69249969651997</v>
      </c>
      <c r="T237" s="145">
        <f t="shared" si="118"/>
        <v>398.91783150160416</v>
      </c>
      <c r="U237" s="145">
        <f t="shared" si="118"/>
        <v>430.74893474370697</v>
      </c>
      <c r="V237" s="145">
        <f t="shared" si="118"/>
        <v>463.19756138870662</v>
      </c>
      <c r="W237" s="145">
        <f t="shared" si="118"/>
        <v>496.27569139061922</v>
      </c>
      <c r="X237" s="145">
        <f t="shared" si="118"/>
        <v>529.99553711456895</v>
      </c>
      <c r="Y237" s="145">
        <f t="shared" si="118"/>
        <v>564.36954784556326</v>
      </c>
      <c r="Z237" s="145">
        <f t="shared" ref="Z237" si="119">Z235+Z236</f>
        <v>564.36954784556326</v>
      </c>
    </row>
    <row r="238" spans="1:26" s="143" customFormat="1" x14ac:dyDescent="0.2">
      <c r="A238" s="29"/>
      <c r="B238" s="193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s="143" customFormat="1" x14ac:dyDescent="0.2">
      <c r="A239" s="29"/>
      <c r="B239" s="191">
        <f>IF(D222=D204,1,IF(D222=E204,2,IF(D222=F204,3,IF(D222=G204,4,IF(D222=H204,5,IF(D222=I204,6,"N/A"))))))</f>
        <v>2</v>
      </c>
      <c r="C239" s="80"/>
      <c r="D239" s="194" t="str">
        <f>"Recommended Case: "&amp;+D222</f>
        <v>Recommended Case: Option 1: Provide In Meter Capabilities</v>
      </c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s="143" customFormat="1" x14ac:dyDescent="0.2">
      <c r="A240" s="29"/>
      <c r="B240" s="191"/>
      <c r="C240" s="80"/>
      <c r="D240" s="186" t="s">
        <v>76</v>
      </c>
      <c r="E240" s="145">
        <f>VLOOKUP($B$239,$A$179:$Y$184,5)</f>
        <v>1447.7867148036742</v>
      </c>
      <c r="F240" s="145">
        <f>E240+VLOOKUP($B$239,$A$179:$Y$184,6)</f>
        <v>2604.4397945063315</v>
      </c>
      <c r="G240" s="145">
        <f>F240+VLOOKUP($B$239,$A$179:$Y$184,7)</f>
        <v>2604.4397945063315</v>
      </c>
      <c r="H240" s="145">
        <f>G240+VLOOKUP($B$239,$A$179:$Y$184,8)</f>
        <v>2604.4397945063315</v>
      </c>
      <c r="I240" s="145">
        <f>H240+VLOOKUP($B$239,$A$179:$Y$184,9)</f>
        <v>2604.4397945063315</v>
      </c>
      <c r="J240" s="145">
        <f>I240+VLOOKUP($B$239,$A$179:$Y$184,10)</f>
        <v>2604.4397945063315</v>
      </c>
      <c r="K240" s="145">
        <f>J240+VLOOKUP($B$239,$A$179:$Y$184,11)</f>
        <v>2604.4397945063315</v>
      </c>
      <c r="L240" s="145">
        <f>K240+VLOOKUP($B$239,$A$179:$Y$184,12)</f>
        <v>2604.4397945063315</v>
      </c>
      <c r="M240" s="145">
        <f>L240+VLOOKUP($B$239,$A$179:$Y$184,13)</f>
        <v>2604.4397945063315</v>
      </c>
      <c r="N240" s="145">
        <f>M240+VLOOKUP($B$239,$A$179:$Y$184,14)</f>
        <v>2604.4397945063315</v>
      </c>
      <c r="O240" s="145">
        <f>N240+VLOOKUP($B$239,$A$179:$Y$184,15)</f>
        <v>2604.4397945063315</v>
      </c>
      <c r="P240" s="145">
        <f>O240+VLOOKUP($B$239,$A$179:$Y$184,16)</f>
        <v>2604.4397945063315</v>
      </c>
      <c r="Q240" s="145">
        <f>P240+VLOOKUP($B$239,$A$179:$Y$184,17)</f>
        <v>2604.4397945063315</v>
      </c>
      <c r="R240" s="145">
        <f>Q240+VLOOKUP($B$239,$A$179:$Y$184,18)</f>
        <v>2604.4397945063315</v>
      </c>
      <c r="S240" s="145">
        <f>R240+VLOOKUP($B$239,$A$179:$Y$184,19)</f>
        <v>2604.4397945063315</v>
      </c>
      <c r="T240" s="145">
        <f>S240+VLOOKUP($B$239,$A$179:$Y$184,20)</f>
        <v>2604.4397945063315</v>
      </c>
      <c r="U240" s="145">
        <f>T240+VLOOKUP($B$239,$A$179:$Y$184,21)</f>
        <v>2604.4397945063315</v>
      </c>
      <c r="V240" s="145">
        <f>U240+VLOOKUP($B$239,$A$179:$Y$184,22)</f>
        <v>2604.4397945063315</v>
      </c>
      <c r="W240" s="145">
        <f>V240+VLOOKUP($B$239,$A$179:$Y$184,23)</f>
        <v>2604.4397945063315</v>
      </c>
      <c r="X240" s="145">
        <f>W240+VLOOKUP($B$239,$A$179:$Y$184,24)</f>
        <v>2604.4397945063315</v>
      </c>
      <c r="Y240" s="145">
        <f>X240+VLOOKUP($B$239,$A$179:$Y$184,25)</f>
        <v>2604.4397945063315</v>
      </c>
      <c r="Z240" s="145">
        <f t="shared" ref="Z240" si="120">Y240+VLOOKUP($B$239,$A$179:$Y$184,25)</f>
        <v>2604.4397945063315</v>
      </c>
    </row>
    <row r="241" spans="1:26" s="143" customFormat="1" x14ac:dyDescent="0.2">
      <c r="A241" s="29"/>
      <c r="B241" s="191"/>
      <c r="C241" s="80"/>
      <c r="D241" s="186" t="s">
        <v>160</v>
      </c>
      <c r="E241" s="145">
        <f>E240*'Administrator Input'!$F$22</f>
        <v>125.52310817347855</v>
      </c>
      <c r="F241" s="145">
        <f>F240*'Administrator Input'!$F$22</f>
        <v>225.80493018369893</v>
      </c>
      <c r="G241" s="145">
        <f>G240*'Administrator Input'!$F$22</f>
        <v>225.80493018369893</v>
      </c>
      <c r="H241" s="145">
        <f>H240*'Administrator Input'!$F$22</f>
        <v>225.80493018369893</v>
      </c>
      <c r="I241" s="145">
        <f>I240*'Administrator Input'!$F$22</f>
        <v>225.80493018369893</v>
      </c>
      <c r="J241" s="145">
        <f>J240*'Administrator Input'!$F$22</f>
        <v>225.80493018369893</v>
      </c>
      <c r="K241" s="145">
        <f>K240*'Administrator Input'!$F$22</f>
        <v>225.80493018369893</v>
      </c>
      <c r="L241" s="145">
        <f>L240*'Administrator Input'!$F$22</f>
        <v>225.80493018369893</v>
      </c>
      <c r="M241" s="145">
        <f>M240*'Administrator Input'!$F$22</f>
        <v>225.80493018369893</v>
      </c>
      <c r="N241" s="145">
        <f>N240*'Administrator Input'!$F$22</f>
        <v>225.80493018369893</v>
      </c>
      <c r="O241" s="145">
        <f>O240*'Administrator Input'!$F$22</f>
        <v>225.80493018369893</v>
      </c>
      <c r="P241" s="145">
        <f>P240*'Administrator Input'!$F$22</f>
        <v>225.80493018369893</v>
      </c>
      <c r="Q241" s="145">
        <f>Q240*'Administrator Input'!$F$22</f>
        <v>225.80493018369893</v>
      </c>
      <c r="R241" s="145">
        <f>R240*'Administrator Input'!$F$22</f>
        <v>225.80493018369893</v>
      </c>
      <c r="S241" s="145">
        <f>S240*'Administrator Input'!$F$22</f>
        <v>225.80493018369893</v>
      </c>
      <c r="T241" s="145">
        <f>T240*'Administrator Input'!$F$22</f>
        <v>225.80493018369893</v>
      </c>
      <c r="U241" s="145">
        <f>U240*'Administrator Input'!$F$22</f>
        <v>225.80493018369893</v>
      </c>
      <c r="V241" s="145">
        <f>V240*'Administrator Input'!$F$22</f>
        <v>225.80493018369893</v>
      </c>
      <c r="W241" s="145">
        <f>W240*'Administrator Input'!$F$22</f>
        <v>225.80493018369893</v>
      </c>
      <c r="X241" s="145">
        <f>X240*'Administrator Input'!$F$22</f>
        <v>225.80493018369893</v>
      </c>
      <c r="Y241" s="145">
        <f>Y240*'Administrator Input'!$F$22</f>
        <v>225.80493018369893</v>
      </c>
      <c r="Z241" s="145">
        <f>Z240*'Administrator Input'!$F$22</f>
        <v>225.80493018369893</v>
      </c>
    </row>
    <row r="242" spans="1:26" s="143" customFormat="1" x14ac:dyDescent="0.2">
      <c r="A242" s="29"/>
      <c r="B242" s="193"/>
      <c r="C242" s="80"/>
      <c r="D242" s="186" t="s">
        <v>158</v>
      </c>
      <c r="E242" s="145">
        <f>VLOOKUP($B$239,$A$161:$Y$166,5)-VLOOKUP($B$239,$A$179:$Y$184,5)</f>
        <v>0</v>
      </c>
      <c r="F242" s="145">
        <f>VLOOKUP($B$239,$A$161:$Y$166,6)-VLOOKUP($B$239,$A$179:$Y$184,6)</f>
        <v>0</v>
      </c>
      <c r="G242" s="145">
        <f>VLOOKUP($B$239,$A$161:$Y$166,7)-VLOOKUP($B$239,$A$179:$Y$184,7)</f>
        <v>0</v>
      </c>
      <c r="H242" s="145">
        <f>VLOOKUP($B$239,$A$161:$Y$166,8)-VLOOKUP($B$239,$A$179:$Y$184,8)</f>
        <v>0</v>
      </c>
      <c r="I242" s="145">
        <f>VLOOKUP($B$239,$A$161:$Y$166,9)-VLOOKUP($B$239,$A$179:$Y$184,9)</f>
        <v>0</v>
      </c>
      <c r="J242" s="145">
        <f>VLOOKUP($B$239,$A$161:$Y$166,10)-VLOOKUP($B$239,$A$179:$Y$184,10)</f>
        <v>0</v>
      </c>
      <c r="K242" s="145">
        <f>VLOOKUP($B$239,$A$161:$Y$166,11)-VLOOKUP($B$239,$A$179:$Y$184,11)</f>
        <v>0</v>
      </c>
      <c r="L242" s="145">
        <f>VLOOKUP($B$239,$A$161:$Y$166,12)-VLOOKUP($B$239,$A$179:$Y$184,12)</f>
        <v>0</v>
      </c>
      <c r="M242" s="145">
        <f>VLOOKUP($B$239,$A$161:$Y$166,13)-VLOOKUP($B$239,$A$179:$Y$184,13)</f>
        <v>0</v>
      </c>
      <c r="N242" s="145">
        <f>VLOOKUP($B$239,$A$161:$Y$166,14)-VLOOKUP($B$239,$A$179:$Y$184,14)</f>
        <v>0</v>
      </c>
      <c r="O242" s="145">
        <f>VLOOKUP($B$239,$A$161:$Y$166,15)-VLOOKUP($B$239,$A$179:$Y$184,15)</f>
        <v>0</v>
      </c>
      <c r="P242" s="145">
        <f>VLOOKUP($B$239,$A$161:$Y$166,16)-VLOOKUP($B$239,$A$179:$Y$184,16)</f>
        <v>0</v>
      </c>
      <c r="Q242" s="145">
        <f>VLOOKUP($B$239,$A$161:$Y$166,17)-VLOOKUP($B$239,$A$179:$Y$184,17)</f>
        <v>0</v>
      </c>
      <c r="R242" s="145">
        <f>VLOOKUP($B$239,$A$161:$Y$166,18)-VLOOKUP($B$239,$A$179:$Y$184,18)</f>
        <v>0</v>
      </c>
      <c r="S242" s="145">
        <f>VLOOKUP($B$239,$A$161:$Y$166,19)-VLOOKUP($B$239,$A$179:$Y$184,19)</f>
        <v>0</v>
      </c>
      <c r="T242" s="145">
        <f>VLOOKUP($B$239,$A$161:$Y$166,20)-VLOOKUP($B$239,$A$179:$Y$184,20)</f>
        <v>0</v>
      </c>
      <c r="U242" s="145">
        <f>VLOOKUP($B$239,$A$161:$Y$166,21)-VLOOKUP($B$239,$A$179:$Y$184,21)</f>
        <v>0</v>
      </c>
      <c r="V242" s="145">
        <f>VLOOKUP($B$239,$A$161:$Y$166,22)-VLOOKUP($B$239,$A$179:$Y$184,22)</f>
        <v>0</v>
      </c>
      <c r="W242" s="145">
        <f>VLOOKUP($B$239,$A$161:$Y$166,23)-VLOOKUP($B$239,$A$179:$Y$184,23)</f>
        <v>0</v>
      </c>
      <c r="X242" s="145">
        <f>VLOOKUP($B$239,$A$161:$Y$166,24)-VLOOKUP($B$239,$A$179:$Y$184,24)</f>
        <v>0</v>
      </c>
      <c r="Y242" s="145">
        <f>VLOOKUP($B$239,$A$161:$Y$166,25)-VLOOKUP($B$239,$A$179:$Y$184,25)</f>
        <v>0</v>
      </c>
      <c r="Z242" s="145">
        <f t="shared" ref="Z242" si="121">VLOOKUP($B$239,$A$161:$Y$166,25)-VLOOKUP($B$239,$A$179:$Y$184,25)</f>
        <v>0</v>
      </c>
    </row>
    <row r="243" spans="1:26" s="143" customFormat="1" x14ac:dyDescent="0.2">
      <c r="A243" s="29"/>
      <c r="B243" s="193"/>
      <c r="C243" s="80"/>
      <c r="D243" s="186" t="s">
        <v>244</v>
      </c>
      <c r="E243" s="145">
        <f>E241+E242</f>
        <v>125.52310817347855</v>
      </c>
      <c r="F243" s="145">
        <f t="shared" ref="F243:Y243" si="122">F241+F242</f>
        <v>225.80493018369893</v>
      </c>
      <c r="G243" s="145">
        <f t="shared" si="122"/>
        <v>225.80493018369893</v>
      </c>
      <c r="H243" s="145">
        <f t="shared" si="122"/>
        <v>225.80493018369893</v>
      </c>
      <c r="I243" s="145">
        <f t="shared" si="122"/>
        <v>225.80493018369893</v>
      </c>
      <c r="J243" s="145">
        <f t="shared" si="122"/>
        <v>225.80493018369893</v>
      </c>
      <c r="K243" s="145">
        <f t="shared" si="122"/>
        <v>225.80493018369893</v>
      </c>
      <c r="L243" s="145">
        <f t="shared" si="122"/>
        <v>225.80493018369893</v>
      </c>
      <c r="M243" s="145">
        <f t="shared" si="122"/>
        <v>225.80493018369893</v>
      </c>
      <c r="N243" s="145">
        <f t="shared" si="122"/>
        <v>225.80493018369893</v>
      </c>
      <c r="O243" s="145">
        <f t="shared" si="122"/>
        <v>225.80493018369893</v>
      </c>
      <c r="P243" s="145">
        <f t="shared" si="122"/>
        <v>225.80493018369893</v>
      </c>
      <c r="Q243" s="145">
        <f t="shared" si="122"/>
        <v>225.80493018369893</v>
      </c>
      <c r="R243" s="145">
        <f t="shared" si="122"/>
        <v>225.80493018369893</v>
      </c>
      <c r="S243" s="145">
        <f t="shared" si="122"/>
        <v>225.80493018369893</v>
      </c>
      <c r="T243" s="145">
        <f t="shared" si="122"/>
        <v>225.80493018369893</v>
      </c>
      <c r="U243" s="145">
        <f t="shared" si="122"/>
        <v>225.80493018369893</v>
      </c>
      <c r="V243" s="145">
        <f t="shared" si="122"/>
        <v>225.80493018369893</v>
      </c>
      <c r="W243" s="145">
        <f t="shared" si="122"/>
        <v>225.80493018369893</v>
      </c>
      <c r="X243" s="145">
        <f t="shared" si="122"/>
        <v>225.80493018369893</v>
      </c>
      <c r="Y243" s="145">
        <f t="shared" si="122"/>
        <v>225.80493018369893</v>
      </c>
      <c r="Z243" s="145">
        <f t="shared" ref="Z243" si="123">Z241+Z242</f>
        <v>225.80493018369893</v>
      </c>
    </row>
    <row r="244" spans="1:26" s="143" customFormat="1" x14ac:dyDescent="0.2">
      <c r="A244" s="29"/>
      <c r="B244" s="427"/>
      <c r="C244" s="428"/>
      <c r="D244" s="428"/>
      <c r="E244" s="428"/>
      <c r="F244" s="428"/>
      <c r="G244" s="428"/>
      <c r="H244" s="428"/>
      <c r="I244" s="428"/>
      <c r="J244" s="428"/>
      <c r="K244" s="428"/>
      <c r="L244" s="428"/>
      <c r="M244" s="428"/>
      <c r="N244" s="428"/>
      <c r="O244" s="428"/>
      <c r="P244" s="428"/>
      <c r="Q244" s="428"/>
      <c r="R244" s="428"/>
      <c r="S244" s="428"/>
      <c r="T244" s="428"/>
      <c r="U244" s="428"/>
      <c r="V244" s="428"/>
      <c r="W244" s="428"/>
      <c r="X244" s="428"/>
      <c r="Y244" s="428"/>
      <c r="Z244" s="428"/>
    </row>
  </sheetData>
  <sheetProtection formatCells="0" formatColumns="0" formatRows="0" insertColumns="0" insertRows="0" insertHyperlinks="0" deleteColumns="0" deleteRows="0"/>
  <phoneticPr fontId="11" type="noConversion"/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29"/>
  </sheetPr>
  <dimension ref="A2:Z457"/>
  <sheetViews>
    <sheetView showGridLines="0" zoomScaleNormal="80" zoomScaleSheetLayoutView="40" workbookViewId="0">
      <selection activeCell="G21" sqref="G21"/>
    </sheetView>
  </sheetViews>
  <sheetFormatPr defaultRowHeight="12.75" x14ac:dyDescent="0.2"/>
  <cols>
    <col min="1" max="1" width="2.28515625" style="29" customWidth="1"/>
    <col min="2" max="2" width="1.85546875" style="29" customWidth="1"/>
    <col min="3" max="3" width="40.140625" style="29" bestFit="1" customWidth="1"/>
    <col min="4" max="4" width="10.85546875" style="29" customWidth="1"/>
    <col min="5" max="5" width="9.28515625" style="29" bestFit="1" customWidth="1"/>
    <col min="6" max="6" width="11.28515625" style="29" bestFit="1" customWidth="1"/>
    <col min="7" max="7" width="12.85546875" style="29" bestFit="1" customWidth="1"/>
    <col min="8" max="19" width="12.42578125" style="29" bestFit="1" customWidth="1"/>
    <col min="20" max="25" width="13.5703125" style="29" bestFit="1" customWidth="1"/>
    <col min="26" max="26" width="2.28515625" style="143" customWidth="1"/>
    <col min="27" max="27" width="15" style="143" bestFit="1" customWidth="1"/>
    <col min="28" max="16384" width="9.140625" style="143"/>
  </cols>
  <sheetData>
    <row r="2" spans="1:26" x14ac:dyDescent="0.2">
      <c r="C2" s="338" t="s">
        <v>205</v>
      </c>
    </row>
    <row r="3" spans="1:26" x14ac:dyDescent="0.2">
      <c r="C3" s="337" t="s">
        <v>206</v>
      </c>
    </row>
    <row r="6" spans="1:26" ht="18" customHeight="1" x14ac:dyDescent="0.25">
      <c r="B6" s="179" t="s">
        <v>105</v>
      </c>
      <c r="C6" s="178"/>
      <c r="D6" s="178"/>
      <c r="E6" s="180" t="s">
        <v>15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282"/>
    </row>
    <row r="7" spans="1:26" ht="12.75" customHeight="1" x14ac:dyDescent="0.2">
      <c r="C7" s="182" t="s">
        <v>325</v>
      </c>
      <c r="D7" s="182"/>
      <c r="E7" s="183" t="str">
        <f>'User Input'!E4</f>
        <v>In meter capability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282"/>
    </row>
    <row r="8" spans="1:26" ht="12.75" customHeight="1" thickBot="1" x14ac:dyDescent="0.25">
      <c r="B8" s="101"/>
      <c r="C8" s="10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83"/>
    </row>
    <row r="9" spans="1:26" ht="13.5" thickBot="1" x14ac:dyDescent="0.25">
      <c r="A9" s="333"/>
      <c r="B9" s="332"/>
      <c r="C9" s="332"/>
      <c r="E9" s="132">
        <f>'User Input'!E6</f>
        <v>2019</v>
      </c>
      <c r="F9" s="133">
        <f t="shared" ref="F9:Y9" si="0">E9+1</f>
        <v>2020</v>
      </c>
      <c r="G9" s="133">
        <f t="shared" si="0"/>
        <v>2021</v>
      </c>
      <c r="H9" s="133">
        <f t="shared" si="0"/>
        <v>2022</v>
      </c>
      <c r="I9" s="133">
        <f t="shared" si="0"/>
        <v>2023</v>
      </c>
      <c r="J9" s="133">
        <f t="shared" si="0"/>
        <v>2024</v>
      </c>
      <c r="K9" s="133">
        <f t="shared" si="0"/>
        <v>2025</v>
      </c>
      <c r="L9" s="133">
        <f t="shared" si="0"/>
        <v>2026</v>
      </c>
      <c r="M9" s="133">
        <f t="shared" si="0"/>
        <v>2027</v>
      </c>
      <c r="N9" s="133">
        <f t="shared" si="0"/>
        <v>2028</v>
      </c>
      <c r="O9" s="133">
        <f t="shared" si="0"/>
        <v>2029</v>
      </c>
      <c r="P9" s="133">
        <f t="shared" si="0"/>
        <v>2030</v>
      </c>
      <c r="Q9" s="133">
        <f t="shared" si="0"/>
        <v>2031</v>
      </c>
      <c r="R9" s="133">
        <f t="shared" si="0"/>
        <v>2032</v>
      </c>
      <c r="S9" s="133">
        <f t="shared" si="0"/>
        <v>2033</v>
      </c>
      <c r="T9" s="133">
        <f t="shared" si="0"/>
        <v>2034</v>
      </c>
      <c r="U9" s="133">
        <f t="shared" si="0"/>
        <v>2035</v>
      </c>
      <c r="V9" s="133">
        <f t="shared" si="0"/>
        <v>2036</v>
      </c>
      <c r="W9" s="133">
        <f t="shared" si="0"/>
        <v>2037</v>
      </c>
      <c r="X9" s="133">
        <f t="shared" si="0"/>
        <v>2038</v>
      </c>
      <c r="Y9" s="133">
        <f t="shared" si="0"/>
        <v>2039</v>
      </c>
      <c r="Z9" s="284"/>
    </row>
    <row r="10" spans="1:26" x14ac:dyDescent="0.2">
      <c r="B10" s="78"/>
      <c r="C10" s="285"/>
      <c r="D10" s="285"/>
      <c r="E10" s="8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7"/>
    </row>
    <row r="11" spans="1:26" x14ac:dyDescent="0.2">
      <c r="B11" s="107"/>
      <c r="C11" s="80"/>
      <c r="D11" s="162" t="s">
        <v>47</v>
      </c>
      <c r="E11" s="288">
        <v>0</v>
      </c>
      <c r="F11" s="288">
        <v>1</v>
      </c>
      <c r="G11" s="288">
        <v>2</v>
      </c>
      <c r="H11" s="288">
        <v>3</v>
      </c>
      <c r="I11" s="288">
        <v>4</v>
      </c>
      <c r="J11" s="288">
        <v>5</v>
      </c>
      <c r="K11" s="288">
        <v>6</v>
      </c>
      <c r="L11" s="288">
        <v>7</v>
      </c>
      <c r="M11" s="288">
        <v>8</v>
      </c>
      <c r="N11" s="288">
        <v>9</v>
      </c>
      <c r="O11" s="288">
        <v>10</v>
      </c>
      <c r="P11" s="288">
        <v>11</v>
      </c>
      <c r="Q11" s="288">
        <v>12</v>
      </c>
      <c r="R11" s="288">
        <v>13</v>
      </c>
      <c r="S11" s="288">
        <v>14</v>
      </c>
      <c r="T11" s="288">
        <v>15</v>
      </c>
      <c r="U11" s="288">
        <v>16</v>
      </c>
      <c r="V11" s="288">
        <v>17</v>
      </c>
      <c r="W11" s="288">
        <v>18</v>
      </c>
      <c r="X11" s="288">
        <v>19</v>
      </c>
      <c r="Y11" s="288">
        <v>20</v>
      </c>
      <c r="Z11" s="287"/>
    </row>
    <row r="12" spans="1:26" x14ac:dyDescent="0.2">
      <c r="B12" s="107" t="s">
        <v>16</v>
      </c>
      <c r="E12" s="226"/>
      <c r="F12" s="226">
        <f>'Administrator Input'!F35</f>
        <v>1.9400000000000001E-2</v>
      </c>
      <c r="G12" s="226">
        <f t="shared" ref="G12:Y12" si="1">+$F$12</f>
        <v>1.9400000000000001E-2</v>
      </c>
      <c r="H12" s="226">
        <f t="shared" si="1"/>
        <v>1.9400000000000001E-2</v>
      </c>
      <c r="I12" s="226">
        <f t="shared" si="1"/>
        <v>1.9400000000000001E-2</v>
      </c>
      <c r="J12" s="226">
        <f t="shared" si="1"/>
        <v>1.9400000000000001E-2</v>
      </c>
      <c r="K12" s="226">
        <f t="shared" si="1"/>
        <v>1.9400000000000001E-2</v>
      </c>
      <c r="L12" s="226">
        <f t="shared" si="1"/>
        <v>1.9400000000000001E-2</v>
      </c>
      <c r="M12" s="226">
        <f t="shared" si="1"/>
        <v>1.9400000000000001E-2</v>
      </c>
      <c r="N12" s="226">
        <f t="shared" si="1"/>
        <v>1.9400000000000001E-2</v>
      </c>
      <c r="O12" s="226">
        <f t="shared" si="1"/>
        <v>1.9400000000000001E-2</v>
      </c>
      <c r="P12" s="226">
        <f t="shared" si="1"/>
        <v>1.9400000000000001E-2</v>
      </c>
      <c r="Q12" s="226">
        <f t="shared" si="1"/>
        <v>1.9400000000000001E-2</v>
      </c>
      <c r="R12" s="226">
        <f t="shared" si="1"/>
        <v>1.9400000000000001E-2</v>
      </c>
      <c r="S12" s="226">
        <f t="shared" si="1"/>
        <v>1.9400000000000001E-2</v>
      </c>
      <c r="T12" s="226">
        <f t="shared" si="1"/>
        <v>1.9400000000000001E-2</v>
      </c>
      <c r="U12" s="226">
        <f t="shared" si="1"/>
        <v>1.9400000000000001E-2</v>
      </c>
      <c r="V12" s="226">
        <f t="shared" si="1"/>
        <v>1.9400000000000001E-2</v>
      </c>
      <c r="W12" s="226">
        <f t="shared" si="1"/>
        <v>1.9400000000000001E-2</v>
      </c>
      <c r="X12" s="226">
        <f t="shared" si="1"/>
        <v>1.9400000000000001E-2</v>
      </c>
      <c r="Y12" s="226">
        <f t="shared" si="1"/>
        <v>1.9400000000000001E-2</v>
      </c>
      <c r="Z12" s="287"/>
    </row>
    <row r="13" spans="1:26" x14ac:dyDescent="0.2">
      <c r="B13" s="107" t="s">
        <v>322</v>
      </c>
      <c r="E13" s="700">
        <f>+(1+$D$18)^(E9-'User Input'!$E$9)</f>
        <v>1.3439368190467522</v>
      </c>
      <c r="F13" s="700">
        <f>+(1+$D$18)^(F9-'User Input'!$E$9)</f>
        <v>1.4470167730676382</v>
      </c>
      <c r="G13" s="700">
        <f>+(1+$D$18)^(G9-'User Input'!$E$9)</f>
        <v>1.558002959561926</v>
      </c>
      <c r="H13" s="700">
        <f>+(1+$D$18)^(H9-'User Input'!$E$9)</f>
        <v>1.6775017865603257</v>
      </c>
      <c r="I13" s="700">
        <f>+(1+$D$18)^(I9-'User Input'!$E$9)</f>
        <v>1.8061661735895027</v>
      </c>
      <c r="J13" s="700">
        <f>+(1+$D$18)^(J9-'User Input'!$E$9)</f>
        <v>1.9446991191038177</v>
      </c>
      <c r="K13" s="700">
        <f>+(1+$D$18)^(K9-'User Input'!$E$9)</f>
        <v>2.0938575415390805</v>
      </c>
      <c r="L13" s="700">
        <f>+(1+$D$18)^(L9-'User Input'!$E$9)</f>
        <v>2.2544564149751278</v>
      </c>
      <c r="M13" s="700">
        <f>+(1+$D$18)^(M9-'User Input'!$E$9)</f>
        <v>2.4273732220037205</v>
      </c>
      <c r="N13" s="700">
        <f>+(1+$D$18)^(N9-'User Input'!$E$9)</f>
        <v>2.613552748131406</v>
      </c>
      <c r="O13" s="700">
        <f>+(1+$D$18)^(O9-'User Input'!$E$9)</f>
        <v>2.8140122439130848</v>
      </c>
      <c r="P13" s="700">
        <f>+(1+$D$18)^(P9-'User Input'!$E$9)</f>
        <v>3.0298469830212182</v>
      </c>
      <c r="Q13" s="700">
        <f>+(1+$D$18)^(Q9-'User Input'!$E$9)</f>
        <v>3.2622362466189458</v>
      </c>
      <c r="R13" s="700">
        <f>+(1+$D$18)^(R9-'User Input'!$E$9)</f>
        <v>3.5124497667346191</v>
      </c>
      <c r="S13" s="700">
        <f>+(1+$D$18)^(S9-'User Input'!$E$9)</f>
        <v>3.7818546638431645</v>
      </c>
      <c r="T13" s="700">
        <f>+(1+$D$18)^(T9-'User Input'!$E$9)</f>
        <v>4.0719229165599353</v>
      </c>
      <c r="U13" s="700">
        <f>+(1+$D$18)^(U9-'User Input'!$E$9)</f>
        <v>4.3842394042600823</v>
      </c>
      <c r="V13" s="700">
        <f>+(1+$D$18)^(V9-'User Input'!$E$9)</f>
        <v>4.7205105665668308</v>
      </c>
      <c r="W13" s="700">
        <f>+(1+$D$18)^(W9-'User Input'!$E$9)</f>
        <v>5.0825737270225071</v>
      </c>
      <c r="X13" s="700">
        <f>+(1+$D$18)^(X9-'User Input'!$E$9)</f>
        <v>5.4724071318851326</v>
      </c>
      <c r="Y13" s="700">
        <f>+(1+$D$18)^(Y9-'User Input'!$E$9)</f>
        <v>5.8921407589007231</v>
      </c>
      <c r="Z13" s="287"/>
    </row>
    <row r="14" spans="1:26" x14ac:dyDescent="0.2">
      <c r="B14" s="227" t="s">
        <v>17</v>
      </c>
      <c r="C14" s="96"/>
      <c r="D14" s="96"/>
      <c r="E14" s="228">
        <f>Calculations!E10</f>
        <v>1.07988750718285</v>
      </c>
      <c r="F14" s="228">
        <f>Calculations!F10</f>
        <v>1.1008373248221972</v>
      </c>
      <c r="G14" s="228">
        <f>Calculations!G10</f>
        <v>1.1221935689237479</v>
      </c>
      <c r="H14" s="228">
        <f>Calculations!H10</f>
        <v>1.1439641241608687</v>
      </c>
      <c r="I14" s="228">
        <f>Calculations!I10</f>
        <v>1.1661570281695894</v>
      </c>
      <c r="J14" s="228">
        <f>Calculations!J10</f>
        <v>1.1887804745160795</v>
      </c>
      <c r="K14" s="228">
        <f>Calculations!K10</f>
        <v>1.2118428157216914</v>
      </c>
      <c r="L14" s="228">
        <f>Calculations!L10</f>
        <v>1.2353525663466922</v>
      </c>
      <c r="M14" s="228">
        <f>Calculations!M10</f>
        <v>1.2593184061338181</v>
      </c>
      <c r="N14" s="228">
        <f>Calculations!N10</f>
        <v>1.2837491832128141</v>
      </c>
      <c r="O14" s="228">
        <f>Calculations!O10</f>
        <v>1.3086539173671428</v>
      </c>
      <c r="P14" s="228">
        <f>Calculations!P10</f>
        <v>1.3340418033640653</v>
      </c>
      <c r="Q14" s="228">
        <f>Calculations!Q10</f>
        <v>1.3599222143493281</v>
      </c>
      <c r="R14" s="228">
        <f>Calculations!R10</f>
        <v>1.3863047053077051</v>
      </c>
      <c r="S14" s="228">
        <f>Calculations!S10</f>
        <v>1.4131990165906745</v>
      </c>
      <c r="T14" s="228">
        <f>Calculations!T10</f>
        <v>1.4406150775125335</v>
      </c>
      <c r="U14" s="228">
        <f>Calculations!U10</f>
        <v>1.4685630100162765</v>
      </c>
      <c r="V14" s="228">
        <f>Calculations!V10</f>
        <v>1.4970531324105922</v>
      </c>
      <c r="W14" s="228">
        <f>Calculations!W10</f>
        <v>1.5260959631793578</v>
      </c>
      <c r="X14" s="228">
        <f>Calculations!X10</f>
        <v>1.5557022248650374</v>
      </c>
      <c r="Y14" s="228">
        <f>Calculations!Y10</f>
        <v>1.5858828480274192</v>
      </c>
      <c r="Z14" s="287"/>
    </row>
    <row r="15" spans="1:26" collapsed="1" x14ac:dyDescent="0.2">
      <c r="B15" s="227"/>
      <c r="C15" s="96"/>
      <c r="D15" s="9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90"/>
    </row>
    <row r="16" spans="1:26" x14ac:dyDescent="0.2">
      <c r="B16" s="389" t="s">
        <v>194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1"/>
    </row>
    <row r="17" spans="2:26" x14ac:dyDescent="0.2">
      <c r="B17" s="107"/>
      <c r="C17" s="80"/>
      <c r="D17" s="8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87"/>
    </row>
    <row r="18" spans="2:26" x14ac:dyDescent="0.2">
      <c r="B18" s="107" t="s">
        <v>1</v>
      </c>
      <c r="C18" s="80"/>
      <c r="D18" s="336">
        <f>Calculations!D4+'User Input'!I351</f>
        <v>7.6700000000000004E-2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87"/>
    </row>
    <row r="19" spans="2:26" x14ac:dyDescent="0.2">
      <c r="B19" s="107" t="s">
        <v>199</v>
      </c>
      <c r="C19" s="80"/>
      <c r="D19" s="335">
        <f>'User Input'!G351</f>
        <v>-0.1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87"/>
    </row>
    <row r="20" spans="2:26" x14ac:dyDescent="0.2">
      <c r="B20" s="107" t="s">
        <v>200</v>
      </c>
      <c r="C20" s="80"/>
      <c r="D20" s="335">
        <f>'User Input'!H351</f>
        <v>-0.1</v>
      </c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87"/>
    </row>
    <row r="21" spans="2:26" x14ac:dyDescent="0.2">
      <c r="B21" s="107" t="s">
        <v>284</v>
      </c>
      <c r="C21" s="107"/>
      <c r="D21" s="335">
        <f>'User Input'!J351</f>
        <v>-0.1</v>
      </c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87"/>
    </row>
    <row r="22" spans="2:26" x14ac:dyDescent="0.2">
      <c r="B22" s="107" t="s">
        <v>285</v>
      </c>
      <c r="C22" s="80"/>
      <c r="D22" s="335">
        <f>'User Input'!K351</f>
        <v>-0.1</v>
      </c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87"/>
    </row>
    <row r="23" spans="2:26" x14ac:dyDescent="0.2">
      <c r="B23" s="107" t="s">
        <v>286</v>
      </c>
      <c r="C23" s="80"/>
      <c r="D23" s="335">
        <f>'User Input'!L351</f>
        <v>-0.1</v>
      </c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87"/>
    </row>
    <row r="24" spans="2:26" x14ac:dyDescent="0.2">
      <c r="B24" s="107"/>
      <c r="C24" s="80"/>
      <c r="D24" s="8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87"/>
    </row>
    <row r="25" spans="2:26" x14ac:dyDescent="0.2">
      <c r="B25" s="366" t="str">
        <f>'User Input'!D24</f>
        <v>"Status Quo" Reference Case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70"/>
    </row>
    <row r="26" spans="2:26" ht="13.5" thickBot="1" x14ac:dyDescent="0.25">
      <c r="B26" s="52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87"/>
    </row>
    <row r="27" spans="2:26" ht="13.5" thickBot="1" x14ac:dyDescent="0.25">
      <c r="B27" s="52"/>
      <c r="C27" s="29" t="s">
        <v>76</v>
      </c>
      <c r="D27" s="67">
        <f>SUM(E27:Y27)</f>
        <v>5858.5074170819698</v>
      </c>
      <c r="E27" s="141">
        <f>Calculations!E14*(1+$D$19)</f>
        <v>0</v>
      </c>
      <c r="F27" s="141">
        <f>Calculations!F14*(1+$D$19)</f>
        <v>123.84419904249718</v>
      </c>
      <c r="G27" s="141">
        <f>Calculations!G14*(1+$D$19)</f>
        <v>252.4935530078433</v>
      </c>
      <c r="H27" s="141">
        <f>Calculations!H14*(1+$D$19)</f>
        <v>257.39192793619549</v>
      </c>
      <c r="I27" s="141">
        <f>Calculations!I14*(1+$D$19)</f>
        <v>262.38533133815764</v>
      </c>
      <c r="J27" s="141">
        <f>Calculations!J14*(1+$D$19)</f>
        <v>267.47560676611789</v>
      </c>
      <c r="K27" s="141">
        <f>Calculations!K14*(1+$D$19)</f>
        <v>272.66463353738055</v>
      </c>
      <c r="L27" s="141">
        <f>Calculations!L14*(1+$D$19)</f>
        <v>277.95432742800574</v>
      </c>
      <c r="M27" s="141">
        <f>Calculations!M14*(1+$D$19)</f>
        <v>283.34664138010908</v>
      </c>
      <c r="N27" s="141">
        <f>Calculations!N14*(1+$D$19)</f>
        <v>288.84356622288317</v>
      </c>
      <c r="O27" s="141">
        <f>Calculations!O14*(1+$D$19)</f>
        <v>294.44713140760717</v>
      </c>
      <c r="P27" s="141">
        <f>Calculations!P14*(1+$D$19)</f>
        <v>300.15940575691474</v>
      </c>
      <c r="Q27" s="141">
        <f>Calculations!Q14*(1+$D$19)</f>
        <v>305.98249822859884</v>
      </c>
      <c r="R27" s="141">
        <f>Calculations!R14*(1+$D$19)</f>
        <v>311.91855869423364</v>
      </c>
      <c r="S27" s="141">
        <f>Calculations!S14*(1+$D$19)</f>
        <v>317.96977873290177</v>
      </c>
      <c r="T27" s="141">
        <f>Calculations!T14*(1+$D$19)</f>
        <v>324.13839244032005</v>
      </c>
      <c r="U27" s="141">
        <f>Calculations!U14*(1+$D$19)</f>
        <v>330.42667725366226</v>
      </c>
      <c r="V27" s="141">
        <f>Calculations!V14*(1+$D$19)</f>
        <v>336.83695479238327</v>
      </c>
      <c r="W27" s="141">
        <f>Calculations!W14*(1+$D$19)</f>
        <v>343.37159171535552</v>
      </c>
      <c r="X27" s="141">
        <f>Calculations!X14*(1+$D$19)</f>
        <v>350.03300059463339</v>
      </c>
      <c r="Y27" s="141">
        <f>Calculations!Y14*(1+$D$19)</f>
        <v>356.82364080616935</v>
      </c>
      <c r="Z27" s="287"/>
    </row>
    <row r="28" spans="2:26" ht="13.5" thickBot="1" x14ac:dyDescent="0.25">
      <c r="B28" s="107"/>
      <c r="C28" s="137" t="str">
        <f>'User Input'!D27</f>
        <v>Maintenance Costs</v>
      </c>
      <c r="D28" s="67">
        <f>SUM(E28:Y28)</f>
        <v>0</v>
      </c>
      <c r="E28" s="141">
        <f>Calculations!E15*(1+$D$20)</f>
        <v>0</v>
      </c>
      <c r="F28" s="141">
        <f>Calculations!F15*(1+$D$20)</f>
        <v>0</v>
      </c>
      <c r="G28" s="141">
        <f>Calculations!G15*(1+$D$20)</f>
        <v>0</v>
      </c>
      <c r="H28" s="141">
        <f>Calculations!H15*(1+$D$20)</f>
        <v>0</v>
      </c>
      <c r="I28" s="141">
        <f>Calculations!I15*(1+$D$20)</f>
        <v>0</v>
      </c>
      <c r="J28" s="141">
        <f>Calculations!J15*(1+$D$20)</f>
        <v>0</v>
      </c>
      <c r="K28" s="141">
        <f>Calculations!K15*(1+$D$20)</f>
        <v>0</v>
      </c>
      <c r="L28" s="141">
        <f>Calculations!L15*(1+$D$20)</f>
        <v>0</v>
      </c>
      <c r="M28" s="141">
        <f>Calculations!M15*(1+$D$20)</f>
        <v>0</v>
      </c>
      <c r="N28" s="141">
        <f>Calculations!N15*(1+$D$20)</f>
        <v>0</v>
      </c>
      <c r="O28" s="141">
        <f>Calculations!O15*(1+$D$20)</f>
        <v>0</v>
      </c>
      <c r="P28" s="141">
        <f>Calculations!P15*(1+$D$20)</f>
        <v>0</v>
      </c>
      <c r="Q28" s="141">
        <f>Calculations!Q15*(1+$D$20)</f>
        <v>0</v>
      </c>
      <c r="R28" s="141">
        <f>Calculations!R15*(1+$D$20)</f>
        <v>0</v>
      </c>
      <c r="S28" s="141">
        <f>Calculations!S15*(1+$D$20)</f>
        <v>0</v>
      </c>
      <c r="T28" s="141">
        <f>Calculations!T15*(1+$D$20)</f>
        <v>0</v>
      </c>
      <c r="U28" s="141">
        <f>Calculations!U15*(1+$D$20)</f>
        <v>0</v>
      </c>
      <c r="V28" s="141">
        <f>Calculations!V15*(1+$D$20)</f>
        <v>0</v>
      </c>
      <c r="W28" s="141">
        <f>Calculations!W15*(1+$D$20)</f>
        <v>0</v>
      </c>
      <c r="X28" s="141">
        <f>Calculations!X15*(1+$D$20)</f>
        <v>0</v>
      </c>
      <c r="Y28" s="141">
        <f>Calculations!Y15*(1+$D$20)</f>
        <v>0</v>
      </c>
      <c r="Z28" s="287"/>
    </row>
    <row r="29" spans="2:26" ht="13.5" thickBot="1" x14ac:dyDescent="0.25">
      <c r="B29" s="107"/>
      <c r="C29" s="137" t="str">
        <f>'User Input'!D29</f>
        <v>Negative Impact on Revenue (STPIS)</v>
      </c>
      <c r="D29" s="195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147"/>
      <c r="Z29" s="287"/>
    </row>
    <row r="30" spans="2:26" ht="13.5" thickBot="1" x14ac:dyDescent="0.25">
      <c r="B30" s="107"/>
      <c r="C30" s="136" t="s">
        <v>128</v>
      </c>
      <c r="D30" s="67">
        <f t="shared" ref="D30:D47" si="2">SUM(E30:Y30)</f>
        <v>0</v>
      </c>
      <c r="E30" s="259">
        <v>0</v>
      </c>
      <c r="F30" s="259">
        <v>0</v>
      </c>
      <c r="G30" s="64">
        <f>Calculations!G17*(1+$D$22)</f>
        <v>0</v>
      </c>
      <c r="H30" s="64">
        <f>Calculations!H17*(1+$D$22)</f>
        <v>0</v>
      </c>
      <c r="I30" s="64">
        <f>Calculations!I17*(1+$D$22)</f>
        <v>0</v>
      </c>
      <c r="J30" s="64">
        <f>Calculations!J17*(1+$D$22)</f>
        <v>0</v>
      </c>
      <c r="K30" s="64">
        <f>Calculations!K17*(1+$D$22)</f>
        <v>0</v>
      </c>
      <c r="L30" s="64">
        <f>Calculations!L17*(1+$D$22)</f>
        <v>0</v>
      </c>
      <c r="M30" s="64">
        <f>Calculations!M17*(1+$D$22)</f>
        <v>0</v>
      </c>
      <c r="N30" s="64">
        <f>Calculations!N17*(1+$D$22)</f>
        <v>0</v>
      </c>
      <c r="O30" s="64">
        <f>Calculations!O17*(1+$D$22)</f>
        <v>0</v>
      </c>
      <c r="P30" s="64">
        <f>Calculations!P17*(1+$D$22)</f>
        <v>0</v>
      </c>
      <c r="Q30" s="64">
        <f>Calculations!Q17*(1+$D$22)</f>
        <v>0</v>
      </c>
      <c r="R30" s="64">
        <f>Calculations!R17*(1+$D$22)</f>
        <v>0</v>
      </c>
      <c r="S30" s="64">
        <f>Calculations!S17*(1+$D$22)</f>
        <v>0</v>
      </c>
      <c r="T30" s="64">
        <f>Calculations!T17*(1+$D$22)</f>
        <v>0</v>
      </c>
      <c r="U30" s="64">
        <f>Calculations!U17*(1+$D$22)</f>
        <v>0</v>
      </c>
      <c r="V30" s="64">
        <f>Calculations!V17*(1+$D$22)</f>
        <v>0</v>
      </c>
      <c r="W30" s="64">
        <f>Calculations!W17*(1+$D$22)</f>
        <v>0</v>
      </c>
      <c r="X30" s="64">
        <f>Calculations!X17*(1+$D$22)</f>
        <v>0</v>
      </c>
      <c r="Y30" s="64">
        <f>Calculations!Y17*(1+$D$22)</f>
        <v>0</v>
      </c>
      <c r="Z30" s="287"/>
    </row>
    <row r="31" spans="2:26" ht="13.5" thickBot="1" x14ac:dyDescent="0.25">
      <c r="B31" s="107"/>
      <c r="C31" s="136" t="s">
        <v>129</v>
      </c>
      <c r="D31" s="67">
        <f t="shared" si="2"/>
        <v>0</v>
      </c>
      <c r="E31" s="259">
        <v>0</v>
      </c>
      <c r="F31" s="259">
        <v>0</v>
      </c>
      <c r="G31" s="64">
        <f>Calculations!G18*(1+$D$21)</f>
        <v>0</v>
      </c>
      <c r="H31" s="64">
        <f>Calculations!H18*(1+$D$21)</f>
        <v>0</v>
      </c>
      <c r="I31" s="64">
        <f>Calculations!I18*(1+$D$21)</f>
        <v>0</v>
      </c>
      <c r="J31" s="64">
        <f>Calculations!J18*(1+$D$21)</f>
        <v>0</v>
      </c>
      <c r="K31" s="64">
        <f>Calculations!K18*(1+$D$21)</f>
        <v>0</v>
      </c>
      <c r="L31" s="64">
        <f>Calculations!L18*(1+$D$21)</f>
        <v>0</v>
      </c>
      <c r="M31" s="64">
        <f>Calculations!M18*(1+$D$21)</f>
        <v>0</v>
      </c>
      <c r="N31" s="64">
        <f>Calculations!N18*(1+$D$21)</f>
        <v>0</v>
      </c>
      <c r="O31" s="64">
        <f>Calculations!O18*(1+$D$21)</f>
        <v>0</v>
      </c>
      <c r="P31" s="64">
        <f>Calculations!P18*(1+$D$21)</f>
        <v>0</v>
      </c>
      <c r="Q31" s="64">
        <f>Calculations!Q18*(1+$D$21)</f>
        <v>0</v>
      </c>
      <c r="R31" s="64">
        <f>Calculations!R18*(1+$D$21)</f>
        <v>0</v>
      </c>
      <c r="S31" s="64">
        <f>Calculations!S18*(1+$D$21)</f>
        <v>0</v>
      </c>
      <c r="T31" s="64">
        <f>Calculations!T18*(1+$D$21)</f>
        <v>0</v>
      </c>
      <c r="U31" s="64">
        <f>Calculations!U18*(1+$D$21)</f>
        <v>0</v>
      </c>
      <c r="V31" s="64">
        <f>Calculations!V18*(1+$D$21)</f>
        <v>0</v>
      </c>
      <c r="W31" s="64">
        <f>Calculations!W18*(1+$D$21)</f>
        <v>0</v>
      </c>
      <c r="X31" s="64">
        <f>Calculations!X18*(1+$D$21)</f>
        <v>0</v>
      </c>
      <c r="Y31" s="64">
        <f>Calculations!Y18*(1+$D$21)</f>
        <v>0</v>
      </c>
      <c r="Z31" s="287"/>
    </row>
    <row r="32" spans="2:26" ht="13.5" thickBot="1" x14ac:dyDescent="0.25">
      <c r="B32" s="107"/>
      <c r="C32" s="136" t="s">
        <v>130</v>
      </c>
      <c r="D32" s="67">
        <f t="shared" si="2"/>
        <v>0</v>
      </c>
      <c r="E32" s="259">
        <v>0</v>
      </c>
      <c r="F32" s="259">
        <v>0</v>
      </c>
      <c r="G32" s="64">
        <f>Calculations!G19*(1+$D$23)</f>
        <v>0</v>
      </c>
      <c r="H32" s="64">
        <f>Calculations!H19*(1+$D$23)</f>
        <v>0</v>
      </c>
      <c r="I32" s="64">
        <f>Calculations!I19*(1+$D$23)</f>
        <v>0</v>
      </c>
      <c r="J32" s="64">
        <f>Calculations!J19*(1+$D$23)</f>
        <v>0</v>
      </c>
      <c r="K32" s="64">
        <f>Calculations!K19*(1+$D$23)</f>
        <v>0</v>
      </c>
      <c r="L32" s="64">
        <f>Calculations!L19*(1+$D$23)</f>
        <v>0</v>
      </c>
      <c r="M32" s="64">
        <f>Calculations!M19*(1+$D$23)</f>
        <v>0</v>
      </c>
      <c r="N32" s="64">
        <f>Calculations!N19*(1+$D$23)</f>
        <v>0</v>
      </c>
      <c r="O32" s="64">
        <f>Calculations!O19*(1+$D$23)</f>
        <v>0</v>
      </c>
      <c r="P32" s="64">
        <f>Calculations!P19*(1+$D$23)</f>
        <v>0</v>
      </c>
      <c r="Q32" s="64">
        <f>Calculations!Q19*(1+$D$23)</f>
        <v>0</v>
      </c>
      <c r="R32" s="64">
        <f>Calculations!R19*(1+$D$23)</f>
        <v>0</v>
      </c>
      <c r="S32" s="64">
        <f>Calculations!S19*(1+$D$23)</f>
        <v>0</v>
      </c>
      <c r="T32" s="64">
        <f>Calculations!T19*(1+$D$23)</f>
        <v>0</v>
      </c>
      <c r="U32" s="64">
        <f>Calculations!U19*(1+$D$23)</f>
        <v>0</v>
      </c>
      <c r="V32" s="64">
        <f>Calculations!V19*(1+$D$23)</f>
        <v>0</v>
      </c>
      <c r="W32" s="64">
        <f>Calculations!W19*(1+$D$23)</f>
        <v>0</v>
      </c>
      <c r="X32" s="64">
        <f>Calculations!X19*(1+$D$23)</f>
        <v>0</v>
      </c>
      <c r="Y32" s="64">
        <f>Calculations!Y19*(1+$D$23)</f>
        <v>0</v>
      </c>
      <c r="Z32" s="287"/>
    </row>
    <row r="33" spans="2:26" ht="13.5" thickBot="1" x14ac:dyDescent="0.25">
      <c r="B33" s="107"/>
      <c r="C33" s="136" t="s">
        <v>131</v>
      </c>
      <c r="D33" s="67">
        <f t="shared" si="2"/>
        <v>0</v>
      </c>
      <c r="E33" s="259">
        <v>0</v>
      </c>
      <c r="F33" s="259">
        <v>0</v>
      </c>
      <c r="G33" s="64">
        <f>Calculations!G20*(1+$D$20)</f>
        <v>0</v>
      </c>
      <c r="H33" s="64">
        <f>Calculations!H20*(1+$D$20)</f>
        <v>0</v>
      </c>
      <c r="I33" s="64">
        <f>Calculations!I20*(1+$D$20)</f>
        <v>0</v>
      </c>
      <c r="J33" s="64">
        <f>Calculations!J20*(1+$D$20)</f>
        <v>0</v>
      </c>
      <c r="K33" s="64">
        <f>Calculations!K20*(1+$D$20)</f>
        <v>0</v>
      </c>
      <c r="L33" s="64">
        <f>Calculations!L20*(1+$D$20)</f>
        <v>0</v>
      </c>
      <c r="M33" s="64">
        <f>Calculations!M20*(1+$D$20)</f>
        <v>0</v>
      </c>
      <c r="N33" s="64">
        <f>Calculations!N20*(1+$D$20)</f>
        <v>0</v>
      </c>
      <c r="O33" s="64">
        <f>Calculations!O20*(1+$D$20)</f>
        <v>0</v>
      </c>
      <c r="P33" s="64">
        <f>Calculations!P20*(1+$D$20)</f>
        <v>0</v>
      </c>
      <c r="Q33" s="64">
        <f>Calculations!Q20*(1+$D$20)</f>
        <v>0</v>
      </c>
      <c r="R33" s="64">
        <f>Calculations!R20*(1+$D$20)</f>
        <v>0</v>
      </c>
      <c r="S33" s="64">
        <f>Calculations!S20*(1+$D$20)</f>
        <v>0</v>
      </c>
      <c r="T33" s="64">
        <f>Calculations!T20*(1+$D$20)</f>
        <v>0</v>
      </c>
      <c r="U33" s="64">
        <f>Calculations!U20*(1+$D$20)</f>
        <v>0</v>
      </c>
      <c r="V33" s="64">
        <f>Calculations!V20*(1+$D$20)</f>
        <v>0</v>
      </c>
      <c r="W33" s="64">
        <f>Calculations!W20*(1+$D$20)</f>
        <v>0</v>
      </c>
      <c r="X33" s="64">
        <f>Calculations!X20*(1+$D$20)</f>
        <v>0</v>
      </c>
      <c r="Y33" s="64">
        <f>Calculations!Y20*(1+$D$20)</f>
        <v>0</v>
      </c>
      <c r="Z33" s="287"/>
    </row>
    <row r="34" spans="2:26" ht="13.5" thickBot="1" x14ac:dyDescent="0.25">
      <c r="B34" s="107"/>
      <c r="C34" s="137" t="str">
        <f>'User Input'!D35</f>
        <v>Network Outage Costs</v>
      </c>
      <c r="D34" s="67">
        <f t="shared" si="2"/>
        <v>0</v>
      </c>
      <c r="E34" s="64">
        <f>Calculations!E21*(1+$D$20)</f>
        <v>0</v>
      </c>
      <c r="F34" s="64">
        <f>Calculations!F21*(1+$D$20)</f>
        <v>0</v>
      </c>
      <c r="G34" s="64">
        <f>Calculations!G21*(1+$D$20)</f>
        <v>0</v>
      </c>
      <c r="H34" s="64">
        <f>Calculations!H21*(1+$D$20)</f>
        <v>0</v>
      </c>
      <c r="I34" s="64">
        <f>Calculations!I21*(1+$D$20)</f>
        <v>0</v>
      </c>
      <c r="J34" s="64">
        <f>Calculations!J21*(1+$D$20)</f>
        <v>0</v>
      </c>
      <c r="K34" s="64">
        <f>Calculations!K21*(1+$D$20)</f>
        <v>0</v>
      </c>
      <c r="L34" s="64">
        <f>Calculations!L21*(1+$D$20)</f>
        <v>0</v>
      </c>
      <c r="M34" s="64">
        <f>Calculations!M21*(1+$D$20)</f>
        <v>0</v>
      </c>
      <c r="N34" s="64">
        <f>Calculations!N21*(1+$D$20)</f>
        <v>0</v>
      </c>
      <c r="O34" s="64">
        <f>Calculations!O21*(1+$D$20)</f>
        <v>0</v>
      </c>
      <c r="P34" s="64">
        <f>Calculations!P21*(1+$D$20)</f>
        <v>0</v>
      </c>
      <c r="Q34" s="64">
        <f>Calculations!Q21*(1+$D$20)</f>
        <v>0</v>
      </c>
      <c r="R34" s="64">
        <f>Calculations!R21*(1+$D$20)</f>
        <v>0</v>
      </c>
      <c r="S34" s="64">
        <f>Calculations!S21*(1+$D$20)</f>
        <v>0</v>
      </c>
      <c r="T34" s="64">
        <f>Calculations!T21*(1+$D$20)</f>
        <v>0</v>
      </c>
      <c r="U34" s="64">
        <f>Calculations!U21*(1+$D$20)</f>
        <v>0</v>
      </c>
      <c r="V34" s="64">
        <f>Calculations!V21*(1+$D$20)</f>
        <v>0</v>
      </c>
      <c r="W34" s="64">
        <f>Calculations!W21*(1+$D$20)</f>
        <v>0</v>
      </c>
      <c r="X34" s="64">
        <f>Calculations!X21*(1+$D$20)</f>
        <v>0</v>
      </c>
      <c r="Y34" s="64">
        <f>Calculations!Y21*(1+$D$20)</f>
        <v>0</v>
      </c>
      <c r="Z34" s="287"/>
    </row>
    <row r="35" spans="2:26" ht="13.5" thickBot="1" x14ac:dyDescent="0.25">
      <c r="B35" s="107"/>
      <c r="C35" s="137" t="str">
        <f>'User Input'!D39</f>
        <v>Loss of F Factor Benefit</v>
      </c>
      <c r="D35" s="67">
        <f t="shared" si="2"/>
        <v>0</v>
      </c>
      <c r="E35" s="64">
        <f>Calculations!E22*(1+$D$20)</f>
        <v>0</v>
      </c>
      <c r="F35" s="64">
        <f>Calculations!F22*(1+$D$20)</f>
        <v>0</v>
      </c>
      <c r="G35" s="64">
        <f>Calculations!G22*(1+$D$20)</f>
        <v>0</v>
      </c>
      <c r="H35" s="64">
        <f>Calculations!H22*(1+$D$20)</f>
        <v>0</v>
      </c>
      <c r="I35" s="64">
        <f>Calculations!I22*(1+$D$20)</f>
        <v>0</v>
      </c>
      <c r="J35" s="64">
        <f>Calculations!J22*(1+$D$20)</f>
        <v>0</v>
      </c>
      <c r="K35" s="64">
        <f>Calculations!K22*(1+$D$20)</f>
        <v>0</v>
      </c>
      <c r="L35" s="64">
        <f>Calculations!L22*(1+$D$20)</f>
        <v>0</v>
      </c>
      <c r="M35" s="64">
        <f>Calculations!M22*(1+$D$20)</f>
        <v>0</v>
      </c>
      <c r="N35" s="64">
        <f>Calculations!N22*(1+$D$20)</f>
        <v>0</v>
      </c>
      <c r="O35" s="64">
        <f>Calculations!O22*(1+$D$20)</f>
        <v>0</v>
      </c>
      <c r="P35" s="64">
        <f>Calculations!P22*(1+$D$20)</f>
        <v>0</v>
      </c>
      <c r="Q35" s="64">
        <f>Calculations!Q22*(1+$D$20)</f>
        <v>0</v>
      </c>
      <c r="R35" s="64">
        <f>Calculations!R22*(1+$D$20)</f>
        <v>0</v>
      </c>
      <c r="S35" s="64">
        <f>Calculations!S22*(1+$D$20)</f>
        <v>0</v>
      </c>
      <c r="T35" s="64">
        <f>Calculations!T22*(1+$D$20)</f>
        <v>0</v>
      </c>
      <c r="U35" s="64">
        <f>Calculations!U22*(1+$D$20)</f>
        <v>0</v>
      </c>
      <c r="V35" s="64">
        <f>Calculations!V22*(1+$D$20)</f>
        <v>0</v>
      </c>
      <c r="W35" s="64">
        <f>Calculations!W22*(1+$D$20)</f>
        <v>0</v>
      </c>
      <c r="X35" s="64">
        <f>Calculations!X22*(1+$D$20)</f>
        <v>0</v>
      </c>
      <c r="Y35" s="64">
        <f>Calculations!Y22*(1+$D$20)</f>
        <v>0</v>
      </c>
      <c r="Z35" s="287"/>
    </row>
    <row r="36" spans="2:26" ht="13.5" thickBot="1" x14ac:dyDescent="0.25">
      <c r="B36" s="107"/>
      <c r="C36" s="137" t="str">
        <f>'User Input'!D42</f>
        <v>Cost 1</v>
      </c>
      <c r="D36" s="67">
        <f t="shared" si="2"/>
        <v>0</v>
      </c>
      <c r="E36" s="64">
        <f>Calculations!E23*(1+$D$20)</f>
        <v>0</v>
      </c>
      <c r="F36" s="64">
        <f>Calculations!F23*(1+$D$20)</f>
        <v>0</v>
      </c>
      <c r="G36" s="64">
        <f>Calculations!G23*(1+$D$20)</f>
        <v>0</v>
      </c>
      <c r="H36" s="64">
        <f>Calculations!H23*(1+$D$20)</f>
        <v>0</v>
      </c>
      <c r="I36" s="64">
        <f>Calculations!I23*(1+$D$20)</f>
        <v>0</v>
      </c>
      <c r="J36" s="64">
        <f>Calculations!J23*(1+$D$20)</f>
        <v>0</v>
      </c>
      <c r="K36" s="64">
        <f>Calculations!K23*(1+$D$20)</f>
        <v>0</v>
      </c>
      <c r="L36" s="64">
        <f>Calculations!L23*(1+$D$20)</f>
        <v>0</v>
      </c>
      <c r="M36" s="64">
        <f>Calculations!M23*(1+$D$20)</f>
        <v>0</v>
      </c>
      <c r="N36" s="64">
        <f>Calculations!N23*(1+$D$20)</f>
        <v>0</v>
      </c>
      <c r="O36" s="64">
        <f>Calculations!O23*(1+$D$20)</f>
        <v>0</v>
      </c>
      <c r="P36" s="64">
        <f>Calculations!P23*(1+$D$20)</f>
        <v>0</v>
      </c>
      <c r="Q36" s="64">
        <f>Calculations!Q23*(1+$D$20)</f>
        <v>0</v>
      </c>
      <c r="R36" s="64">
        <f>Calculations!R23*(1+$D$20)</f>
        <v>0</v>
      </c>
      <c r="S36" s="64">
        <f>Calculations!S23*(1+$D$20)</f>
        <v>0</v>
      </c>
      <c r="T36" s="64">
        <f>Calculations!T23*(1+$D$20)</f>
        <v>0</v>
      </c>
      <c r="U36" s="64">
        <f>Calculations!U23*(1+$D$20)</f>
        <v>0</v>
      </c>
      <c r="V36" s="64">
        <f>Calculations!V23*(1+$D$20)</f>
        <v>0</v>
      </c>
      <c r="W36" s="64">
        <f>Calculations!W23*(1+$D$20)</f>
        <v>0</v>
      </c>
      <c r="X36" s="64">
        <f>Calculations!X23*(1+$D$20)</f>
        <v>0</v>
      </c>
      <c r="Y36" s="64">
        <f>Calculations!Y23*(1+$D$20)</f>
        <v>0</v>
      </c>
      <c r="Z36" s="287"/>
    </row>
    <row r="37" spans="2:26" ht="13.5" thickBot="1" x14ac:dyDescent="0.25">
      <c r="B37" s="107"/>
      <c r="C37" s="137" t="str">
        <f>'User Input'!D43</f>
        <v>Cost 2</v>
      </c>
      <c r="D37" s="67">
        <f t="shared" si="2"/>
        <v>0</v>
      </c>
      <c r="E37" s="64">
        <f>Calculations!E24*(1+$D$20)</f>
        <v>0</v>
      </c>
      <c r="F37" s="64">
        <f>Calculations!F24*(1+$D$20)</f>
        <v>0</v>
      </c>
      <c r="G37" s="64">
        <f>Calculations!G24*(1+$D$20)</f>
        <v>0</v>
      </c>
      <c r="H37" s="64">
        <f>Calculations!H24*(1+$D$20)</f>
        <v>0</v>
      </c>
      <c r="I37" s="64">
        <f>Calculations!I24*(1+$D$20)</f>
        <v>0</v>
      </c>
      <c r="J37" s="64">
        <f>Calculations!J24*(1+$D$20)</f>
        <v>0</v>
      </c>
      <c r="K37" s="64">
        <f>Calculations!K24*(1+$D$20)</f>
        <v>0</v>
      </c>
      <c r="L37" s="64">
        <f>Calculations!L24*(1+$D$20)</f>
        <v>0</v>
      </c>
      <c r="M37" s="64">
        <f>Calculations!M24*(1+$D$20)</f>
        <v>0</v>
      </c>
      <c r="N37" s="64">
        <f>Calculations!N24*(1+$D$20)</f>
        <v>0</v>
      </c>
      <c r="O37" s="64">
        <f>Calculations!O24*(1+$D$20)</f>
        <v>0</v>
      </c>
      <c r="P37" s="64">
        <f>Calculations!P24*(1+$D$20)</f>
        <v>0</v>
      </c>
      <c r="Q37" s="64">
        <f>Calculations!Q24*(1+$D$20)</f>
        <v>0</v>
      </c>
      <c r="R37" s="64">
        <f>Calculations!R24*(1+$D$20)</f>
        <v>0</v>
      </c>
      <c r="S37" s="64">
        <f>Calculations!S24*(1+$D$20)</f>
        <v>0</v>
      </c>
      <c r="T37" s="64">
        <f>Calculations!T24*(1+$D$20)</f>
        <v>0</v>
      </c>
      <c r="U37" s="64">
        <f>Calculations!U24*(1+$D$20)</f>
        <v>0</v>
      </c>
      <c r="V37" s="64">
        <f>Calculations!V24*(1+$D$20)</f>
        <v>0</v>
      </c>
      <c r="W37" s="64">
        <f>Calculations!W24*(1+$D$20)</f>
        <v>0</v>
      </c>
      <c r="X37" s="64">
        <f>Calculations!X24*(1+$D$20)</f>
        <v>0</v>
      </c>
      <c r="Y37" s="64">
        <f>Calculations!Y24*(1+$D$20)</f>
        <v>0</v>
      </c>
      <c r="Z37" s="287"/>
    </row>
    <row r="38" spans="2:26" ht="13.5" thickBot="1" x14ac:dyDescent="0.25">
      <c r="B38" s="107"/>
      <c r="C38" s="137" t="str">
        <f>'User Input'!D44</f>
        <v>Cost 3</v>
      </c>
      <c r="D38" s="67">
        <f t="shared" si="2"/>
        <v>0</v>
      </c>
      <c r="E38" s="64">
        <f>Calculations!E25*(1+$D$20)</f>
        <v>0</v>
      </c>
      <c r="F38" s="64">
        <f>Calculations!F25*(1+$D$20)</f>
        <v>0</v>
      </c>
      <c r="G38" s="64">
        <f>Calculations!G25*(1+$D$20)</f>
        <v>0</v>
      </c>
      <c r="H38" s="64">
        <f>Calculations!H25*(1+$D$20)</f>
        <v>0</v>
      </c>
      <c r="I38" s="64">
        <f>Calculations!I25*(1+$D$20)</f>
        <v>0</v>
      </c>
      <c r="J38" s="64">
        <f>Calculations!J25*(1+$D$20)</f>
        <v>0</v>
      </c>
      <c r="K38" s="64">
        <f>Calculations!K25*(1+$D$20)</f>
        <v>0</v>
      </c>
      <c r="L38" s="64">
        <f>Calculations!L25*(1+$D$20)</f>
        <v>0</v>
      </c>
      <c r="M38" s="64">
        <f>Calculations!M25*(1+$D$20)</f>
        <v>0</v>
      </c>
      <c r="N38" s="64">
        <f>Calculations!N25*(1+$D$20)</f>
        <v>0</v>
      </c>
      <c r="O38" s="64">
        <f>Calculations!O25*(1+$D$20)</f>
        <v>0</v>
      </c>
      <c r="P38" s="64">
        <f>Calculations!P25*(1+$D$20)</f>
        <v>0</v>
      </c>
      <c r="Q38" s="64">
        <f>Calculations!Q25*(1+$D$20)</f>
        <v>0</v>
      </c>
      <c r="R38" s="64">
        <f>Calculations!R25*(1+$D$20)</f>
        <v>0</v>
      </c>
      <c r="S38" s="64">
        <f>Calculations!S25*(1+$D$20)</f>
        <v>0</v>
      </c>
      <c r="T38" s="64">
        <f>Calculations!T25*(1+$D$20)</f>
        <v>0</v>
      </c>
      <c r="U38" s="64">
        <f>Calculations!U25*(1+$D$20)</f>
        <v>0</v>
      </c>
      <c r="V38" s="64">
        <f>Calculations!V25*(1+$D$20)</f>
        <v>0</v>
      </c>
      <c r="W38" s="64">
        <f>Calculations!W25*(1+$D$20)</f>
        <v>0</v>
      </c>
      <c r="X38" s="64">
        <f>Calculations!X25*(1+$D$20)</f>
        <v>0</v>
      </c>
      <c r="Y38" s="64">
        <f>Calculations!Y25*(1+$D$20)</f>
        <v>0</v>
      </c>
      <c r="Z38" s="287"/>
    </row>
    <row r="39" spans="2:26" ht="13.5" thickBot="1" x14ac:dyDescent="0.25">
      <c r="B39" s="107"/>
      <c r="C39" s="137" t="str">
        <f>'User Input'!D45</f>
        <v>Cost 4</v>
      </c>
      <c r="D39" s="67">
        <f t="shared" si="2"/>
        <v>0</v>
      </c>
      <c r="E39" s="64">
        <f>Calculations!E26*(1+$D$20)</f>
        <v>0</v>
      </c>
      <c r="F39" s="64">
        <f>Calculations!F26*(1+$D$20)</f>
        <v>0</v>
      </c>
      <c r="G39" s="64">
        <f>Calculations!G26*(1+$D$20)</f>
        <v>0</v>
      </c>
      <c r="H39" s="64">
        <f>Calculations!H26*(1+$D$20)</f>
        <v>0</v>
      </c>
      <c r="I39" s="64">
        <f>Calculations!I26*(1+$D$20)</f>
        <v>0</v>
      </c>
      <c r="J39" s="64">
        <f>Calculations!J26*(1+$D$20)</f>
        <v>0</v>
      </c>
      <c r="K39" s="64">
        <f>Calculations!K26*(1+$D$20)</f>
        <v>0</v>
      </c>
      <c r="L39" s="64">
        <f>Calculations!L26*(1+$D$20)</f>
        <v>0</v>
      </c>
      <c r="M39" s="64">
        <f>Calculations!M26*(1+$D$20)</f>
        <v>0</v>
      </c>
      <c r="N39" s="64">
        <f>Calculations!N26*(1+$D$20)</f>
        <v>0</v>
      </c>
      <c r="O39" s="64">
        <f>Calculations!O26*(1+$D$20)</f>
        <v>0</v>
      </c>
      <c r="P39" s="64">
        <f>Calculations!P26*(1+$D$20)</f>
        <v>0</v>
      </c>
      <c r="Q39" s="64">
        <f>Calculations!Q26*(1+$D$20)</f>
        <v>0</v>
      </c>
      <c r="R39" s="64">
        <f>Calculations!R26*(1+$D$20)</f>
        <v>0</v>
      </c>
      <c r="S39" s="64">
        <f>Calculations!S26*(1+$D$20)</f>
        <v>0</v>
      </c>
      <c r="T39" s="64">
        <f>Calculations!T26*(1+$D$20)</f>
        <v>0</v>
      </c>
      <c r="U39" s="64">
        <f>Calculations!U26*(1+$D$20)</f>
        <v>0</v>
      </c>
      <c r="V39" s="64">
        <f>Calculations!V26*(1+$D$20)</f>
        <v>0</v>
      </c>
      <c r="W39" s="64">
        <f>Calculations!W26*(1+$D$20)</f>
        <v>0</v>
      </c>
      <c r="X39" s="64">
        <f>Calculations!X26*(1+$D$20)</f>
        <v>0</v>
      </c>
      <c r="Y39" s="64">
        <f>Calculations!Y26*(1+$D$20)</f>
        <v>0</v>
      </c>
      <c r="Z39" s="287"/>
    </row>
    <row r="40" spans="2:26" ht="13.5" thickBot="1" x14ac:dyDescent="0.25">
      <c r="B40" s="107"/>
      <c r="C40" s="137" t="str">
        <f>'User Input'!D46</f>
        <v>Cost 5</v>
      </c>
      <c r="D40" s="67">
        <f t="shared" si="2"/>
        <v>0</v>
      </c>
      <c r="E40" s="64">
        <f>Calculations!E27*(1+$D$20)</f>
        <v>0</v>
      </c>
      <c r="F40" s="64">
        <f>Calculations!F27*(1+$D$20)</f>
        <v>0</v>
      </c>
      <c r="G40" s="64">
        <f>Calculations!G27*(1+$D$20)</f>
        <v>0</v>
      </c>
      <c r="H40" s="64">
        <f>Calculations!H27*(1+$D$20)</f>
        <v>0</v>
      </c>
      <c r="I40" s="64">
        <f>Calculations!I27*(1+$D$20)</f>
        <v>0</v>
      </c>
      <c r="J40" s="64">
        <f>Calculations!J27*(1+$D$20)</f>
        <v>0</v>
      </c>
      <c r="K40" s="64">
        <f>Calculations!K27*(1+$D$20)</f>
        <v>0</v>
      </c>
      <c r="L40" s="64">
        <f>Calculations!L27*(1+$D$20)</f>
        <v>0</v>
      </c>
      <c r="M40" s="64">
        <f>Calculations!M27*(1+$D$20)</f>
        <v>0</v>
      </c>
      <c r="N40" s="64">
        <f>Calculations!N27*(1+$D$20)</f>
        <v>0</v>
      </c>
      <c r="O40" s="64">
        <f>Calculations!O27*(1+$D$20)</f>
        <v>0</v>
      </c>
      <c r="P40" s="64">
        <f>Calculations!P27*(1+$D$20)</f>
        <v>0</v>
      </c>
      <c r="Q40" s="64">
        <f>Calculations!Q27*(1+$D$20)</f>
        <v>0</v>
      </c>
      <c r="R40" s="64">
        <f>Calculations!R27*(1+$D$20)</f>
        <v>0</v>
      </c>
      <c r="S40" s="64">
        <f>Calculations!S27*(1+$D$20)</f>
        <v>0</v>
      </c>
      <c r="T40" s="64">
        <f>Calculations!T27*(1+$D$20)</f>
        <v>0</v>
      </c>
      <c r="U40" s="64">
        <f>Calculations!U27*(1+$D$20)</f>
        <v>0</v>
      </c>
      <c r="V40" s="64">
        <f>Calculations!V27*(1+$D$20)</f>
        <v>0</v>
      </c>
      <c r="W40" s="64">
        <f>Calculations!W27*(1+$D$20)</f>
        <v>0</v>
      </c>
      <c r="X40" s="64">
        <f>Calculations!X27*(1+$D$20)</f>
        <v>0</v>
      </c>
      <c r="Y40" s="64">
        <f>Calculations!Y27*(1+$D$20)</f>
        <v>0</v>
      </c>
      <c r="Z40" s="287"/>
    </row>
    <row r="41" spans="2:26" ht="13.5" thickBot="1" x14ac:dyDescent="0.25">
      <c r="B41" s="107"/>
      <c r="C41" s="137" t="str">
        <f>'User Input'!D47</f>
        <v>Risk 1</v>
      </c>
      <c r="D41" s="67">
        <f t="shared" si="2"/>
        <v>0</v>
      </c>
      <c r="E41" s="64">
        <f>Calculations!E28*(1+$D$20)</f>
        <v>0</v>
      </c>
      <c r="F41" s="64">
        <f>Calculations!F28*(1+$D$20)</f>
        <v>0</v>
      </c>
      <c r="G41" s="64">
        <f>Calculations!G28*(1+$D$20)</f>
        <v>0</v>
      </c>
      <c r="H41" s="64">
        <f>Calculations!H28*(1+$D$20)</f>
        <v>0</v>
      </c>
      <c r="I41" s="64">
        <f>Calculations!I28*(1+$D$20)</f>
        <v>0</v>
      </c>
      <c r="J41" s="64">
        <f>Calculations!J28*(1+$D$20)</f>
        <v>0</v>
      </c>
      <c r="K41" s="64">
        <f>Calculations!K28*(1+$D$20)</f>
        <v>0</v>
      </c>
      <c r="L41" s="64">
        <f>Calculations!L28*(1+$D$20)</f>
        <v>0</v>
      </c>
      <c r="M41" s="64">
        <f>Calculations!M28*(1+$D$20)</f>
        <v>0</v>
      </c>
      <c r="N41" s="64">
        <f>Calculations!N28*(1+$D$20)</f>
        <v>0</v>
      </c>
      <c r="O41" s="64">
        <f>Calculations!O28*(1+$D$20)</f>
        <v>0</v>
      </c>
      <c r="P41" s="64">
        <f>Calculations!P28*(1+$D$20)</f>
        <v>0</v>
      </c>
      <c r="Q41" s="64">
        <f>Calculations!Q28*(1+$D$20)</f>
        <v>0</v>
      </c>
      <c r="R41" s="64">
        <f>Calculations!R28*(1+$D$20)</f>
        <v>0</v>
      </c>
      <c r="S41" s="64">
        <f>Calculations!S28*(1+$D$20)</f>
        <v>0</v>
      </c>
      <c r="T41" s="64">
        <f>Calculations!T28*(1+$D$20)</f>
        <v>0</v>
      </c>
      <c r="U41" s="64">
        <f>Calculations!U28*(1+$D$20)</f>
        <v>0</v>
      </c>
      <c r="V41" s="64">
        <f>Calculations!V28*(1+$D$20)</f>
        <v>0</v>
      </c>
      <c r="W41" s="64">
        <f>Calculations!W28*(1+$D$20)</f>
        <v>0</v>
      </c>
      <c r="X41" s="64">
        <f>Calculations!X28*(1+$D$20)</f>
        <v>0</v>
      </c>
      <c r="Y41" s="64">
        <f>Calculations!Y28*(1+$D$20)</f>
        <v>0</v>
      </c>
      <c r="Z41" s="287"/>
    </row>
    <row r="42" spans="2:26" ht="13.5" thickBot="1" x14ac:dyDescent="0.25">
      <c r="B42" s="107"/>
      <c r="C42" s="137" t="str">
        <f>'User Input'!D48</f>
        <v>Risk 2</v>
      </c>
      <c r="D42" s="67">
        <f t="shared" si="2"/>
        <v>0</v>
      </c>
      <c r="E42" s="64">
        <f>Calculations!E29*(1+$D$20)</f>
        <v>0</v>
      </c>
      <c r="F42" s="64">
        <f>Calculations!F29*(1+$D$20)</f>
        <v>0</v>
      </c>
      <c r="G42" s="64">
        <f>Calculations!G29*(1+$D$20)</f>
        <v>0</v>
      </c>
      <c r="H42" s="64">
        <f>Calculations!H29*(1+$D$20)</f>
        <v>0</v>
      </c>
      <c r="I42" s="64">
        <f>Calculations!I29*(1+$D$20)</f>
        <v>0</v>
      </c>
      <c r="J42" s="64">
        <f>Calculations!J29*(1+$D$20)</f>
        <v>0</v>
      </c>
      <c r="K42" s="64">
        <f>Calculations!K29*(1+$D$20)</f>
        <v>0</v>
      </c>
      <c r="L42" s="64">
        <f>Calculations!L29*(1+$D$20)</f>
        <v>0</v>
      </c>
      <c r="M42" s="64">
        <f>Calculations!M29*(1+$D$20)</f>
        <v>0</v>
      </c>
      <c r="N42" s="64">
        <f>Calculations!N29*(1+$D$20)</f>
        <v>0</v>
      </c>
      <c r="O42" s="64">
        <f>Calculations!O29*(1+$D$20)</f>
        <v>0</v>
      </c>
      <c r="P42" s="64">
        <f>Calculations!P29*(1+$D$20)</f>
        <v>0</v>
      </c>
      <c r="Q42" s="64">
        <f>Calculations!Q29*(1+$D$20)</f>
        <v>0</v>
      </c>
      <c r="R42" s="64">
        <f>Calculations!R29*(1+$D$20)</f>
        <v>0</v>
      </c>
      <c r="S42" s="64">
        <f>Calculations!S29*(1+$D$20)</f>
        <v>0</v>
      </c>
      <c r="T42" s="64">
        <f>Calculations!T29*(1+$D$20)</f>
        <v>0</v>
      </c>
      <c r="U42" s="64">
        <f>Calculations!U29*(1+$D$20)</f>
        <v>0</v>
      </c>
      <c r="V42" s="64">
        <f>Calculations!V29*(1+$D$20)</f>
        <v>0</v>
      </c>
      <c r="W42" s="64">
        <f>Calculations!W29*(1+$D$20)</f>
        <v>0</v>
      </c>
      <c r="X42" s="64">
        <f>Calculations!X29*(1+$D$20)</f>
        <v>0</v>
      </c>
      <c r="Y42" s="64">
        <f>Calculations!Y29*(1+$D$20)</f>
        <v>0</v>
      </c>
      <c r="Z42" s="287"/>
    </row>
    <row r="43" spans="2:26" ht="13.5" thickBot="1" x14ac:dyDescent="0.25">
      <c r="B43" s="107"/>
      <c r="C43" s="137" t="str">
        <f>'User Input'!D49</f>
        <v>Risk 3</v>
      </c>
      <c r="D43" s="67">
        <f t="shared" si="2"/>
        <v>0</v>
      </c>
      <c r="E43" s="64">
        <f>Calculations!E30*(1+$D$20)</f>
        <v>0</v>
      </c>
      <c r="F43" s="64">
        <f>Calculations!F30*(1+$D$20)</f>
        <v>0</v>
      </c>
      <c r="G43" s="64">
        <f>Calculations!G30*(1+$D$20)</f>
        <v>0</v>
      </c>
      <c r="H43" s="64">
        <f>Calculations!H30*(1+$D$20)</f>
        <v>0</v>
      </c>
      <c r="I43" s="64">
        <f>Calculations!I30*(1+$D$20)</f>
        <v>0</v>
      </c>
      <c r="J43" s="64">
        <f>Calculations!J30*(1+$D$20)</f>
        <v>0</v>
      </c>
      <c r="K43" s="64">
        <f>Calculations!K30*(1+$D$20)</f>
        <v>0</v>
      </c>
      <c r="L43" s="64">
        <f>Calculations!L30*(1+$D$20)</f>
        <v>0</v>
      </c>
      <c r="M43" s="64">
        <f>Calculations!M30*(1+$D$20)</f>
        <v>0</v>
      </c>
      <c r="N43" s="64">
        <f>Calculations!N30*(1+$D$20)</f>
        <v>0</v>
      </c>
      <c r="O43" s="64">
        <f>Calculations!O30*(1+$D$20)</f>
        <v>0</v>
      </c>
      <c r="P43" s="64">
        <f>Calculations!P30*(1+$D$20)</f>
        <v>0</v>
      </c>
      <c r="Q43" s="64">
        <f>Calculations!Q30*(1+$D$20)</f>
        <v>0</v>
      </c>
      <c r="R43" s="64">
        <f>Calculations!R30*(1+$D$20)</f>
        <v>0</v>
      </c>
      <c r="S43" s="64">
        <f>Calculations!S30*(1+$D$20)</f>
        <v>0</v>
      </c>
      <c r="T43" s="64">
        <f>Calculations!T30*(1+$D$20)</f>
        <v>0</v>
      </c>
      <c r="U43" s="64">
        <f>Calculations!U30*(1+$D$20)</f>
        <v>0</v>
      </c>
      <c r="V43" s="64">
        <f>Calculations!V30*(1+$D$20)</f>
        <v>0</v>
      </c>
      <c r="W43" s="64">
        <f>Calculations!W30*(1+$D$20)</f>
        <v>0</v>
      </c>
      <c r="X43" s="64">
        <f>Calculations!X30*(1+$D$20)</f>
        <v>0</v>
      </c>
      <c r="Y43" s="64">
        <f>Calculations!Y30*(1+$D$20)</f>
        <v>0</v>
      </c>
      <c r="Z43" s="287"/>
    </row>
    <row r="44" spans="2:26" ht="13.5" thickBot="1" x14ac:dyDescent="0.25">
      <c r="B44" s="107"/>
      <c r="C44" s="137" t="str">
        <f>'User Input'!D50</f>
        <v>Risk 4</v>
      </c>
      <c r="D44" s="67">
        <f t="shared" si="2"/>
        <v>0</v>
      </c>
      <c r="E44" s="64">
        <f>Calculations!E31*(1+$D$20)</f>
        <v>0</v>
      </c>
      <c r="F44" s="64">
        <f>Calculations!F31*(1+$D$20)</f>
        <v>0</v>
      </c>
      <c r="G44" s="64">
        <f>Calculations!G31*(1+$D$20)</f>
        <v>0</v>
      </c>
      <c r="H44" s="64">
        <f>Calculations!H31*(1+$D$20)</f>
        <v>0</v>
      </c>
      <c r="I44" s="64">
        <f>Calculations!I31*(1+$D$20)</f>
        <v>0</v>
      </c>
      <c r="J44" s="64">
        <f>Calculations!J31*(1+$D$20)</f>
        <v>0</v>
      </c>
      <c r="K44" s="64">
        <f>Calculations!K31*(1+$D$20)</f>
        <v>0</v>
      </c>
      <c r="L44" s="64">
        <f>Calculations!L31*(1+$D$20)</f>
        <v>0</v>
      </c>
      <c r="M44" s="64">
        <f>Calculations!M31*(1+$D$20)</f>
        <v>0</v>
      </c>
      <c r="N44" s="64">
        <f>Calculations!N31*(1+$D$20)</f>
        <v>0</v>
      </c>
      <c r="O44" s="64">
        <f>Calculations!O31*(1+$D$20)</f>
        <v>0</v>
      </c>
      <c r="P44" s="64">
        <f>Calculations!P31*(1+$D$20)</f>
        <v>0</v>
      </c>
      <c r="Q44" s="64">
        <f>Calculations!Q31*(1+$D$20)</f>
        <v>0</v>
      </c>
      <c r="R44" s="64">
        <f>Calculations!R31*(1+$D$20)</f>
        <v>0</v>
      </c>
      <c r="S44" s="64">
        <f>Calculations!S31*(1+$D$20)</f>
        <v>0</v>
      </c>
      <c r="T44" s="64">
        <f>Calculations!T31*(1+$D$20)</f>
        <v>0</v>
      </c>
      <c r="U44" s="64">
        <f>Calculations!U31*(1+$D$20)</f>
        <v>0</v>
      </c>
      <c r="V44" s="64">
        <f>Calculations!V31*(1+$D$20)</f>
        <v>0</v>
      </c>
      <c r="W44" s="64">
        <f>Calculations!W31*(1+$D$20)</f>
        <v>0</v>
      </c>
      <c r="X44" s="64">
        <f>Calculations!X31*(1+$D$20)</f>
        <v>0</v>
      </c>
      <c r="Y44" s="64">
        <f>Calculations!Y31*(1+$D$20)</f>
        <v>0</v>
      </c>
      <c r="Z44" s="287"/>
    </row>
    <row r="45" spans="2:26" ht="13.5" thickBot="1" x14ac:dyDescent="0.25">
      <c r="B45" s="107"/>
      <c r="C45" s="137" t="str">
        <f>'User Input'!D51</f>
        <v>Risk 5</v>
      </c>
      <c r="D45" s="67">
        <f t="shared" si="2"/>
        <v>0</v>
      </c>
      <c r="E45" s="64">
        <f>Calculations!E32*(1+$D$20)</f>
        <v>0</v>
      </c>
      <c r="F45" s="64">
        <f>Calculations!F32*(1+$D$20)</f>
        <v>0</v>
      </c>
      <c r="G45" s="64">
        <f>Calculations!G32*(1+$D$20)</f>
        <v>0</v>
      </c>
      <c r="H45" s="64">
        <f>Calculations!H32*(1+$D$20)</f>
        <v>0</v>
      </c>
      <c r="I45" s="64">
        <f>Calculations!I32*(1+$D$20)</f>
        <v>0</v>
      </c>
      <c r="J45" s="64">
        <f>Calculations!J32*(1+$D$20)</f>
        <v>0</v>
      </c>
      <c r="K45" s="64">
        <f>Calculations!K32*(1+$D$20)</f>
        <v>0</v>
      </c>
      <c r="L45" s="64">
        <f>Calculations!L32*(1+$D$20)</f>
        <v>0</v>
      </c>
      <c r="M45" s="64">
        <f>Calculations!M32*(1+$D$20)</f>
        <v>0</v>
      </c>
      <c r="N45" s="64">
        <f>Calculations!N32*(1+$D$20)</f>
        <v>0</v>
      </c>
      <c r="O45" s="64">
        <f>Calculations!O32*(1+$D$20)</f>
        <v>0</v>
      </c>
      <c r="P45" s="64">
        <f>Calculations!P32*(1+$D$20)</f>
        <v>0</v>
      </c>
      <c r="Q45" s="64">
        <f>Calculations!Q32*(1+$D$20)</f>
        <v>0</v>
      </c>
      <c r="R45" s="64">
        <f>Calculations!R32*(1+$D$20)</f>
        <v>0</v>
      </c>
      <c r="S45" s="64">
        <f>Calculations!S32*(1+$D$20)</f>
        <v>0</v>
      </c>
      <c r="T45" s="64">
        <f>Calculations!T32*(1+$D$20)</f>
        <v>0</v>
      </c>
      <c r="U45" s="64">
        <f>Calculations!U32*(1+$D$20)</f>
        <v>0</v>
      </c>
      <c r="V45" s="64">
        <f>Calculations!V32*(1+$D$20)</f>
        <v>0</v>
      </c>
      <c r="W45" s="64">
        <f>Calculations!W32*(1+$D$20)</f>
        <v>0</v>
      </c>
      <c r="X45" s="64">
        <f>Calculations!X32*(1+$D$20)</f>
        <v>0</v>
      </c>
      <c r="Y45" s="64">
        <f>Calculations!Y32*(1+$D$20)</f>
        <v>0</v>
      </c>
      <c r="Z45" s="287"/>
    </row>
    <row r="46" spans="2:26" ht="13.5" thickBot="1" x14ac:dyDescent="0.25">
      <c r="B46" s="107"/>
      <c r="C46" s="53" t="s">
        <v>2</v>
      </c>
      <c r="D46" s="67">
        <f t="shared" si="2"/>
        <v>5858.5074170819698</v>
      </c>
      <c r="E46" s="65">
        <f>SUM(E27:E45)</f>
        <v>0</v>
      </c>
      <c r="F46" s="66">
        <f t="shared" ref="F46:Y46" si="3">SUM(F27:F45)</f>
        <v>123.84419904249718</v>
      </c>
      <c r="G46" s="66">
        <f t="shared" si="3"/>
        <v>252.4935530078433</v>
      </c>
      <c r="H46" s="66">
        <f t="shared" si="3"/>
        <v>257.39192793619549</v>
      </c>
      <c r="I46" s="66">
        <f t="shared" si="3"/>
        <v>262.38533133815764</v>
      </c>
      <c r="J46" s="66">
        <f t="shared" si="3"/>
        <v>267.47560676611789</v>
      </c>
      <c r="K46" s="66">
        <f t="shared" si="3"/>
        <v>272.66463353738055</v>
      </c>
      <c r="L46" s="66">
        <f t="shared" si="3"/>
        <v>277.95432742800574</v>
      </c>
      <c r="M46" s="66">
        <f t="shared" si="3"/>
        <v>283.34664138010908</v>
      </c>
      <c r="N46" s="66">
        <f t="shared" si="3"/>
        <v>288.84356622288317</v>
      </c>
      <c r="O46" s="66">
        <f t="shared" si="3"/>
        <v>294.44713140760717</v>
      </c>
      <c r="P46" s="66">
        <f t="shared" si="3"/>
        <v>300.15940575691474</v>
      </c>
      <c r="Q46" s="66">
        <f t="shared" si="3"/>
        <v>305.98249822859884</v>
      </c>
      <c r="R46" s="66">
        <f t="shared" si="3"/>
        <v>311.91855869423364</v>
      </c>
      <c r="S46" s="66">
        <f t="shared" si="3"/>
        <v>317.96977873290177</v>
      </c>
      <c r="T46" s="66">
        <f t="shared" si="3"/>
        <v>324.13839244032005</v>
      </c>
      <c r="U46" s="66">
        <f t="shared" si="3"/>
        <v>330.42667725366226</v>
      </c>
      <c r="V46" s="66">
        <f t="shared" si="3"/>
        <v>336.83695479238327</v>
      </c>
      <c r="W46" s="66">
        <f t="shared" si="3"/>
        <v>343.37159171535552</v>
      </c>
      <c r="X46" s="66">
        <f t="shared" si="3"/>
        <v>350.03300059463339</v>
      </c>
      <c r="Y46" s="148">
        <f t="shared" si="3"/>
        <v>356.82364080616935</v>
      </c>
      <c r="Z46" s="287"/>
    </row>
    <row r="47" spans="2:26" ht="13.5" thickBot="1" x14ac:dyDescent="0.25">
      <c r="B47" s="107"/>
      <c r="C47" s="54" t="s">
        <v>50</v>
      </c>
      <c r="D47" s="67">
        <f t="shared" si="2"/>
        <v>2053.4459667375409</v>
      </c>
      <c r="E47" s="77">
        <f>E46/E$13</f>
        <v>0</v>
      </c>
      <c r="F47" s="77">
        <f t="shared" ref="F47:Y47" si="4">F46/F$13</f>
        <v>85.585876644643633</v>
      </c>
      <c r="G47" s="77">
        <f t="shared" si="4"/>
        <v>162.06230640206138</v>
      </c>
      <c r="H47" s="77">
        <f t="shared" si="4"/>
        <v>153.43764757709798</v>
      </c>
      <c r="I47" s="77">
        <f t="shared" si="4"/>
        <v>145.27197728252406</v>
      </c>
      <c r="J47" s="77">
        <f t="shared" si="4"/>
        <v>137.54086899025265</v>
      </c>
      <c r="K47" s="77">
        <f t="shared" si="4"/>
        <v>130.22119610723834</v>
      </c>
      <c r="L47" s="77">
        <f t="shared" si="4"/>
        <v>123.2910627953179</v>
      </c>
      <c r="M47" s="77">
        <f t="shared" si="4"/>
        <v>116.72973847269161</v>
      </c>
      <c r="N47" s="77">
        <f t="shared" si="4"/>
        <v>110.51759580111619</v>
      </c>
      <c r="O47" s="77">
        <f t="shared" si="4"/>
        <v>104.63605197330536</v>
      </c>
      <c r="P47" s="77">
        <f t="shared" si="4"/>
        <v>99.067513124907109</v>
      </c>
      <c r="Q47" s="77">
        <f t="shared" si="4"/>
        <v>93.795321704774111</v>
      </c>
      <c r="R47" s="77">
        <f t="shared" si="4"/>
        <v>88.803706646091499</v>
      </c>
      <c r="S47" s="77">
        <f t="shared" si="4"/>
        <v>84.077736189305909</v>
      </c>
      <c r="T47" s="77">
        <f t="shared" si="4"/>
        <v>79.603273215731804</v>
      </c>
      <c r="U47" s="77">
        <f t="shared" si="4"/>
        <v>75.366932958221426</v>
      </c>
      <c r="V47" s="77">
        <f t="shared" si="4"/>
        <v>71.356042962395193</v>
      </c>
      <c r="W47" s="77">
        <f t="shared" si="4"/>
        <v>67.558605178662262</v>
      </c>
      <c r="X47" s="77">
        <f t="shared" si="4"/>
        <v>63.963260071633989</v>
      </c>
      <c r="Y47" s="77">
        <f t="shared" si="4"/>
        <v>60.559252639568768</v>
      </c>
      <c r="Z47" s="287"/>
    </row>
    <row r="48" spans="2:26" x14ac:dyDescent="0.2">
      <c r="B48" s="227"/>
      <c r="C48" s="292"/>
      <c r="D48" s="292"/>
      <c r="E48" s="289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0"/>
    </row>
    <row r="49" spans="1:26" x14ac:dyDescent="0.2">
      <c r="B49" s="371" t="str">
        <f>'User Input'!D53</f>
        <v>Option 1: Provide In Meter Capabilities</v>
      </c>
      <c r="C49" s="367"/>
      <c r="D49" s="372"/>
      <c r="E49" s="369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0"/>
    </row>
    <row r="50" spans="1:26" ht="13.5" thickBot="1" x14ac:dyDescent="0.25">
      <c r="B50" s="20"/>
      <c r="C50" s="5"/>
      <c r="D50" s="5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185"/>
      <c r="Z50" s="287"/>
    </row>
    <row r="51" spans="1:26" ht="13.5" thickBot="1" x14ac:dyDescent="0.25">
      <c r="B51" s="52"/>
      <c r="C51" s="29" t="s">
        <v>76</v>
      </c>
      <c r="D51" s="67">
        <f>SUM(E51:Y51)</f>
        <v>2343.9958150556986</v>
      </c>
      <c r="E51" s="141">
        <f>Calculations!E38*(1+$D$19)</f>
        <v>1303.0080433233068</v>
      </c>
      <c r="F51" s="141">
        <f>Calculations!F38*(1+$D$19)</f>
        <v>1040.9877717323916</v>
      </c>
      <c r="G51" s="141">
        <f>Calculations!G38*(1+$D$19)</f>
        <v>0</v>
      </c>
      <c r="H51" s="141">
        <f>Calculations!H38*(1+$D$19)</f>
        <v>0</v>
      </c>
      <c r="I51" s="141">
        <f>Calculations!I38*(1+$D$19)</f>
        <v>0</v>
      </c>
      <c r="J51" s="141">
        <f>Calculations!J38*(1+$D$19)</f>
        <v>0</v>
      </c>
      <c r="K51" s="141">
        <f>Calculations!K38*(1+$D$19)</f>
        <v>0</v>
      </c>
      <c r="L51" s="141">
        <f>Calculations!L38*(1+$D$19)</f>
        <v>0</v>
      </c>
      <c r="M51" s="141">
        <f>Calculations!M38*(1+$D$19)</f>
        <v>0</v>
      </c>
      <c r="N51" s="141">
        <f>Calculations!N38*(1+$D$19)</f>
        <v>0</v>
      </c>
      <c r="O51" s="141">
        <f>Calculations!O38*(1+$D$19)</f>
        <v>0</v>
      </c>
      <c r="P51" s="141">
        <f>Calculations!P38*(1+$D$19)</f>
        <v>0</v>
      </c>
      <c r="Q51" s="141">
        <f>Calculations!Q38*(1+$D$19)</f>
        <v>0</v>
      </c>
      <c r="R51" s="141">
        <f>Calculations!R38*(1+$D$19)</f>
        <v>0</v>
      </c>
      <c r="S51" s="141">
        <f>Calculations!S38*(1+$D$19)</f>
        <v>0</v>
      </c>
      <c r="T51" s="141">
        <f>Calculations!T38*(1+$D$19)</f>
        <v>0</v>
      </c>
      <c r="U51" s="141">
        <f>Calculations!U38*(1+$D$19)</f>
        <v>0</v>
      </c>
      <c r="V51" s="141">
        <f>Calculations!V38*(1+$D$19)</f>
        <v>0</v>
      </c>
      <c r="W51" s="141">
        <f>Calculations!W38*(1+$D$19)</f>
        <v>0</v>
      </c>
      <c r="X51" s="141">
        <f>Calculations!X38*(1+$D$19)</f>
        <v>0</v>
      </c>
      <c r="Y51" s="141">
        <f>Calculations!Y38*(1+$D$19)</f>
        <v>0</v>
      </c>
      <c r="Z51" s="287"/>
    </row>
    <row r="52" spans="1:26" ht="13.5" thickBot="1" x14ac:dyDescent="0.25">
      <c r="B52" s="107"/>
      <c r="C52" s="137" t="str">
        <f>'User Input'!D56</f>
        <v>Maintenance Costs</v>
      </c>
      <c r="D52" s="67">
        <f>SUM(E52:Y52)</f>
        <v>0</v>
      </c>
      <c r="E52" s="141">
        <f>Calculations!E39*(1+$D$20)</f>
        <v>0</v>
      </c>
      <c r="F52" s="141">
        <f>Calculations!F39*(1+$D$20)</f>
        <v>0</v>
      </c>
      <c r="G52" s="141">
        <f>Calculations!G39*(1+$D$20)</f>
        <v>0</v>
      </c>
      <c r="H52" s="141">
        <f>Calculations!H39*(1+$D$20)</f>
        <v>0</v>
      </c>
      <c r="I52" s="141">
        <f>Calculations!I39*(1+$D$20)</f>
        <v>0</v>
      </c>
      <c r="J52" s="141">
        <f>Calculations!J39*(1+$D$20)</f>
        <v>0</v>
      </c>
      <c r="K52" s="141">
        <f>Calculations!K39*(1+$D$20)</f>
        <v>0</v>
      </c>
      <c r="L52" s="141">
        <f>Calculations!L39*(1+$D$20)</f>
        <v>0</v>
      </c>
      <c r="M52" s="141">
        <f>Calculations!M39*(1+$D$20)</f>
        <v>0</v>
      </c>
      <c r="N52" s="141">
        <f>Calculations!N39*(1+$D$20)</f>
        <v>0</v>
      </c>
      <c r="O52" s="141">
        <f>Calculations!O39*(1+$D$20)</f>
        <v>0</v>
      </c>
      <c r="P52" s="141">
        <f>Calculations!P39*(1+$D$20)</f>
        <v>0</v>
      </c>
      <c r="Q52" s="141">
        <f>Calculations!Q39*(1+$D$20)</f>
        <v>0</v>
      </c>
      <c r="R52" s="141">
        <f>Calculations!R39*(1+$D$20)</f>
        <v>0</v>
      </c>
      <c r="S52" s="141">
        <f>Calculations!S39*(1+$D$20)</f>
        <v>0</v>
      </c>
      <c r="T52" s="141">
        <f>Calculations!T39*(1+$D$20)</f>
        <v>0</v>
      </c>
      <c r="U52" s="141">
        <f>Calculations!U39*(1+$D$20)</f>
        <v>0</v>
      </c>
      <c r="V52" s="141">
        <f>Calculations!V39*(1+$D$20)</f>
        <v>0</v>
      </c>
      <c r="W52" s="141">
        <f>Calculations!W39*(1+$D$20)</f>
        <v>0</v>
      </c>
      <c r="X52" s="141">
        <f>Calculations!X39*(1+$D$20)</f>
        <v>0</v>
      </c>
      <c r="Y52" s="141">
        <f>Calculations!Y39*(1+$D$20)</f>
        <v>0</v>
      </c>
      <c r="Z52" s="287"/>
    </row>
    <row r="53" spans="1:26" ht="13.5" thickBot="1" x14ac:dyDescent="0.25">
      <c r="B53" s="107"/>
      <c r="C53" s="137" t="str">
        <f>'User Input'!D58</f>
        <v>Negative Impact on Revenue (STPIS)</v>
      </c>
      <c r="D53" s="195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46"/>
      <c r="Z53" s="287"/>
    </row>
    <row r="54" spans="1:26" ht="13.5" thickBot="1" x14ac:dyDescent="0.25">
      <c r="B54" s="107"/>
      <c r="C54" s="136" t="str">
        <f>'User Input'!D59</f>
        <v>SAIFI sustained</v>
      </c>
      <c r="D54" s="67">
        <f t="shared" ref="D54:D71" si="5">SUM(E54:Y54)</f>
        <v>0</v>
      </c>
      <c r="E54" s="259">
        <v>0</v>
      </c>
      <c r="F54" s="259">
        <v>0</v>
      </c>
      <c r="G54" s="64">
        <f>Calculations!G41*(1+$D$22)</f>
        <v>0</v>
      </c>
      <c r="H54" s="64">
        <f>Calculations!H41*(1+$D$22)</f>
        <v>0</v>
      </c>
      <c r="I54" s="64">
        <f>Calculations!I41*(1+$D$22)</f>
        <v>0</v>
      </c>
      <c r="J54" s="64">
        <f>Calculations!J41*(1+$D$22)</f>
        <v>0</v>
      </c>
      <c r="K54" s="64">
        <f>Calculations!K41*(1+$D$22)</f>
        <v>0</v>
      </c>
      <c r="L54" s="64">
        <f>Calculations!L41*(1+$D$22)</f>
        <v>0</v>
      </c>
      <c r="M54" s="64">
        <f>Calculations!M41*(1+$D$22)</f>
        <v>0</v>
      </c>
      <c r="N54" s="64">
        <f>Calculations!N41*(1+$D$22)</f>
        <v>0</v>
      </c>
      <c r="O54" s="64">
        <f>Calculations!O41*(1+$D$22)</f>
        <v>0</v>
      </c>
      <c r="P54" s="64">
        <f>Calculations!P41*(1+$D$22)</f>
        <v>0</v>
      </c>
      <c r="Q54" s="64">
        <f>Calculations!Q41*(1+$D$22)</f>
        <v>0</v>
      </c>
      <c r="R54" s="64">
        <f>Calculations!R41*(1+$D$22)</f>
        <v>0</v>
      </c>
      <c r="S54" s="64">
        <f>Calculations!S41*(1+$D$22)</f>
        <v>0</v>
      </c>
      <c r="T54" s="64">
        <f>Calculations!T41*(1+$D$22)</f>
        <v>0</v>
      </c>
      <c r="U54" s="64">
        <f>Calculations!U41*(1+$D$22)</f>
        <v>0</v>
      </c>
      <c r="V54" s="64">
        <f>Calculations!V41*(1+$D$22)</f>
        <v>0</v>
      </c>
      <c r="W54" s="64">
        <f>Calculations!W41*(1+$D$22)</f>
        <v>0</v>
      </c>
      <c r="X54" s="64">
        <f>Calculations!X41*(1+$D$22)</f>
        <v>0</v>
      </c>
      <c r="Y54" s="64">
        <f>Calculations!Y41*(1+$D$22)</f>
        <v>0</v>
      </c>
      <c r="Z54" s="287"/>
    </row>
    <row r="55" spans="1:26" ht="13.5" thickBot="1" x14ac:dyDescent="0.25">
      <c r="B55" s="107"/>
      <c r="C55" s="136" t="str">
        <f>'User Input'!D60</f>
        <v>SAIDI accidental</v>
      </c>
      <c r="D55" s="67">
        <f t="shared" si="5"/>
        <v>0</v>
      </c>
      <c r="E55" s="259">
        <v>0</v>
      </c>
      <c r="F55" s="259">
        <v>0</v>
      </c>
      <c r="G55" s="64">
        <f>Calculations!G42*(1+$D$21)</f>
        <v>0</v>
      </c>
      <c r="H55" s="64">
        <f>Calculations!H42*(1+$D$21)</f>
        <v>0</v>
      </c>
      <c r="I55" s="64">
        <f>Calculations!I42*(1+$D$21)</f>
        <v>0</v>
      </c>
      <c r="J55" s="64">
        <f>Calculations!J42*(1+$D$21)</f>
        <v>0</v>
      </c>
      <c r="K55" s="64">
        <f>Calculations!K42*(1+$D$21)</f>
        <v>0</v>
      </c>
      <c r="L55" s="64">
        <f>Calculations!L42*(1+$D$21)</f>
        <v>0</v>
      </c>
      <c r="M55" s="64">
        <f>Calculations!M42*(1+$D$21)</f>
        <v>0</v>
      </c>
      <c r="N55" s="64">
        <f>Calculations!N42*(1+$D$21)</f>
        <v>0</v>
      </c>
      <c r="O55" s="64">
        <f>Calculations!O42*(1+$D$21)</f>
        <v>0</v>
      </c>
      <c r="P55" s="64">
        <f>Calculations!P42*(1+$D$21)</f>
        <v>0</v>
      </c>
      <c r="Q55" s="64">
        <f>Calculations!Q42*(1+$D$21)</f>
        <v>0</v>
      </c>
      <c r="R55" s="64">
        <f>Calculations!R42*(1+$D$21)</f>
        <v>0</v>
      </c>
      <c r="S55" s="64">
        <f>Calculations!S42*(1+$D$21)</f>
        <v>0</v>
      </c>
      <c r="T55" s="64">
        <f>Calculations!T42*(1+$D$21)</f>
        <v>0</v>
      </c>
      <c r="U55" s="64">
        <f>Calculations!U42*(1+$D$21)</f>
        <v>0</v>
      </c>
      <c r="V55" s="64">
        <f>Calculations!V42*(1+$D$21)</f>
        <v>0</v>
      </c>
      <c r="W55" s="64">
        <f>Calculations!W42*(1+$D$21)</f>
        <v>0</v>
      </c>
      <c r="X55" s="64">
        <f>Calculations!X42*(1+$D$21)</f>
        <v>0</v>
      </c>
      <c r="Y55" s="64">
        <f>Calculations!Y42*(1+$D$21)</f>
        <v>0</v>
      </c>
      <c r="Z55" s="287"/>
    </row>
    <row r="56" spans="1:26" ht="13.5" thickBot="1" x14ac:dyDescent="0.25">
      <c r="B56" s="107"/>
      <c r="C56" s="136" t="str">
        <f>'User Input'!D61</f>
        <v>MAIFI momentary</v>
      </c>
      <c r="D56" s="67">
        <f t="shared" si="5"/>
        <v>0</v>
      </c>
      <c r="E56" s="259">
        <v>0</v>
      </c>
      <c r="F56" s="259">
        <v>0</v>
      </c>
      <c r="G56" s="141">
        <f>Calculations!G43*(1+$D$23)</f>
        <v>0</v>
      </c>
      <c r="H56" s="141">
        <f>Calculations!H43*(1+$D$23)</f>
        <v>0</v>
      </c>
      <c r="I56" s="141">
        <f>Calculations!I43*(1+$D$23)</f>
        <v>0</v>
      </c>
      <c r="J56" s="141">
        <f>Calculations!J43*(1+$D$23)</f>
        <v>0</v>
      </c>
      <c r="K56" s="141">
        <f>Calculations!K43*(1+$D$23)</f>
        <v>0</v>
      </c>
      <c r="L56" s="141">
        <f>Calculations!L43*(1+$D$23)</f>
        <v>0</v>
      </c>
      <c r="M56" s="141">
        <f>Calculations!M43*(1+$D$23)</f>
        <v>0</v>
      </c>
      <c r="N56" s="141">
        <f>Calculations!N43*(1+$D$23)</f>
        <v>0</v>
      </c>
      <c r="O56" s="141">
        <f>Calculations!O43*(1+$D$23)</f>
        <v>0</v>
      </c>
      <c r="P56" s="141">
        <f>Calculations!P43*(1+$D$23)</f>
        <v>0</v>
      </c>
      <c r="Q56" s="141">
        <f>Calculations!Q43*(1+$D$23)</f>
        <v>0</v>
      </c>
      <c r="R56" s="141">
        <f>Calculations!R43*(1+$D$23)</f>
        <v>0</v>
      </c>
      <c r="S56" s="141">
        <f>Calculations!S43*(1+$D$23)</f>
        <v>0</v>
      </c>
      <c r="T56" s="141">
        <f>Calculations!T43*(1+$D$23)</f>
        <v>0</v>
      </c>
      <c r="U56" s="141">
        <f>Calculations!U43*(1+$D$23)</f>
        <v>0</v>
      </c>
      <c r="V56" s="141">
        <f>Calculations!V43*(1+$D$23)</f>
        <v>0</v>
      </c>
      <c r="W56" s="141">
        <f>Calculations!W43*(1+$D$23)</f>
        <v>0</v>
      </c>
      <c r="X56" s="141">
        <f>Calculations!X43*(1+$D$23)</f>
        <v>0</v>
      </c>
      <c r="Y56" s="141">
        <f>Calculations!Y43*(1+$D$23)</f>
        <v>0</v>
      </c>
      <c r="Z56" s="287"/>
    </row>
    <row r="57" spans="1:26" ht="13.5" thickBot="1" x14ac:dyDescent="0.25">
      <c r="B57" s="107"/>
      <c r="C57" s="136" t="str">
        <f>'User Input'!D62</f>
        <v>Call centre response</v>
      </c>
      <c r="D57" s="67">
        <f t="shared" si="5"/>
        <v>0</v>
      </c>
      <c r="E57" s="259">
        <v>0</v>
      </c>
      <c r="F57" s="259">
        <v>0</v>
      </c>
      <c r="G57" s="141">
        <f>Calculations!G44*(1+$D$20)</f>
        <v>0</v>
      </c>
      <c r="H57" s="141">
        <f>Calculations!H44*(1+$D$20)</f>
        <v>0</v>
      </c>
      <c r="I57" s="141">
        <f>Calculations!I44*(1+$D$20)</f>
        <v>0</v>
      </c>
      <c r="J57" s="141">
        <f>Calculations!J44*(1+$D$20)</f>
        <v>0</v>
      </c>
      <c r="K57" s="141">
        <f>Calculations!K44*(1+$D$20)</f>
        <v>0</v>
      </c>
      <c r="L57" s="141">
        <f>Calculations!L44*(1+$D$20)</f>
        <v>0</v>
      </c>
      <c r="M57" s="141">
        <f>Calculations!M44*(1+$D$20)</f>
        <v>0</v>
      </c>
      <c r="N57" s="141">
        <f>Calculations!N44*(1+$D$20)</f>
        <v>0</v>
      </c>
      <c r="O57" s="141">
        <f>Calculations!O44*(1+$D$20)</f>
        <v>0</v>
      </c>
      <c r="P57" s="141">
        <f>Calculations!P44*(1+$D$20)</f>
        <v>0</v>
      </c>
      <c r="Q57" s="141">
        <f>Calculations!Q44*(1+$D$20)</f>
        <v>0</v>
      </c>
      <c r="R57" s="141">
        <f>Calculations!R44*(1+$D$20)</f>
        <v>0</v>
      </c>
      <c r="S57" s="141">
        <f>Calculations!S44*(1+$D$20)</f>
        <v>0</v>
      </c>
      <c r="T57" s="141">
        <f>Calculations!T44*(1+$D$20)</f>
        <v>0</v>
      </c>
      <c r="U57" s="141">
        <f>Calculations!U44*(1+$D$20)</f>
        <v>0</v>
      </c>
      <c r="V57" s="141">
        <f>Calculations!V44*(1+$D$20)</f>
        <v>0</v>
      </c>
      <c r="W57" s="141">
        <f>Calculations!W44*(1+$D$20)</f>
        <v>0</v>
      </c>
      <c r="X57" s="141">
        <f>Calculations!X44*(1+$D$20)</f>
        <v>0</v>
      </c>
      <c r="Y57" s="141">
        <f>Calculations!Y44*(1+$D$20)</f>
        <v>0</v>
      </c>
      <c r="Z57" s="287"/>
    </row>
    <row r="58" spans="1:26" ht="13.5" thickBot="1" x14ac:dyDescent="0.25">
      <c r="A58" s="143"/>
      <c r="B58" s="144"/>
      <c r="C58" s="137" t="str">
        <f>'User Input'!D64</f>
        <v>Network Outage Costs</v>
      </c>
      <c r="D58" s="67">
        <f t="shared" si="5"/>
        <v>0</v>
      </c>
      <c r="E58" s="141">
        <f>Calculations!E45*(1+$D$20)</f>
        <v>0</v>
      </c>
      <c r="F58" s="141">
        <f>Calculations!F45*(1+$D$20)</f>
        <v>0</v>
      </c>
      <c r="G58" s="141">
        <f>Calculations!G45*(1+$D$20)</f>
        <v>0</v>
      </c>
      <c r="H58" s="141">
        <f>Calculations!H45*(1+$D$20)</f>
        <v>0</v>
      </c>
      <c r="I58" s="141">
        <f>Calculations!I45*(1+$D$20)</f>
        <v>0</v>
      </c>
      <c r="J58" s="141">
        <f>Calculations!J45*(1+$D$20)</f>
        <v>0</v>
      </c>
      <c r="K58" s="141">
        <f>Calculations!K45*(1+$D$20)</f>
        <v>0</v>
      </c>
      <c r="L58" s="141">
        <f>Calculations!L45*(1+$D$20)</f>
        <v>0</v>
      </c>
      <c r="M58" s="141">
        <f>Calculations!M45*(1+$D$20)</f>
        <v>0</v>
      </c>
      <c r="N58" s="141">
        <f>Calculations!N45*(1+$D$20)</f>
        <v>0</v>
      </c>
      <c r="O58" s="141">
        <f>Calculations!O45*(1+$D$20)</f>
        <v>0</v>
      </c>
      <c r="P58" s="141">
        <f>Calculations!P45*(1+$D$20)</f>
        <v>0</v>
      </c>
      <c r="Q58" s="141">
        <f>Calculations!Q45*(1+$D$20)</f>
        <v>0</v>
      </c>
      <c r="R58" s="141">
        <f>Calculations!R45*(1+$D$20)</f>
        <v>0</v>
      </c>
      <c r="S58" s="141">
        <f>Calculations!S45*(1+$D$20)</f>
        <v>0</v>
      </c>
      <c r="T58" s="141">
        <f>Calculations!T45*(1+$D$20)</f>
        <v>0</v>
      </c>
      <c r="U58" s="141">
        <f>Calculations!U45*(1+$D$20)</f>
        <v>0</v>
      </c>
      <c r="V58" s="141">
        <f>Calculations!V45*(1+$D$20)</f>
        <v>0</v>
      </c>
      <c r="W58" s="141">
        <f>Calculations!W45*(1+$D$20)</f>
        <v>0</v>
      </c>
      <c r="X58" s="141">
        <f>Calculations!X45*(1+$D$20)</f>
        <v>0</v>
      </c>
      <c r="Y58" s="141">
        <f>Calculations!Y45*(1+$D$20)</f>
        <v>0</v>
      </c>
      <c r="Z58" s="287"/>
    </row>
    <row r="59" spans="1:26" ht="13.5" thickBot="1" x14ac:dyDescent="0.25">
      <c r="A59" s="143"/>
      <c r="B59" s="144"/>
      <c r="C59" s="137" t="str">
        <f>'User Input'!D68</f>
        <v>Loss of F Factor Benefit</v>
      </c>
      <c r="D59" s="67">
        <f t="shared" si="5"/>
        <v>0</v>
      </c>
      <c r="E59" s="141">
        <f>Calculations!E46*(1+$D$20)</f>
        <v>0</v>
      </c>
      <c r="F59" s="141">
        <f>Calculations!F46*(1+$D$20)</f>
        <v>0</v>
      </c>
      <c r="G59" s="141">
        <f>Calculations!G46*(1+$D$20)</f>
        <v>0</v>
      </c>
      <c r="H59" s="141">
        <f>Calculations!H46*(1+$D$20)</f>
        <v>0</v>
      </c>
      <c r="I59" s="141">
        <f>Calculations!I46*(1+$D$20)</f>
        <v>0</v>
      </c>
      <c r="J59" s="141">
        <f>Calculations!J46*(1+$D$20)</f>
        <v>0</v>
      </c>
      <c r="K59" s="141">
        <f>Calculations!K46*(1+$D$20)</f>
        <v>0</v>
      </c>
      <c r="L59" s="141">
        <f>Calculations!L46*(1+$D$20)</f>
        <v>0</v>
      </c>
      <c r="M59" s="141">
        <f>Calculations!M46*(1+$D$20)</f>
        <v>0</v>
      </c>
      <c r="N59" s="141">
        <f>Calculations!N46*(1+$D$20)</f>
        <v>0</v>
      </c>
      <c r="O59" s="141">
        <f>Calculations!O46*(1+$D$20)</f>
        <v>0</v>
      </c>
      <c r="P59" s="141">
        <f>Calculations!P46*(1+$D$20)</f>
        <v>0</v>
      </c>
      <c r="Q59" s="141">
        <f>Calculations!Q46*(1+$D$20)</f>
        <v>0</v>
      </c>
      <c r="R59" s="141">
        <f>Calculations!R46*(1+$D$20)</f>
        <v>0</v>
      </c>
      <c r="S59" s="141">
        <f>Calculations!S46*(1+$D$20)</f>
        <v>0</v>
      </c>
      <c r="T59" s="141">
        <f>Calculations!T46*(1+$D$20)</f>
        <v>0</v>
      </c>
      <c r="U59" s="141">
        <f>Calculations!U46*(1+$D$20)</f>
        <v>0</v>
      </c>
      <c r="V59" s="141">
        <f>Calculations!V46*(1+$D$20)</f>
        <v>0</v>
      </c>
      <c r="W59" s="141">
        <f>Calculations!W46*(1+$D$20)</f>
        <v>0</v>
      </c>
      <c r="X59" s="141">
        <f>Calculations!X46*(1+$D$20)</f>
        <v>0</v>
      </c>
      <c r="Y59" s="141">
        <f>Calculations!Y46*(1+$D$20)</f>
        <v>0</v>
      </c>
      <c r="Z59" s="287"/>
    </row>
    <row r="60" spans="1:26" ht="13.5" thickBot="1" x14ac:dyDescent="0.25">
      <c r="B60" s="107"/>
      <c r="C60" s="137" t="str">
        <f>'User Input'!D71</f>
        <v>Cost 1</v>
      </c>
      <c r="D60" s="67">
        <f t="shared" si="5"/>
        <v>0</v>
      </c>
      <c r="E60" s="141">
        <f>Calculations!E47*(1+$D$20)</f>
        <v>0</v>
      </c>
      <c r="F60" s="141">
        <f>Calculations!F47*(1+$D$20)</f>
        <v>0</v>
      </c>
      <c r="G60" s="141">
        <f>Calculations!G47*(1+$D$20)</f>
        <v>0</v>
      </c>
      <c r="H60" s="141">
        <f>Calculations!H47*(1+$D$20)</f>
        <v>0</v>
      </c>
      <c r="I60" s="141">
        <f>Calculations!I47*(1+$D$20)</f>
        <v>0</v>
      </c>
      <c r="J60" s="141">
        <f>Calculations!J47*(1+$D$20)</f>
        <v>0</v>
      </c>
      <c r="K60" s="141">
        <f>Calculations!K47*(1+$D$20)</f>
        <v>0</v>
      </c>
      <c r="L60" s="141">
        <f>Calculations!L47*(1+$D$20)</f>
        <v>0</v>
      </c>
      <c r="M60" s="141">
        <f>Calculations!M47*(1+$D$20)</f>
        <v>0</v>
      </c>
      <c r="N60" s="141">
        <f>Calculations!N47*(1+$D$20)</f>
        <v>0</v>
      </c>
      <c r="O60" s="141">
        <f>Calculations!O47*(1+$D$20)</f>
        <v>0</v>
      </c>
      <c r="P60" s="141">
        <f>Calculations!P47*(1+$D$20)</f>
        <v>0</v>
      </c>
      <c r="Q60" s="141">
        <f>Calculations!Q47*(1+$D$20)</f>
        <v>0</v>
      </c>
      <c r="R60" s="141">
        <f>Calculations!R47*(1+$D$20)</f>
        <v>0</v>
      </c>
      <c r="S60" s="141">
        <f>Calculations!S47*(1+$D$20)</f>
        <v>0</v>
      </c>
      <c r="T60" s="141">
        <f>Calculations!T47*(1+$D$20)</f>
        <v>0</v>
      </c>
      <c r="U60" s="141">
        <f>Calculations!U47*(1+$D$20)</f>
        <v>0</v>
      </c>
      <c r="V60" s="141">
        <f>Calculations!V47*(1+$D$20)</f>
        <v>0</v>
      </c>
      <c r="W60" s="141">
        <f>Calculations!W47*(1+$D$20)</f>
        <v>0</v>
      </c>
      <c r="X60" s="141">
        <f>Calculations!X47*(1+$D$20)</f>
        <v>0</v>
      </c>
      <c r="Y60" s="141">
        <f>Calculations!Y47*(1+$D$20)</f>
        <v>0</v>
      </c>
      <c r="Z60" s="287"/>
    </row>
    <row r="61" spans="1:26" ht="13.5" thickBot="1" x14ac:dyDescent="0.25">
      <c r="B61" s="107"/>
      <c r="C61" s="137" t="str">
        <f>'User Input'!D72</f>
        <v>Cost 2</v>
      </c>
      <c r="D61" s="67">
        <f t="shared" si="5"/>
        <v>0</v>
      </c>
      <c r="E61" s="141">
        <f>Calculations!E48*(1+$D$20)</f>
        <v>0</v>
      </c>
      <c r="F61" s="141">
        <f>Calculations!F48*(1+$D$20)</f>
        <v>0</v>
      </c>
      <c r="G61" s="141">
        <f>Calculations!G48*(1+$D$20)</f>
        <v>0</v>
      </c>
      <c r="H61" s="141">
        <f>Calculations!H48*(1+$D$20)</f>
        <v>0</v>
      </c>
      <c r="I61" s="141">
        <f>Calculations!I48*(1+$D$20)</f>
        <v>0</v>
      </c>
      <c r="J61" s="141">
        <f>Calculations!J48*(1+$D$20)</f>
        <v>0</v>
      </c>
      <c r="K61" s="141">
        <f>Calculations!K48*(1+$D$20)</f>
        <v>0</v>
      </c>
      <c r="L61" s="141">
        <f>Calculations!L48*(1+$D$20)</f>
        <v>0</v>
      </c>
      <c r="M61" s="141">
        <f>Calculations!M48*(1+$D$20)</f>
        <v>0</v>
      </c>
      <c r="N61" s="141">
        <f>Calculations!N48*(1+$D$20)</f>
        <v>0</v>
      </c>
      <c r="O61" s="141">
        <f>Calculations!O48*(1+$D$20)</f>
        <v>0</v>
      </c>
      <c r="P61" s="141">
        <f>Calculations!P48*(1+$D$20)</f>
        <v>0</v>
      </c>
      <c r="Q61" s="141">
        <f>Calculations!Q48*(1+$D$20)</f>
        <v>0</v>
      </c>
      <c r="R61" s="141">
        <f>Calculations!R48*(1+$D$20)</f>
        <v>0</v>
      </c>
      <c r="S61" s="141">
        <f>Calculations!S48*(1+$D$20)</f>
        <v>0</v>
      </c>
      <c r="T61" s="141">
        <f>Calculations!T48*(1+$D$20)</f>
        <v>0</v>
      </c>
      <c r="U61" s="141">
        <f>Calculations!U48*(1+$D$20)</f>
        <v>0</v>
      </c>
      <c r="V61" s="141">
        <f>Calculations!V48*(1+$D$20)</f>
        <v>0</v>
      </c>
      <c r="W61" s="141">
        <f>Calculations!W48*(1+$D$20)</f>
        <v>0</v>
      </c>
      <c r="X61" s="141">
        <f>Calculations!X48*(1+$D$20)</f>
        <v>0</v>
      </c>
      <c r="Y61" s="141">
        <f>Calculations!Y48*(1+$D$20)</f>
        <v>0</v>
      </c>
      <c r="Z61" s="287"/>
    </row>
    <row r="62" spans="1:26" ht="13.5" thickBot="1" x14ac:dyDescent="0.25">
      <c r="B62" s="107"/>
      <c r="C62" s="137" t="str">
        <f>'User Input'!D73</f>
        <v>Cost 3</v>
      </c>
      <c r="D62" s="67">
        <f t="shared" si="5"/>
        <v>0</v>
      </c>
      <c r="E62" s="141">
        <f>Calculations!E49*(1+$D$20)</f>
        <v>0</v>
      </c>
      <c r="F62" s="141">
        <f>Calculations!F49*(1+$D$20)</f>
        <v>0</v>
      </c>
      <c r="G62" s="141">
        <f>Calculations!G49*(1+$D$20)</f>
        <v>0</v>
      </c>
      <c r="H62" s="141">
        <f>Calculations!H49*(1+$D$20)</f>
        <v>0</v>
      </c>
      <c r="I62" s="141">
        <f>Calculations!I49*(1+$D$20)</f>
        <v>0</v>
      </c>
      <c r="J62" s="141">
        <f>Calculations!J49*(1+$D$20)</f>
        <v>0</v>
      </c>
      <c r="K62" s="141">
        <f>Calculations!K49*(1+$D$20)</f>
        <v>0</v>
      </c>
      <c r="L62" s="141">
        <f>Calculations!L49*(1+$D$20)</f>
        <v>0</v>
      </c>
      <c r="M62" s="141">
        <f>Calculations!M49*(1+$D$20)</f>
        <v>0</v>
      </c>
      <c r="N62" s="141">
        <f>Calculations!N49*(1+$D$20)</f>
        <v>0</v>
      </c>
      <c r="O62" s="141">
        <f>Calculations!O49*(1+$D$20)</f>
        <v>0</v>
      </c>
      <c r="P62" s="141">
        <f>Calculations!P49*(1+$D$20)</f>
        <v>0</v>
      </c>
      <c r="Q62" s="141">
        <f>Calculations!Q49*(1+$D$20)</f>
        <v>0</v>
      </c>
      <c r="R62" s="141">
        <f>Calculations!R49*(1+$D$20)</f>
        <v>0</v>
      </c>
      <c r="S62" s="141">
        <f>Calculations!S49*(1+$D$20)</f>
        <v>0</v>
      </c>
      <c r="T62" s="141">
        <f>Calculations!T49*(1+$D$20)</f>
        <v>0</v>
      </c>
      <c r="U62" s="141">
        <f>Calculations!U49*(1+$D$20)</f>
        <v>0</v>
      </c>
      <c r="V62" s="141">
        <f>Calculations!V49*(1+$D$20)</f>
        <v>0</v>
      </c>
      <c r="W62" s="141">
        <f>Calculations!W49*(1+$D$20)</f>
        <v>0</v>
      </c>
      <c r="X62" s="141">
        <f>Calculations!X49*(1+$D$20)</f>
        <v>0</v>
      </c>
      <c r="Y62" s="141">
        <f>Calculations!Y49*(1+$D$20)</f>
        <v>0</v>
      </c>
      <c r="Z62" s="287"/>
    </row>
    <row r="63" spans="1:26" ht="13.5" thickBot="1" x14ac:dyDescent="0.25">
      <c r="B63" s="107"/>
      <c r="C63" s="137" t="str">
        <f>'User Input'!D74</f>
        <v>Cost 4</v>
      </c>
      <c r="D63" s="67">
        <f t="shared" si="5"/>
        <v>0</v>
      </c>
      <c r="E63" s="141">
        <f>Calculations!E50*(1+$D$20)</f>
        <v>0</v>
      </c>
      <c r="F63" s="141">
        <f>Calculations!F50*(1+$D$20)</f>
        <v>0</v>
      </c>
      <c r="G63" s="141">
        <f>Calculations!G50*(1+$D$20)</f>
        <v>0</v>
      </c>
      <c r="H63" s="141">
        <f>Calculations!H50*(1+$D$20)</f>
        <v>0</v>
      </c>
      <c r="I63" s="141">
        <f>Calculations!I50*(1+$D$20)</f>
        <v>0</v>
      </c>
      <c r="J63" s="141">
        <f>Calculations!J50*(1+$D$20)</f>
        <v>0</v>
      </c>
      <c r="K63" s="141">
        <f>Calculations!K50*(1+$D$20)</f>
        <v>0</v>
      </c>
      <c r="L63" s="141">
        <f>Calculations!L50*(1+$D$20)</f>
        <v>0</v>
      </c>
      <c r="M63" s="141">
        <f>Calculations!M50*(1+$D$20)</f>
        <v>0</v>
      </c>
      <c r="N63" s="141">
        <f>Calculations!N50*(1+$D$20)</f>
        <v>0</v>
      </c>
      <c r="O63" s="141">
        <f>Calculations!O50*(1+$D$20)</f>
        <v>0</v>
      </c>
      <c r="P63" s="141">
        <f>Calculations!P50*(1+$D$20)</f>
        <v>0</v>
      </c>
      <c r="Q63" s="141">
        <f>Calculations!Q50*(1+$D$20)</f>
        <v>0</v>
      </c>
      <c r="R63" s="141">
        <f>Calculations!R50*(1+$D$20)</f>
        <v>0</v>
      </c>
      <c r="S63" s="141">
        <f>Calculations!S50*(1+$D$20)</f>
        <v>0</v>
      </c>
      <c r="T63" s="141">
        <f>Calculations!T50*(1+$D$20)</f>
        <v>0</v>
      </c>
      <c r="U63" s="141">
        <f>Calculations!U50*(1+$D$20)</f>
        <v>0</v>
      </c>
      <c r="V63" s="141">
        <f>Calculations!V50*(1+$D$20)</f>
        <v>0</v>
      </c>
      <c r="W63" s="141">
        <f>Calculations!W50*(1+$D$20)</f>
        <v>0</v>
      </c>
      <c r="X63" s="141">
        <f>Calculations!X50*(1+$D$20)</f>
        <v>0</v>
      </c>
      <c r="Y63" s="141">
        <f>Calculations!Y50*(1+$D$20)</f>
        <v>0</v>
      </c>
      <c r="Z63" s="287"/>
    </row>
    <row r="64" spans="1:26" ht="13.5" thickBot="1" x14ac:dyDescent="0.25">
      <c r="B64" s="107"/>
      <c r="C64" s="137" t="str">
        <f>'User Input'!D75</f>
        <v>Cost 5</v>
      </c>
      <c r="D64" s="67">
        <f t="shared" si="5"/>
        <v>0</v>
      </c>
      <c r="E64" s="141">
        <f>Calculations!E51*(1+$D$20)</f>
        <v>0</v>
      </c>
      <c r="F64" s="141">
        <f>Calculations!F51*(1+$D$20)</f>
        <v>0</v>
      </c>
      <c r="G64" s="141">
        <f>Calculations!G51*(1+$D$20)</f>
        <v>0</v>
      </c>
      <c r="H64" s="141">
        <f>Calculations!H51*(1+$D$20)</f>
        <v>0</v>
      </c>
      <c r="I64" s="141">
        <f>Calculations!I51*(1+$D$20)</f>
        <v>0</v>
      </c>
      <c r="J64" s="141">
        <f>Calculations!J51*(1+$D$20)</f>
        <v>0</v>
      </c>
      <c r="K64" s="141">
        <f>Calculations!K51*(1+$D$20)</f>
        <v>0</v>
      </c>
      <c r="L64" s="141">
        <f>Calculations!L51*(1+$D$20)</f>
        <v>0</v>
      </c>
      <c r="M64" s="141">
        <f>Calculations!M51*(1+$D$20)</f>
        <v>0</v>
      </c>
      <c r="N64" s="141">
        <f>Calculations!N51*(1+$D$20)</f>
        <v>0</v>
      </c>
      <c r="O64" s="141">
        <f>Calculations!O51*(1+$D$20)</f>
        <v>0</v>
      </c>
      <c r="P64" s="141">
        <f>Calculations!P51*(1+$D$20)</f>
        <v>0</v>
      </c>
      <c r="Q64" s="141">
        <f>Calculations!Q51*(1+$D$20)</f>
        <v>0</v>
      </c>
      <c r="R64" s="141">
        <f>Calculations!R51*(1+$D$20)</f>
        <v>0</v>
      </c>
      <c r="S64" s="141">
        <f>Calculations!S51*(1+$D$20)</f>
        <v>0</v>
      </c>
      <c r="T64" s="141">
        <f>Calculations!T51*(1+$D$20)</f>
        <v>0</v>
      </c>
      <c r="U64" s="141">
        <f>Calculations!U51*(1+$D$20)</f>
        <v>0</v>
      </c>
      <c r="V64" s="141">
        <f>Calculations!V51*(1+$D$20)</f>
        <v>0</v>
      </c>
      <c r="W64" s="141">
        <f>Calculations!W51*(1+$D$20)</f>
        <v>0</v>
      </c>
      <c r="X64" s="141">
        <f>Calculations!X51*(1+$D$20)</f>
        <v>0</v>
      </c>
      <c r="Y64" s="141">
        <f>Calculations!Y51*(1+$D$20)</f>
        <v>0</v>
      </c>
      <c r="Z64" s="287"/>
    </row>
    <row r="65" spans="2:26" ht="13.5" thickBot="1" x14ac:dyDescent="0.25">
      <c r="B65" s="107"/>
      <c r="C65" s="137" t="str">
        <f>'User Input'!D76</f>
        <v>Risk 1</v>
      </c>
      <c r="D65" s="67">
        <f>SUM(E65:Y65)</f>
        <v>0</v>
      </c>
      <c r="E65" s="141">
        <f>Calculations!E52*(1+$D$20)</f>
        <v>0</v>
      </c>
      <c r="F65" s="141">
        <f>Calculations!F52*(1+$D$20)</f>
        <v>0</v>
      </c>
      <c r="G65" s="141">
        <f>Calculations!G52*(1+$D$20)</f>
        <v>0</v>
      </c>
      <c r="H65" s="141">
        <f>Calculations!H52*(1+$D$20)</f>
        <v>0</v>
      </c>
      <c r="I65" s="141">
        <f>Calculations!I52*(1+$D$20)</f>
        <v>0</v>
      </c>
      <c r="J65" s="141">
        <f>Calculations!J52*(1+$D$20)</f>
        <v>0</v>
      </c>
      <c r="K65" s="141">
        <f>Calculations!K52*(1+$D$20)</f>
        <v>0</v>
      </c>
      <c r="L65" s="141">
        <f>Calculations!L52*(1+$D$20)</f>
        <v>0</v>
      </c>
      <c r="M65" s="141">
        <f>Calculations!M52*(1+$D$20)</f>
        <v>0</v>
      </c>
      <c r="N65" s="141">
        <f>Calculations!N52*(1+$D$20)</f>
        <v>0</v>
      </c>
      <c r="O65" s="141">
        <f>Calculations!O52*(1+$D$20)</f>
        <v>0</v>
      </c>
      <c r="P65" s="141">
        <f>Calculations!P52*(1+$D$20)</f>
        <v>0</v>
      </c>
      <c r="Q65" s="141">
        <f>Calculations!Q52*(1+$D$20)</f>
        <v>0</v>
      </c>
      <c r="R65" s="141">
        <f>Calculations!R52*(1+$D$20)</f>
        <v>0</v>
      </c>
      <c r="S65" s="141">
        <f>Calculations!S52*(1+$D$20)</f>
        <v>0</v>
      </c>
      <c r="T65" s="141">
        <f>Calculations!T52*(1+$D$20)</f>
        <v>0</v>
      </c>
      <c r="U65" s="141">
        <f>Calculations!U52*(1+$D$20)</f>
        <v>0</v>
      </c>
      <c r="V65" s="141">
        <f>Calculations!V52*(1+$D$20)</f>
        <v>0</v>
      </c>
      <c r="W65" s="141">
        <f>Calculations!W52*(1+$D$20)</f>
        <v>0</v>
      </c>
      <c r="X65" s="141">
        <f>Calculations!X52*(1+$D$20)</f>
        <v>0</v>
      </c>
      <c r="Y65" s="141">
        <f>Calculations!Y52*(1+$D$20)</f>
        <v>0</v>
      </c>
      <c r="Z65" s="287"/>
    </row>
    <row r="66" spans="2:26" ht="13.5" thickBot="1" x14ac:dyDescent="0.25">
      <c r="B66" s="107"/>
      <c r="C66" s="137" t="str">
        <f>'User Input'!D77</f>
        <v>Risk 2</v>
      </c>
      <c r="D66" s="67">
        <f>SUM(E66:Y66)</f>
        <v>0</v>
      </c>
      <c r="E66" s="141">
        <f>Calculations!E53*(1+$D$20)</f>
        <v>0</v>
      </c>
      <c r="F66" s="141">
        <f>Calculations!F53*(1+$D$20)</f>
        <v>0</v>
      </c>
      <c r="G66" s="141">
        <f>Calculations!G53*(1+$D$20)</f>
        <v>0</v>
      </c>
      <c r="H66" s="141">
        <f>Calculations!H53*(1+$D$20)</f>
        <v>0</v>
      </c>
      <c r="I66" s="141">
        <f>Calculations!I53*(1+$D$20)</f>
        <v>0</v>
      </c>
      <c r="J66" s="141">
        <f>Calculations!J53*(1+$D$20)</f>
        <v>0</v>
      </c>
      <c r="K66" s="141">
        <f>Calculations!K53*(1+$D$20)</f>
        <v>0</v>
      </c>
      <c r="L66" s="141">
        <f>Calculations!L53*(1+$D$20)</f>
        <v>0</v>
      </c>
      <c r="M66" s="141">
        <f>Calculations!M53*(1+$D$20)</f>
        <v>0</v>
      </c>
      <c r="N66" s="141">
        <f>Calculations!N53*(1+$D$20)</f>
        <v>0</v>
      </c>
      <c r="O66" s="141">
        <f>Calculations!O53*(1+$D$20)</f>
        <v>0</v>
      </c>
      <c r="P66" s="141">
        <f>Calculations!P53*(1+$D$20)</f>
        <v>0</v>
      </c>
      <c r="Q66" s="141">
        <f>Calculations!Q53*(1+$D$20)</f>
        <v>0</v>
      </c>
      <c r="R66" s="141">
        <f>Calculations!R53*(1+$D$20)</f>
        <v>0</v>
      </c>
      <c r="S66" s="141">
        <f>Calculations!S53*(1+$D$20)</f>
        <v>0</v>
      </c>
      <c r="T66" s="141">
        <f>Calculations!T53*(1+$D$20)</f>
        <v>0</v>
      </c>
      <c r="U66" s="141">
        <f>Calculations!U53*(1+$D$20)</f>
        <v>0</v>
      </c>
      <c r="V66" s="141">
        <f>Calculations!V53*(1+$D$20)</f>
        <v>0</v>
      </c>
      <c r="W66" s="141">
        <f>Calculations!W53*(1+$D$20)</f>
        <v>0</v>
      </c>
      <c r="X66" s="141">
        <f>Calculations!X53*(1+$D$20)</f>
        <v>0</v>
      </c>
      <c r="Y66" s="141">
        <f>Calculations!Y53*(1+$D$20)</f>
        <v>0</v>
      </c>
      <c r="Z66" s="287"/>
    </row>
    <row r="67" spans="2:26" ht="13.5" thickBot="1" x14ac:dyDescent="0.25">
      <c r="B67" s="107"/>
      <c r="C67" s="137" t="str">
        <f>'User Input'!D78</f>
        <v>Risk 3</v>
      </c>
      <c r="D67" s="67">
        <f>SUM(E67:Y67)</f>
        <v>0</v>
      </c>
      <c r="E67" s="141">
        <f>Calculations!E54*(1+$D$20)</f>
        <v>0</v>
      </c>
      <c r="F67" s="141">
        <f>Calculations!F54*(1+$D$20)</f>
        <v>0</v>
      </c>
      <c r="G67" s="141">
        <f>Calculations!G54*(1+$D$20)</f>
        <v>0</v>
      </c>
      <c r="H67" s="141">
        <f>Calculations!H54*(1+$D$20)</f>
        <v>0</v>
      </c>
      <c r="I67" s="141">
        <f>Calculations!I54*(1+$D$20)</f>
        <v>0</v>
      </c>
      <c r="J67" s="141">
        <f>Calculations!J54*(1+$D$20)</f>
        <v>0</v>
      </c>
      <c r="K67" s="141">
        <f>Calculations!K54*(1+$D$20)</f>
        <v>0</v>
      </c>
      <c r="L67" s="141">
        <f>Calculations!L54*(1+$D$20)</f>
        <v>0</v>
      </c>
      <c r="M67" s="141">
        <f>Calculations!M54*(1+$D$20)</f>
        <v>0</v>
      </c>
      <c r="N67" s="141">
        <f>Calculations!N54*(1+$D$20)</f>
        <v>0</v>
      </c>
      <c r="O67" s="141">
        <f>Calculations!O54*(1+$D$20)</f>
        <v>0</v>
      </c>
      <c r="P67" s="141">
        <f>Calculations!P54*(1+$D$20)</f>
        <v>0</v>
      </c>
      <c r="Q67" s="141">
        <f>Calculations!Q54*(1+$D$20)</f>
        <v>0</v>
      </c>
      <c r="R67" s="141">
        <f>Calculations!R54*(1+$D$20)</f>
        <v>0</v>
      </c>
      <c r="S67" s="141">
        <f>Calculations!S54*(1+$D$20)</f>
        <v>0</v>
      </c>
      <c r="T67" s="141">
        <f>Calculations!T54*(1+$D$20)</f>
        <v>0</v>
      </c>
      <c r="U67" s="141">
        <f>Calculations!U54*(1+$D$20)</f>
        <v>0</v>
      </c>
      <c r="V67" s="141">
        <f>Calculations!V54*(1+$D$20)</f>
        <v>0</v>
      </c>
      <c r="W67" s="141">
        <f>Calculations!W54*(1+$D$20)</f>
        <v>0</v>
      </c>
      <c r="X67" s="141">
        <f>Calculations!X54*(1+$D$20)</f>
        <v>0</v>
      </c>
      <c r="Y67" s="141">
        <f>Calculations!Y54*(1+$D$20)</f>
        <v>0</v>
      </c>
      <c r="Z67" s="287"/>
    </row>
    <row r="68" spans="2:26" ht="13.5" thickBot="1" x14ac:dyDescent="0.25">
      <c r="B68" s="107"/>
      <c r="C68" s="137" t="str">
        <f>'User Input'!D79</f>
        <v>Risk 4</v>
      </c>
      <c r="D68" s="67">
        <f>SUM(E68:Y68)</f>
        <v>0</v>
      </c>
      <c r="E68" s="141">
        <f>Calculations!E55*(1+$D$20)</f>
        <v>0</v>
      </c>
      <c r="F68" s="141">
        <f>Calculations!F55*(1+$D$20)</f>
        <v>0</v>
      </c>
      <c r="G68" s="141">
        <f>Calculations!G55*(1+$D$20)</f>
        <v>0</v>
      </c>
      <c r="H68" s="141">
        <f>Calculations!H55*(1+$D$20)</f>
        <v>0</v>
      </c>
      <c r="I68" s="141">
        <f>Calculations!I55*(1+$D$20)</f>
        <v>0</v>
      </c>
      <c r="J68" s="141">
        <f>Calculations!J55*(1+$D$20)</f>
        <v>0</v>
      </c>
      <c r="K68" s="141">
        <f>Calculations!K55*(1+$D$20)</f>
        <v>0</v>
      </c>
      <c r="L68" s="141">
        <f>Calculations!L55*(1+$D$20)</f>
        <v>0</v>
      </c>
      <c r="M68" s="141">
        <f>Calculations!M55*(1+$D$20)</f>
        <v>0</v>
      </c>
      <c r="N68" s="141">
        <f>Calculations!N55*(1+$D$20)</f>
        <v>0</v>
      </c>
      <c r="O68" s="141">
        <f>Calculations!O55*(1+$D$20)</f>
        <v>0</v>
      </c>
      <c r="P68" s="141">
        <f>Calculations!P55*(1+$D$20)</f>
        <v>0</v>
      </c>
      <c r="Q68" s="141">
        <f>Calculations!Q55*(1+$D$20)</f>
        <v>0</v>
      </c>
      <c r="R68" s="141">
        <f>Calculations!R55*(1+$D$20)</f>
        <v>0</v>
      </c>
      <c r="S68" s="141">
        <f>Calculations!S55*(1+$D$20)</f>
        <v>0</v>
      </c>
      <c r="T68" s="141">
        <f>Calculations!T55*(1+$D$20)</f>
        <v>0</v>
      </c>
      <c r="U68" s="141">
        <f>Calculations!U55*(1+$D$20)</f>
        <v>0</v>
      </c>
      <c r="V68" s="141">
        <f>Calculations!V55*(1+$D$20)</f>
        <v>0</v>
      </c>
      <c r="W68" s="141">
        <f>Calculations!W55*(1+$D$20)</f>
        <v>0</v>
      </c>
      <c r="X68" s="141">
        <f>Calculations!X55*(1+$D$20)</f>
        <v>0</v>
      </c>
      <c r="Y68" s="141">
        <f>Calculations!Y55*(1+$D$20)</f>
        <v>0</v>
      </c>
      <c r="Z68" s="287"/>
    </row>
    <row r="69" spans="2:26" ht="13.5" thickBot="1" x14ac:dyDescent="0.25">
      <c r="B69" s="107"/>
      <c r="C69" s="137" t="str">
        <f>'User Input'!D80</f>
        <v>Risk 5</v>
      </c>
      <c r="D69" s="67">
        <f>SUM(E69:Y69)</f>
        <v>0</v>
      </c>
      <c r="E69" s="141">
        <f>Calculations!E56*(1+$D$20)</f>
        <v>0</v>
      </c>
      <c r="F69" s="141">
        <f>Calculations!F56*(1+$D$20)</f>
        <v>0</v>
      </c>
      <c r="G69" s="141">
        <f>Calculations!G56*(1+$D$20)</f>
        <v>0</v>
      </c>
      <c r="H69" s="141">
        <f>Calculations!H56*(1+$D$20)</f>
        <v>0</v>
      </c>
      <c r="I69" s="141">
        <f>Calculations!I56*(1+$D$20)</f>
        <v>0</v>
      </c>
      <c r="J69" s="141">
        <f>Calculations!J56*(1+$D$20)</f>
        <v>0</v>
      </c>
      <c r="K69" s="141">
        <f>Calculations!K56*(1+$D$20)</f>
        <v>0</v>
      </c>
      <c r="L69" s="141">
        <f>Calculations!L56*(1+$D$20)</f>
        <v>0</v>
      </c>
      <c r="M69" s="141">
        <f>Calculations!M56*(1+$D$20)</f>
        <v>0</v>
      </c>
      <c r="N69" s="141">
        <f>Calculations!N56*(1+$D$20)</f>
        <v>0</v>
      </c>
      <c r="O69" s="141">
        <f>Calculations!O56*(1+$D$20)</f>
        <v>0</v>
      </c>
      <c r="P69" s="141">
        <f>Calculations!P56*(1+$D$20)</f>
        <v>0</v>
      </c>
      <c r="Q69" s="141">
        <f>Calculations!Q56*(1+$D$20)</f>
        <v>0</v>
      </c>
      <c r="R69" s="141">
        <f>Calculations!R56*(1+$D$20)</f>
        <v>0</v>
      </c>
      <c r="S69" s="141">
        <f>Calculations!S56*(1+$D$20)</f>
        <v>0</v>
      </c>
      <c r="T69" s="141">
        <f>Calculations!T56*(1+$D$20)</f>
        <v>0</v>
      </c>
      <c r="U69" s="141">
        <f>Calculations!U56*(1+$D$20)</f>
        <v>0</v>
      </c>
      <c r="V69" s="141">
        <f>Calculations!V56*(1+$D$20)</f>
        <v>0</v>
      </c>
      <c r="W69" s="141">
        <f>Calculations!W56*(1+$D$20)</f>
        <v>0</v>
      </c>
      <c r="X69" s="141">
        <f>Calculations!X56*(1+$D$20)</f>
        <v>0</v>
      </c>
      <c r="Y69" s="141">
        <f>Calculations!Y56*(1+$D$20)</f>
        <v>0</v>
      </c>
      <c r="Z69" s="287"/>
    </row>
    <row r="70" spans="2:26" ht="13.5" thickBot="1" x14ac:dyDescent="0.25">
      <c r="B70" s="107"/>
      <c r="C70" s="53" t="s">
        <v>2</v>
      </c>
      <c r="D70" s="67">
        <f t="shared" si="5"/>
        <v>2343.9958150556986</v>
      </c>
      <c r="E70" s="68">
        <f>SUM(E51:E69)</f>
        <v>1303.0080433233068</v>
      </c>
      <c r="F70" s="69">
        <f t="shared" ref="F70:Y70" si="6">SUM(F51:F69)</f>
        <v>1040.9877717323916</v>
      </c>
      <c r="G70" s="69">
        <f t="shared" si="6"/>
        <v>0</v>
      </c>
      <c r="H70" s="69">
        <f t="shared" si="6"/>
        <v>0</v>
      </c>
      <c r="I70" s="69">
        <f t="shared" si="6"/>
        <v>0</v>
      </c>
      <c r="J70" s="69">
        <f t="shared" si="6"/>
        <v>0</v>
      </c>
      <c r="K70" s="69">
        <f t="shared" si="6"/>
        <v>0</v>
      </c>
      <c r="L70" s="69">
        <f t="shared" si="6"/>
        <v>0</v>
      </c>
      <c r="M70" s="69">
        <f t="shared" si="6"/>
        <v>0</v>
      </c>
      <c r="N70" s="69">
        <f t="shared" si="6"/>
        <v>0</v>
      </c>
      <c r="O70" s="69">
        <f t="shared" si="6"/>
        <v>0</v>
      </c>
      <c r="P70" s="69">
        <f t="shared" si="6"/>
        <v>0</v>
      </c>
      <c r="Q70" s="69">
        <f t="shared" si="6"/>
        <v>0</v>
      </c>
      <c r="R70" s="69">
        <f t="shared" si="6"/>
        <v>0</v>
      </c>
      <c r="S70" s="69">
        <f t="shared" si="6"/>
        <v>0</v>
      </c>
      <c r="T70" s="69">
        <f t="shared" si="6"/>
        <v>0</v>
      </c>
      <c r="U70" s="69">
        <f t="shared" si="6"/>
        <v>0</v>
      </c>
      <c r="V70" s="69">
        <f t="shared" si="6"/>
        <v>0</v>
      </c>
      <c r="W70" s="69">
        <f t="shared" si="6"/>
        <v>0</v>
      </c>
      <c r="X70" s="69">
        <f t="shared" si="6"/>
        <v>0</v>
      </c>
      <c r="Y70" s="150">
        <f t="shared" si="6"/>
        <v>0</v>
      </c>
      <c r="Z70" s="287"/>
    </row>
    <row r="71" spans="2:26" ht="13.5" thickBot="1" x14ac:dyDescent="0.25">
      <c r="B71" s="107"/>
      <c r="C71" s="54" t="s">
        <v>50</v>
      </c>
      <c r="D71" s="67">
        <f t="shared" si="5"/>
        <v>1688.9483090078588</v>
      </c>
      <c r="E71" s="77">
        <f t="shared" ref="E71:Y71" si="7">E70/E$13</f>
        <v>969.54561022260259</v>
      </c>
      <c r="F71" s="77">
        <f t="shared" si="7"/>
        <v>719.40269878525623</v>
      </c>
      <c r="G71" s="77">
        <f t="shared" si="7"/>
        <v>0</v>
      </c>
      <c r="H71" s="77">
        <f t="shared" si="7"/>
        <v>0</v>
      </c>
      <c r="I71" s="77">
        <f t="shared" si="7"/>
        <v>0</v>
      </c>
      <c r="J71" s="77">
        <f t="shared" si="7"/>
        <v>0</v>
      </c>
      <c r="K71" s="77">
        <f t="shared" si="7"/>
        <v>0</v>
      </c>
      <c r="L71" s="77">
        <f t="shared" si="7"/>
        <v>0</v>
      </c>
      <c r="M71" s="77">
        <f t="shared" si="7"/>
        <v>0</v>
      </c>
      <c r="N71" s="77">
        <f t="shared" si="7"/>
        <v>0</v>
      </c>
      <c r="O71" s="77">
        <f t="shared" si="7"/>
        <v>0</v>
      </c>
      <c r="P71" s="77">
        <f t="shared" si="7"/>
        <v>0</v>
      </c>
      <c r="Q71" s="77">
        <f t="shared" si="7"/>
        <v>0</v>
      </c>
      <c r="R71" s="77">
        <f t="shared" si="7"/>
        <v>0</v>
      </c>
      <c r="S71" s="77">
        <f t="shared" si="7"/>
        <v>0</v>
      </c>
      <c r="T71" s="77">
        <f t="shared" si="7"/>
        <v>0</v>
      </c>
      <c r="U71" s="77">
        <f t="shared" si="7"/>
        <v>0</v>
      </c>
      <c r="V71" s="77">
        <f t="shared" si="7"/>
        <v>0</v>
      </c>
      <c r="W71" s="77">
        <f t="shared" si="7"/>
        <v>0</v>
      </c>
      <c r="X71" s="77">
        <f t="shared" si="7"/>
        <v>0</v>
      </c>
      <c r="Y71" s="77">
        <f t="shared" si="7"/>
        <v>0</v>
      </c>
      <c r="Z71" s="287"/>
    </row>
    <row r="72" spans="2:26" x14ac:dyDescent="0.2">
      <c r="B72" s="227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3"/>
      <c r="Z72" s="290"/>
    </row>
    <row r="73" spans="2:26" x14ac:dyDescent="0.2">
      <c r="B73" s="371" t="str">
        <f>'User Input'!D82</f>
        <v>Option 2: Provide In Meter Capabilities with Near Real-time Centralised Analytics</v>
      </c>
      <c r="C73" s="367"/>
      <c r="D73" s="372"/>
      <c r="E73" s="369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0"/>
    </row>
    <row r="74" spans="2:26" ht="13.5" thickBot="1" x14ac:dyDescent="0.25">
      <c r="B74" s="20"/>
      <c r="C74" s="5"/>
      <c r="D74" s="5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185"/>
      <c r="Z74" s="287"/>
    </row>
    <row r="75" spans="2:26" ht="13.5" thickBot="1" x14ac:dyDescent="0.25">
      <c r="B75" s="52"/>
      <c r="C75" s="29" t="s">
        <v>76</v>
      </c>
      <c r="D75" s="67">
        <f>SUM(E75:Y75)</f>
        <v>10488.925176377625</v>
      </c>
      <c r="E75" s="141">
        <f>Calculations!E62*(1+$D$19)</f>
        <v>5831.3925387873905</v>
      </c>
      <c r="F75" s="141">
        <f>Calculations!F62*(1+$D$19)</f>
        <v>4657.5326375902341</v>
      </c>
      <c r="G75" s="141">
        <f>Calculations!G62*(1+$D$19)</f>
        <v>0</v>
      </c>
      <c r="H75" s="141">
        <f>Calculations!H62*(1+$D$19)</f>
        <v>0</v>
      </c>
      <c r="I75" s="141">
        <f>Calculations!I62*(1+$D$19)</f>
        <v>0</v>
      </c>
      <c r="J75" s="141">
        <f>Calculations!J62*(1+$D$19)</f>
        <v>0</v>
      </c>
      <c r="K75" s="141">
        <f>Calculations!K62*(1+$D$19)</f>
        <v>0</v>
      </c>
      <c r="L75" s="141">
        <f>Calculations!L62*(1+$D$19)</f>
        <v>0</v>
      </c>
      <c r="M75" s="141">
        <f>Calculations!M62*(1+$D$19)</f>
        <v>0</v>
      </c>
      <c r="N75" s="141">
        <f>Calculations!N62*(1+$D$19)</f>
        <v>0</v>
      </c>
      <c r="O75" s="141">
        <f>Calculations!O62*(1+$D$19)</f>
        <v>0</v>
      </c>
      <c r="P75" s="141">
        <f>Calculations!P62*(1+$D$19)</f>
        <v>0</v>
      </c>
      <c r="Q75" s="141">
        <f>Calculations!Q62*(1+$D$19)</f>
        <v>0</v>
      </c>
      <c r="R75" s="141">
        <f>Calculations!R62*(1+$D$19)</f>
        <v>0</v>
      </c>
      <c r="S75" s="141">
        <f>Calculations!S62*(1+$D$19)</f>
        <v>0</v>
      </c>
      <c r="T75" s="141">
        <f>Calculations!T62*(1+$D$19)</f>
        <v>0</v>
      </c>
      <c r="U75" s="141">
        <f>Calculations!U62*(1+$D$19)</f>
        <v>0</v>
      </c>
      <c r="V75" s="141">
        <f>Calculations!V62*(1+$D$19)</f>
        <v>0</v>
      </c>
      <c r="W75" s="141">
        <f>Calculations!W62*(1+$D$19)</f>
        <v>0</v>
      </c>
      <c r="X75" s="141">
        <f>Calculations!X62*(1+$D$19)</f>
        <v>0</v>
      </c>
      <c r="Y75" s="141">
        <f>Calculations!Y62*(1+$D$19)</f>
        <v>0</v>
      </c>
      <c r="Z75" s="287"/>
    </row>
    <row r="76" spans="2:26" ht="13.5" thickBot="1" x14ac:dyDescent="0.25">
      <c r="B76" s="107"/>
      <c r="C76" s="137" t="str">
        <f>'User Input'!D85</f>
        <v>Maintenance Costs</v>
      </c>
      <c r="D76" s="67">
        <f>SUM(E76:Y76)</f>
        <v>0</v>
      </c>
      <c r="E76" s="141">
        <f>Calculations!E63*(1+$D$20)</f>
        <v>0</v>
      </c>
      <c r="F76" s="141">
        <f>Calculations!F63*(1+$D$20)</f>
        <v>0</v>
      </c>
      <c r="G76" s="141">
        <f>Calculations!G63*(1+$D$20)</f>
        <v>0</v>
      </c>
      <c r="H76" s="141">
        <f>Calculations!H63*(1+$D$20)</f>
        <v>0</v>
      </c>
      <c r="I76" s="141">
        <f>Calculations!I63*(1+$D$20)</f>
        <v>0</v>
      </c>
      <c r="J76" s="141">
        <f>Calculations!J63*(1+$D$20)</f>
        <v>0</v>
      </c>
      <c r="K76" s="141">
        <f>Calculations!K63*(1+$D$20)</f>
        <v>0</v>
      </c>
      <c r="L76" s="141">
        <f>Calculations!L63*(1+$D$20)</f>
        <v>0</v>
      </c>
      <c r="M76" s="141">
        <f>Calculations!M63*(1+$D$20)</f>
        <v>0</v>
      </c>
      <c r="N76" s="141">
        <f>Calculations!N63*(1+$D$20)</f>
        <v>0</v>
      </c>
      <c r="O76" s="141">
        <f>Calculations!O63*(1+$D$20)</f>
        <v>0</v>
      </c>
      <c r="P76" s="141">
        <f>Calculations!P63*(1+$D$20)</f>
        <v>0</v>
      </c>
      <c r="Q76" s="141">
        <f>Calculations!Q63*(1+$D$20)</f>
        <v>0</v>
      </c>
      <c r="R76" s="141">
        <f>Calculations!R63*(1+$D$20)</f>
        <v>0</v>
      </c>
      <c r="S76" s="141">
        <f>Calculations!S63*(1+$D$20)</f>
        <v>0</v>
      </c>
      <c r="T76" s="141">
        <f>Calculations!T63*(1+$D$20)</f>
        <v>0</v>
      </c>
      <c r="U76" s="141">
        <f>Calculations!U63*(1+$D$20)</f>
        <v>0</v>
      </c>
      <c r="V76" s="141">
        <f>Calculations!V63*(1+$D$20)</f>
        <v>0</v>
      </c>
      <c r="W76" s="141">
        <f>Calculations!W63*(1+$D$20)</f>
        <v>0</v>
      </c>
      <c r="X76" s="141">
        <f>Calculations!X63*(1+$D$20)</f>
        <v>0</v>
      </c>
      <c r="Y76" s="141">
        <f>Calculations!Y63*(1+$D$20)</f>
        <v>0</v>
      </c>
      <c r="Z76" s="287"/>
    </row>
    <row r="77" spans="2:26" ht="13.5" thickBot="1" x14ac:dyDescent="0.25">
      <c r="B77" s="107"/>
      <c r="C77" s="137" t="str">
        <f>'User Input'!D87</f>
        <v>Negative Impact on Revenue (STPIS)</v>
      </c>
      <c r="D77" s="19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46"/>
      <c r="Z77" s="287"/>
    </row>
    <row r="78" spans="2:26" ht="13.5" thickBot="1" x14ac:dyDescent="0.25">
      <c r="B78" s="107"/>
      <c r="C78" s="136" t="str">
        <f>'User Input'!D88</f>
        <v>SAIFI sustained</v>
      </c>
      <c r="D78" s="67">
        <f t="shared" ref="D78:D95" si="8">SUM(E78:Y78)</f>
        <v>0</v>
      </c>
      <c r="E78" s="259">
        <v>0</v>
      </c>
      <c r="F78" s="259">
        <v>0</v>
      </c>
      <c r="G78" s="64">
        <f>Calculations!G65*(1+$D$22)</f>
        <v>0</v>
      </c>
      <c r="H78" s="64">
        <f>Calculations!H65*(1+$D$22)</f>
        <v>0</v>
      </c>
      <c r="I78" s="64">
        <f>Calculations!I65*(1+$D$22)</f>
        <v>0</v>
      </c>
      <c r="J78" s="64">
        <f>Calculations!J65*(1+$D$22)</f>
        <v>0</v>
      </c>
      <c r="K78" s="64">
        <f>Calculations!K65*(1+$D$22)</f>
        <v>0</v>
      </c>
      <c r="L78" s="64">
        <f>Calculations!L65*(1+$D$22)</f>
        <v>0</v>
      </c>
      <c r="M78" s="64">
        <f>Calculations!M65*(1+$D$22)</f>
        <v>0</v>
      </c>
      <c r="N78" s="64">
        <f>Calculations!N65*(1+$D$22)</f>
        <v>0</v>
      </c>
      <c r="O78" s="64">
        <f>Calculations!O65*(1+$D$22)</f>
        <v>0</v>
      </c>
      <c r="P78" s="64">
        <f>Calculations!P65*(1+$D$22)</f>
        <v>0</v>
      </c>
      <c r="Q78" s="64">
        <f>Calculations!Q65*(1+$D$22)</f>
        <v>0</v>
      </c>
      <c r="R78" s="64">
        <f>Calculations!R65*(1+$D$22)</f>
        <v>0</v>
      </c>
      <c r="S78" s="64">
        <f>Calculations!S65*(1+$D$22)</f>
        <v>0</v>
      </c>
      <c r="T78" s="64">
        <f>Calculations!T65*(1+$D$22)</f>
        <v>0</v>
      </c>
      <c r="U78" s="64">
        <f>Calculations!U65*(1+$D$22)</f>
        <v>0</v>
      </c>
      <c r="V78" s="64">
        <f>Calculations!V65*(1+$D$22)</f>
        <v>0</v>
      </c>
      <c r="W78" s="64">
        <f>Calculations!W65*(1+$D$22)</f>
        <v>0</v>
      </c>
      <c r="X78" s="64">
        <f>Calculations!X65*(1+$D$22)</f>
        <v>0</v>
      </c>
      <c r="Y78" s="64">
        <f>Calculations!Y65*(1+$D$22)</f>
        <v>0</v>
      </c>
      <c r="Z78" s="287"/>
    </row>
    <row r="79" spans="2:26" ht="13.5" thickBot="1" x14ac:dyDescent="0.25">
      <c r="B79" s="107"/>
      <c r="C79" s="136" t="str">
        <f>'User Input'!D89</f>
        <v>SAIDI accidental</v>
      </c>
      <c r="D79" s="67">
        <f t="shared" si="8"/>
        <v>0</v>
      </c>
      <c r="E79" s="259">
        <v>0</v>
      </c>
      <c r="F79" s="259">
        <v>0</v>
      </c>
      <c r="G79" s="64">
        <f>Calculations!G66*(1+$D$21)</f>
        <v>0</v>
      </c>
      <c r="H79" s="64">
        <f>Calculations!H66*(1+$D$21)</f>
        <v>0</v>
      </c>
      <c r="I79" s="64">
        <f>Calculations!I66*(1+$D$21)</f>
        <v>0</v>
      </c>
      <c r="J79" s="64">
        <f>Calculations!J66*(1+$D$21)</f>
        <v>0</v>
      </c>
      <c r="K79" s="64">
        <f>Calculations!K66*(1+$D$21)</f>
        <v>0</v>
      </c>
      <c r="L79" s="64">
        <f>Calculations!L66*(1+$D$21)</f>
        <v>0</v>
      </c>
      <c r="M79" s="64">
        <f>Calculations!M66*(1+$D$21)</f>
        <v>0</v>
      </c>
      <c r="N79" s="64">
        <f>Calculations!N66*(1+$D$21)</f>
        <v>0</v>
      </c>
      <c r="O79" s="64">
        <f>Calculations!O66*(1+$D$21)</f>
        <v>0</v>
      </c>
      <c r="P79" s="64">
        <f>Calculations!P66*(1+$D$21)</f>
        <v>0</v>
      </c>
      <c r="Q79" s="64">
        <f>Calculations!Q66*(1+$D$21)</f>
        <v>0</v>
      </c>
      <c r="R79" s="64">
        <f>Calculations!R66*(1+$D$21)</f>
        <v>0</v>
      </c>
      <c r="S79" s="64">
        <f>Calculations!S66*(1+$D$21)</f>
        <v>0</v>
      </c>
      <c r="T79" s="64">
        <f>Calculations!T66*(1+$D$21)</f>
        <v>0</v>
      </c>
      <c r="U79" s="64">
        <f>Calculations!U66*(1+$D$21)</f>
        <v>0</v>
      </c>
      <c r="V79" s="64">
        <f>Calculations!V66*(1+$D$21)</f>
        <v>0</v>
      </c>
      <c r="W79" s="64">
        <f>Calculations!W66*(1+$D$21)</f>
        <v>0</v>
      </c>
      <c r="X79" s="64">
        <f>Calculations!X66*(1+$D$21)</f>
        <v>0</v>
      </c>
      <c r="Y79" s="64">
        <f>Calculations!Y66*(1+$D$21)</f>
        <v>0</v>
      </c>
      <c r="Z79" s="287"/>
    </row>
    <row r="80" spans="2:26" ht="13.5" thickBot="1" x14ac:dyDescent="0.25">
      <c r="B80" s="107"/>
      <c r="C80" s="136" t="str">
        <f>'User Input'!D90</f>
        <v>MAIFI momentary</v>
      </c>
      <c r="D80" s="67">
        <f t="shared" si="8"/>
        <v>0</v>
      </c>
      <c r="E80" s="259">
        <v>0</v>
      </c>
      <c r="F80" s="259">
        <v>0</v>
      </c>
      <c r="G80" s="141">
        <f>Calculations!G67*(1+$D$23)</f>
        <v>0</v>
      </c>
      <c r="H80" s="141">
        <f>Calculations!H67*(1+$D$23)</f>
        <v>0</v>
      </c>
      <c r="I80" s="141">
        <f>Calculations!I67*(1+$D$23)</f>
        <v>0</v>
      </c>
      <c r="J80" s="141">
        <f>Calculations!J67*(1+$D$23)</f>
        <v>0</v>
      </c>
      <c r="K80" s="141">
        <f>Calculations!K67*(1+$D$23)</f>
        <v>0</v>
      </c>
      <c r="L80" s="141">
        <f>Calculations!L67*(1+$D$23)</f>
        <v>0</v>
      </c>
      <c r="M80" s="141">
        <f>Calculations!M67*(1+$D$23)</f>
        <v>0</v>
      </c>
      <c r="N80" s="141">
        <f>Calculations!N67*(1+$D$23)</f>
        <v>0</v>
      </c>
      <c r="O80" s="141">
        <f>Calculations!O67*(1+$D$23)</f>
        <v>0</v>
      </c>
      <c r="P80" s="141">
        <f>Calculations!P67*(1+$D$23)</f>
        <v>0</v>
      </c>
      <c r="Q80" s="141">
        <f>Calculations!Q67*(1+$D$23)</f>
        <v>0</v>
      </c>
      <c r="R80" s="141">
        <f>Calculations!R67*(1+$D$23)</f>
        <v>0</v>
      </c>
      <c r="S80" s="141">
        <f>Calculations!S67*(1+$D$23)</f>
        <v>0</v>
      </c>
      <c r="T80" s="141">
        <f>Calculations!T67*(1+$D$23)</f>
        <v>0</v>
      </c>
      <c r="U80" s="141">
        <f>Calculations!U67*(1+$D$23)</f>
        <v>0</v>
      </c>
      <c r="V80" s="141">
        <f>Calculations!V67*(1+$D$23)</f>
        <v>0</v>
      </c>
      <c r="W80" s="141">
        <f>Calculations!W67*(1+$D$23)</f>
        <v>0</v>
      </c>
      <c r="X80" s="141">
        <f>Calculations!X67*(1+$D$23)</f>
        <v>0</v>
      </c>
      <c r="Y80" s="141">
        <f>Calculations!Y67*(1+$D$23)</f>
        <v>0</v>
      </c>
      <c r="Z80" s="287"/>
    </row>
    <row r="81" spans="1:26" ht="13.5" thickBot="1" x14ac:dyDescent="0.25">
      <c r="B81" s="107"/>
      <c r="C81" s="136" t="str">
        <f>'User Input'!D91</f>
        <v>Call centre response</v>
      </c>
      <c r="D81" s="67">
        <f t="shared" si="8"/>
        <v>0</v>
      </c>
      <c r="E81" s="259">
        <v>0</v>
      </c>
      <c r="F81" s="259">
        <v>0</v>
      </c>
      <c r="G81" s="141">
        <f>Calculations!G68*(1+$D$20)</f>
        <v>0</v>
      </c>
      <c r="H81" s="141">
        <f>Calculations!H68*(1+$D$20)</f>
        <v>0</v>
      </c>
      <c r="I81" s="141">
        <f>Calculations!I68*(1+$D$20)</f>
        <v>0</v>
      </c>
      <c r="J81" s="141">
        <f>Calculations!J68*(1+$D$20)</f>
        <v>0</v>
      </c>
      <c r="K81" s="141">
        <f>Calculations!K68*(1+$D$20)</f>
        <v>0</v>
      </c>
      <c r="L81" s="141">
        <f>Calculations!L68*(1+$D$20)</f>
        <v>0</v>
      </c>
      <c r="M81" s="141">
        <f>Calculations!M68*(1+$D$20)</f>
        <v>0</v>
      </c>
      <c r="N81" s="141">
        <f>Calculations!N68*(1+$D$20)</f>
        <v>0</v>
      </c>
      <c r="O81" s="141">
        <f>Calculations!O68*(1+$D$20)</f>
        <v>0</v>
      </c>
      <c r="P81" s="141">
        <f>Calculations!P68*(1+$D$20)</f>
        <v>0</v>
      </c>
      <c r="Q81" s="141">
        <f>Calculations!Q68*(1+$D$20)</f>
        <v>0</v>
      </c>
      <c r="R81" s="141">
        <f>Calculations!R68*(1+$D$20)</f>
        <v>0</v>
      </c>
      <c r="S81" s="141">
        <f>Calculations!S68*(1+$D$20)</f>
        <v>0</v>
      </c>
      <c r="T81" s="141">
        <f>Calculations!T68*(1+$D$20)</f>
        <v>0</v>
      </c>
      <c r="U81" s="141">
        <f>Calculations!U68*(1+$D$20)</f>
        <v>0</v>
      </c>
      <c r="V81" s="141">
        <f>Calculations!V68*(1+$D$20)</f>
        <v>0</v>
      </c>
      <c r="W81" s="141">
        <f>Calculations!W68*(1+$D$20)</f>
        <v>0</v>
      </c>
      <c r="X81" s="141">
        <f>Calculations!X68*(1+$D$20)</f>
        <v>0</v>
      </c>
      <c r="Y81" s="141">
        <f>Calculations!Y68*(1+$D$20)</f>
        <v>0</v>
      </c>
      <c r="Z81" s="287"/>
    </row>
    <row r="82" spans="1:26" ht="13.5" thickBot="1" x14ac:dyDescent="0.25">
      <c r="A82" s="143"/>
      <c r="B82" s="144"/>
      <c r="C82" s="137" t="str">
        <f>'User Input'!D93</f>
        <v>Network Outage Costs</v>
      </c>
      <c r="D82" s="67">
        <f t="shared" si="8"/>
        <v>0</v>
      </c>
      <c r="E82" s="141">
        <f>Calculations!E69*(1+$D$20)</f>
        <v>0</v>
      </c>
      <c r="F82" s="141">
        <f>Calculations!F69*(1+$D$20)</f>
        <v>0</v>
      </c>
      <c r="G82" s="141">
        <f>Calculations!G69*(1+$D$20)</f>
        <v>0</v>
      </c>
      <c r="H82" s="141">
        <f>Calculations!H69*(1+$D$20)</f>
        <v>0</v>
      </c>
      <c r="I82" s="141">
        <f>Calculations!I69*(1+$D$20)</f>
        <v>0</v>
      </c>
      <c r="J82" s="141">
        <f>Calculations!J69*(1+$D$20)</f>
        <v>0</v>
      </c>
      <c r="K82" s="141">
        <f>Calculations!K69*(1+$D$20)</f>
        <v>0</v>
      </c>
      <c r="L82" s="141">
        <f>Calculations!L69*(1+$D$20)</f>
        <v>0</v>
      </c>
      <c r="M82" s="141">
        <f>Calculations!M69*(1+$D$20)</f>
        <v>0</v>
      </c>
      <c r="N82" s="141">
        <f>Calculations!N69*(1+$D$20)</f>
        <v>0</v>
      </c>
      <c r="O82" s="141">
        <f>Calculations!O69*(1+$D$20)</f>
        <v>0</v>
      </c>
      <c r="P82" s="141">
        <f>Calculations!P69*(1+$D$20)</f>
        <v>0</v>
      </c>
      <c r="Q82" s="141">
        <f>Calculations!Q69*(1+$D$20)</f>
        <v>0</v>
      </c>
      <c r="R82" s="141">
        <f>Calculations!R69*(1+$D$20)</f>
        <v>0</v>
      </c>
      <c r="S82" s="141">
        <f>Calculations!S69*(1+$D$20)</f>
        <v>0</v>
      </c>
      <c r="T82" s="141">
        <f>Calculations!T69*(1+$D$20)</f>
        <v>0</v>
      </c>
      <c r="U82" s="141">
        <f>Calculations!U69*(1+$D$20)</f>
        <v>0</v>
      </c>
      <c r="V82" s="141">
        <f>Calculations!V69*(1+$D$20)</f>
        <v>0</v>
      </c>
      <c r="W82" s="141">
        <f>Calculations!W69*(1+$D$20)</f>
        <v>0</v>
      </c>
      <c r="X82" s="141">
        <f>Calculations!X69*(1+$D$20)</f>
        <v>0</v>
      </c>
      <c r="Y82" s="141">
        <f>Calculations!Y69*(1+$D$20)</f>
        <v>0</v>
      </c>
      <c r="Z82" s="287"/>
    </row>
    <row r="83" spans="1:26" ht="13.5" thickBot="1" x14ac:dyDescent="0.25">
      <c r="A83" s="143"/>
      <c r="B83" s="144"/>
      <c r="C83" s="137" t="str">
        <f>'User Input'!D97</f>
        <v>Loss of F Factor Benefit</v>
      </c>
      <c r="D83" s="67">
        <f t="shared" si="8"/>
        <v>0</v>
      </c>
      <c r="E83" s="141">
        <f>Calculations!E70*(1+$D$20)</f>
        <v>0</v>
      </c>
      <c r="F83" s="141">
        <f>Calculations!F70*(1+$D$20)</f>
        <v>0</v>
      </c>
      <c r="G83" s="141">
        <f>Calculations!G70*(1+$D$20)</f>
        <v>0</v>
      </c>
      <c r="H83" s="141">
        <f>Calculations!H70*(1+$D$20)</f>
        <v>0</v>
      </c>
      <c r="I83" s="141">
        <f>Calculations!I70*(1+$D$20)</f>
        <v>0</v>
      </c>
      <c r="J83" s="141">
        <f>Calculations!J70*(1+$D$20)</f>
        <v>0</v>
      </c>
      <c r="K83" s="141">
        <f>Calculations!K70*(1+$D$20)</f>
        <v>0</v>
      </c>
      <c r="L83" s="141">
        <f>Calculations!L70*(1+$D$20)</f>
        <v>0</v>
      </c>
      <c r="M83" s="141">
        <f>Calculations!M70*(1+$D$20)</f>
        <v>0</v>
      </c>
      <c r="N83" s="141">
        <f>Calculations!N70*(1+$D$20)</f>
        <v>0</v>
      </c>
      <c r="O83" s="141">
        <f>Calculations!O70*(1+$D$20)</f>
        <v>0</v>
      </c>
      <c r="P83" s="141">
        <f>Calculations!P70*(1+$D$20)</f>
        <v>0</v>
      </c>
      <c r="Q83" s="141">
        <f>Calculations!Q70*(1+$D$20)</f>
        <v>0</v>
      </c>
      <c r="R83" s="141">
        <f>Calculations!R70*(1+$D$20)</f>
        <v>0</v>
      </c>
      <c r="S83" s="141">
        <f>Calculations!S70*(1+$D$20)</f>
        <v>0</v>
      </c>
      <c r="T83" s="141">
        <f>Calculations!T70*(1+$D$20)</f>
        <v>0</v>
      </c>
      <c r="U83" s="141">
        <f>Calculations!U70*(1+$D$20)</f>
        <v>0</v>
      </c>
      <c r="V83" s="141">
        <f>Calculations!V70*(1+$D$20)</f>
        <v>0</v>
      </c>
      <c r="W83" s="141">
        <f>Calculations!W70*(1+$D$20)</f>
        <v>0</v>
      </c>
      <c r="X83" s="141">
        <f>Calculations!X70*(1+$D$20)</f>
        <v>0</v>
      </c>
      <c r="Y83" s="141">
        <f>Calculations!Y70*(1+$D$20)</f>
        <v>0</v>
      </c>
      <c r="Z83" s="287"/>
    </row>
    <row r="84" spans="1:26" ht="13.5" thickBot="1" x14ac:dyDescent="0.25">
      <c r="B84" s="107"/>
      <c r="C84" s="137" t="str">
        <f>'User Input'!D100</f>
        <v>Cost 1</v>
      </c>
      <c r="D84" s="67">
        <f t="shared" si="8"/>
        <v>0</v>
      </c>
      <c r="E84" s="141">
        <f>Calculations!E71*(1+$D$20)</f>
        <v>0</v>
      </c>
      <c r="F84" s="141">
        <f>Calculations!F71*(1+$D$20)</f>
        <v>0</v>
      </c>
      <c r="G84" s="141">
        <f>Calculations!G71*(1+$D$20)</f>
        <v>0</v>
      </c>
      <c r="H84" s="141">
        <f>Calculations!H71*(1+$D$20)</f>
        <v>0</v>
      </c>
      <c r="I84" s="141">
        <f>Calculations!I71*(1+$D$20)</f>
        <v>0</v>
      </c>
      <c r="J84" s="141">
        <f>Calculations!J71*(1+$D$20)</f>
        <v>0</v>
      </c>
      <c r="K84" s="141">
        <f>Calculations!K71*(1+$D$20)</f>
        <v>0</v>
      </c>
      <c r="L84" s="141">
        <f>Calculations!L71*(1+$D$20)</f>
        <v>0</v>
      </c>
      <c r="M84" s="141">
        <f>Calculations!M71*(1+$D$20)</f>
        <v>0</v>
      </c>
      <c r="N84" s="141">
        <f>Calculations!N71*(1+$D$20)</f>
        <v>0</v>
      </c>
      <c r="O84" s="141">
        <f>Calculations!O71*(1+$D$20)</f>
        <v>0</v>
      </c>
      <c r="P84" s="141">
        <f>Calculations!P71*(1+$D$20)</f>
        <v>0</v>
      </c>
      <c r="Q84" s="141">
        <f>Calculations!Q71*(1+$D$20)</f>
        <v>0</v>
      </c>
      <c r="R84" s="141">
        <f>Calculations!R71*(1+$D$20)</f>
        <v>0</v>
      </c>
      <c r="S84" s="141">
        <f>Calculations!S71*(1+$D$20)</f>
        <v>0</v>
      </c>
      <c r="T84" s="141">
        <f>Calculations!T71*(1+$D$20)</f>
        <v>0</v>
      </c>
      <c r="U84" s="141">
        <f>Calculations!U71*(1+$D$20)</f>
        <v>0</v>
      </c>
      <c r="V84" s="141">
        <f>Calculations!V71*(1+$D$20)</f>
        <v>0</v>
      </c>
      <c r="W84" s="141">
        <f>Calculations!W71*(1+$D$20)</f>
        <v>0</v>
      </c>
      <c r="X84" s="141">
        <f>Calculations!X71*(1+$D$20)</f>
        <v>0</v>
      </c>
      <c r="Y84" s="141">
        <f>Calculations!Y71*(1+$D$20)</f>
        <v>0</v>
      </c>
      <c r="Z84" s="287"/>
    </row>
    <row r="85" spans="1:26" ht="13.5" thickBot="1" x14ac:dyDescent="0.25">
      <c r="B85" s="107"/>
      <c r="C85" s="137" t="str">
        <f>'User Input'!D101</f>
        <v>Cost 2</v>
      </c>
      <c r="D85" s="67">
        <f t="shared" si="8"/>
        <v>0</v>
      </c>
      <c r="E85" s="141">
        <f>Calculations!E72*(1+$D$20)</f>
        <v>0</v>
      </c>
      <c r="F85" s="141">
        <f>Calculations!F72*(1+$D$20)</f>
        <v>0</v>
      </c>
      <c r="G85" s="141">
        <f>Calculations!G72*(1+$D$20)</f>
        <v>0</v>
      </c>
      <c r="H85" s="141">
        <f>Calculations!H72*(1+$D$20)</f>
        <v>0</v>
      </c>
      <c r="I85" s="141">
        <f>Calculations!I72*(1+$D$20)</f>
        <v>0</v>
      </c>
      <c r="J85" s="141">
        <f>Calculations!J72*(1+$D$20)</f>
        <v>0</v>
      </c>
      <c r="K85" s="141">
        <f>Calculations!K72*(1+$D$20)</f>
        <v>0</v>
      </c>
      <c r="L85" s="141">
        <f>Calculations!L72*(1+$D$20)</f>
        <v>0</v>
      </c>
      <c r="M85" s="141">
        <f>Calculations!M72*(1+$D$20)</f>
        <v>0</v>
      </c>
      <c r="N85" s="141">
        <f>Calculations!N72*(1+$D$20)</f>
        <v>0</v>
      </c>
      <c r="O85" s="141">
        <f>Calculations!O72*(1+$D$20)</f>
        <v>0</v>
      </c>
      <c r="P85" s="141">
        <f>Calculations!P72*(1+$D$20)</f>
        <v>0</v>
      </c>
      <c r="Q85" s="141">
        <f>Calculations!Q72*(1+$D$20)</f>
        <v>0</v>
      </c>
      <c r="R85" s="141">
        <f>Calculations!R72*(1+$D$20)</f>
        <v>0</v>
      </c>
      <c r="S85" s="141">
        <f>Calculations!S72*(1+$D$20)</f>
        <v>0</v>
      </c>
      <c r="T85" s="141">
        <f>Calculations!T72*(1+$D$20)</f>
        <v>0</v>
      </c>
      <c r="U85" s="141">
        <f>Calculations!U72*(1+$D$20)</f>
        <v>0</v>
      </c>
      <c r="V85" s="141">
        <f>Calculations!V72*(1+$D$20)</f>
        <v>0</v>
      </c>
      <c r="W85" s="141">
        <f>Calculations!W72*(1+$D$20)</f>
        <v>0</v>
      </c>
      <c r="X85" s="141">
        <f>Calculations!X72*(1+$D$20)</f>
        <v>0</v>
      </c>
      <c r="Y85" s="141">
        <f>Calculations!Y72*(1+$D$20)</f>
        <v>0</v>
      </c>
      <c r="Z85" s="287"/>
    </row>
    <row r="86" spans="1:26" ht="13.5" thickBot="1" x14ac:dyDescent="0.25">
      <c r="B86" s="107"/>
      <c r="C86" s="137" t="str">
        <f>'User Input'!D102</f>
        <v>Cost 3</v>
      </c>
      <c r="D86" s="67">
        <f t="shared" si="8"/>
        <v>0</v>
      </c>
      <c r="E86" s="141">
        <f>Calculations!E73*(1+$D$20)</f>
        <v>0</v>
      </c>
      <c r="F86" s="141">
        <f>Calculations!F73*(1+$D$20)</f>
        <v>0</v>
      </c>
      <c r="G86" s="141">
        <f>Calculations!G73*(1+$D$20)</f>
        <v>0</v>
      </c>
      <c r="H86" s="141">
        <f>Calculations!H73*(1+$D$20)</f>
        <v>0</v>
      </c>
      <c r="I86" s="141">
        <f>Calculations!I73*(1+$D$20)</f>
        <v>0</v>
      </c>
      <c r="J86" s="141">
        <f>Calculations!J73*(1+$D$20)</f>
        <v>0</v>
      </c>
      <c r="K86" s="141">
        <f>Calculations!K73*(1+$D$20)</f>
        <v>0</v>
      </c>
      <c r="L86" s="141">
        <f>Calculations!L73*(1+$D$20)</f>
        <v>0</v>
      </c>
      <c r="M86" s="141">
        <f>Calculations!M73*(1+$D$20)</f>
        <v>0</v>
      </c>
      <c r="N86" s="141">
        <f>Calculations!N73*(1+$D$20)</f>
        <v>0</v>
      </c>
      <c r="O86" s="141">
        <f>Calculations!O73*(1+$D$20)</f>
        <v>0</v>
      </c>
      <c r="P86" s="141">
        <f>Calculations!P73*(1+$D$20)</f>
        <v>0</v>
      </c>
      <c r="Q86" s="141">
        <f>Calculations!Q73*(1+$D$20)</f>
        <v>0</v>
      </c>
      <c r="R86" s="141">
        <f>Calculations!R73*(1+$D$20)</f>
        <v>0</v>
      </c>
      <c r="S86" s="141">
        <f>Calculations!S73*(1+$D$20)</f>
        <v>0</v>
      </c>
      <c r="T86" s="141">
        <f>Calculations!T73*(1+$D$20)</f>
        <v>0</v>
      </c>
      <c r="U86" s="141">
        <f>Calculations!U73*(1+$D$20)</f>
        <v>0</v>
      </c>
      <c r="V86" s="141">
        <f>Calculations!V73*(1+$D$20)</f>
        <v>0</v>
      </c>
      <c r="W86" s="141">
        <f>Calculations!W73*(1+$D$20)</f>
        <v>0</v>
      </c>
      <c r="X86" s="141">
        <f>Calculations!X73*(1+$D$20)</f>
        <v>0</v>
      </c>
      <c r="Y86" s="141">
        <f>Calculations!Y73*(1+$D$20)</f>
        <v>0</v>
      </c>
      <c r="Z86" s="287"/>
    </row>
    <row r="87" spans="1:26" ht="13.5" thickBot="1" x14ac:dyDescent="0.25">
      <c r="B87" s="107"/>
      <c r="C87" s="137" t="str">
        <f>'User Input'!D103</f>
        <v>Cost 4</v>
      </c>
      <c r="D87" s="67">
        <f t="shared" si="8"/>
        <v>0</v>
      </c>
      <c r="E87" s="141">
        <f>Calculations!E74*(1+$D$20)</f>
        <v>0</v>
      </c>
      <c r="F87" s="141">
        <f>Calculations!F74*(1+$D$20)</f>
        <v>0</v>
      </c>
      <c r="G87" s="141">
        <f>Calculations!G74*(1+$D$20)</f>
        <v>0</v>
      </c>
      <c r="H87" s="141">
        <f>Calculations!H74*(1+$D$20)</f>
        <v>0</v>
      </c>
      <c r="I87" s="141">
        <f>Calculations!I74*(1+$D$20)</f>
        <v>0</v>
      </c>
      <c r="J87" s="141">
        <f>Calculations!J74*(1+$D$20)</f>
        <v>0</v>
      </c>
      <c r="K87" s="141">
        <f>Calculations!K74*(1+$D$20)</f>
        <v>0</v>
      </c>
      <c r="L87" s="141">
        <f>Calculations!L74*(1+$D$20)</f>
        <v>0</v>
      </c>
      <c r="M87" s="141">
        <f>Calculations!M74*(1+$D$20)</f>
        <v>0</v>
      </c>
      <c r="N87" s="141">
        <f>Calculations!N74*(1+$D$20)</f>
        <v>0</v>
      </c>
      <c r="O87" s="141">
        <f>Calculations!O74*(1+$D$20)</f>
        <v>0</v>
      </c>
      <c r="P87" s="141">
        <f>Calculations!P74*(1+$D$20)</f>
        <v>0</v>
      </c>
      <c r="Q87" s="141">
        <f>Calculations!Q74*(1+$D$20)</f>
        <v>0</v>
      </c>
      <c r="R87" s="141">
        <f>Calculations!R74*(1+$D$20)</f>
        <v>0</v>
      </c>
      <c r="S87" s="141">
        <f>Calculations!S74*(1+$D$20)</f>
        <v>0</v>
      </c>
      <c r="T87" s="141">
        <f>Calculations!T74*(1+$D$20)</f>
        <v>0</v>
      </c>
      <c r="U87" s="141">
        <f>Calculations!U74*(1+$D$20)</f>
        <v>0</v>
      </c>
      <c r="V87" s="141">
        <f>Calculations!V74*(1+$D$20)</f>
        <v>0</v>
      </c>
      <c r="W87" s="141">
        <f>Calculations!W74*(1+$D$20)</f>
        <v>0</v>
      </c>
      <c r="X87" s="141">
        <f>Calculations!X74*(1+$D$20)</f>
        <v>0</v>
      </c>
      <c r="Y87" s="141">
        <f>Calculations!Y74*(1+$D$20)</f>
        <v>0</v>
      </c>
      <c r="Z87" s="287"/>
    </row>
    <row r="88" spans="1:26" ht="13.5" thickBot="1" x14ac:dyDescent="0.25">
      <c r="B88" s="107"/>
      <c r="C88" s="137" t="str">
        <f>'User Input'!D104</f>
        <v>Cost 5</v>
      </c>
      <c r="D88" s="67">
        <f t="shared" si="8"/>
        <v>0</v>
      </c>
      <c r="E88" s="141">
        <f>Calculations!E75*(1+$D$20)</f>
        <v>0</v>
      </c>
      <c r="F88" s="141">
        <f>Calculations!F75*(1+$D$20)</f>
        <v>0</v>
      </c>
      <c r="G88" s="141">
        <f>Calculations!G75*(1+$D$20)</f>
        <v>0</v>
      </c>
      <c r="H88" s="141">
        <f>Calculations!H75*(1+$D$20)</f>
        <v>0</v>
      </c>
      <c r="I88" s="141">
        <f>Calculations!I75*(1+$D$20)</f>
        <v>0</v>
      </c>
      <c r="J88" s="141">
        <f>Calculations!J75*(1+$D$20)</f>
        <v>0</v>
      </c>
      <c r="K88" s="141">
        <f>Calculations!K75*(1+$D$20)</f>
        <v>0</v>
      </c>
      <c r="L88" s="141">
        <f>Calculations!L75*(1+$D$20)</f>
        <v>0</v>
      </c>
      <c r="M88" s="141">
        <f>Calculations!M75*(1+$D$20)</f>
        <v>0</v>
      </c>
      <c r="N88" s="141">
        <f>Calculations!N75*(1+$D$20)</f>
        <v>0</v>
      </c>
      <c r="O88" s="141">
        <f>Calculations!O75*(1+$D$20)</f>
        <v>0</v>
      </c>
      <c r="P88" s="141">
        <f>Calculations!P75*(1+$D$20)</f>
        <v>0</v>
      </c>
      <c r="Q88" s="141">
        <f>Calculations!Q75*(1+$D$20)</f>
        <v>0</v>
      </c>
      <c r="R88" s="141">
        <f>Calculations!R75*(1+$D$20)</f>
        <v>0</v>
      </c>
      <c r="S88" s="141">
        <f>Calculations!S75*(1+$D$20)</f>
        <v>0</v>
      </c>
      <c r="T88" s="141">
        <f>Calculations!T75*(1+$D$20)</f>
        <v>0</v>
      </c>
      <c r="U88" s="141">
        <f>Calculations!U75*(1+$D$20)</f>
        <v>0</v>
      </c>
      <c r="V88" s="141">
        <f>Calculations!V75*(1+$D$20)</f>
        <v>0</v>
      </c>
      <c r="W88" s="141">
        <f>Calculations!W75*(1+$D$20)</f>
        <v>0</v>
      </c>
      <c r="X88" s="141">
        <f>Calculations!X75*(1+$D$20)</f>
        <v>0</v>
      </c>
      <c r="Y88" s="141">
        <f>Calculations!Y75*(1+$D$20)</f>
        <v>0</v>
      </c>
      <c r="Z88" s="287"/>
    </row>
    <row r="89" spans="1:26" ht="13.5" thickBot="1" x14ac:dyDescent="0.25">
      <c r="B89" s="107"/>
      <c r="C89" s="137" t="str">
        <f>'User Input'!D105</f>
        <v>Risk 1</v>
      </c>
      <c r="D89" s="67">
        <f>SUM(E89:Y89)</f>
        <v>0</v>
      </c>
      <c r="E89" s="141">
        <f>Calculations!E76*(1+$D$20)</f>
        <v>0</v>
      </c>
      <c r="F89" s="141">
        <f>Calculations!F76*(1+$D$20)</f>
        <v>0</v>
      </c>
      <c r="G89" s="141">
        <f>Calculations!G76*(1+$D$20)</f>
        <v>0</v>
      </c>
      <c r="H89" s="141">
        <f>Calculations!H76*(1+$D$20)</f>
        <v>0</v>
      </c>
      <c r="I89" s="141">
        <f>Calculations!I76*(1+$D$20)</f>
        <v>0</v>
      </c>
      <c r="J89" s="141">
        <f>Calculations!J76*(1+$D$20)</f>
        <v>0</v>
      </c>
      <c r="K89" s="141">
        <f>Calculations!K76*(1+$D$20)</f>
        <v>0</v>
      </c>
      <c r="L89" s="141">
        <f>Calculations!L76*(1+$D$20)</f>
        <v>0</v>
      </c>
      <c r="M89" s="141">
        <f>Calculations!M76*(1+$D$20)</f>
        <v>0</v>
      </c>
      <c r="N89" s="141">
        <f>Calculations!N76*(1+$D$20)</f>
        <v>0</v>
      </c>
      <c r="O89" s="141">
        <f>Calculations!O76*(1+$D$20)</f>
        <v>0</v>
      </c>
      <c r="P89" s="141">
        <f>Calculations!P76*(1+$D$20)</f>
        <v>0</v>
      </c>
      <c r="Q89" s="141">
        <f>Calculations!Q76*(1+$D$20)</f>
        <v>0</v>
      </c>
      <c r="R89" s="141">
        <f>Calculations!R76*(1+$D$20)</f>
        <v>0</v>
      </c>
      <c r="S89" s="141">
        <f>Calculations!S76*(1+$D$20)</f>
        <v>0</v>
      </c>
      <c r="T89" s="141">
        <f>Calculations!T76*(1+$D$20)</f>
        <v>0</v>
      </c>
      <c r="U89" s="141">
        <f>Calculations!U76*(1+$D$20)</f>
        <v>0</v>
      </c>
      <c r="V89" s="141">
        <f>Calculations!V76*(1+$D$20)</f>
        <v>0</v>
      </c>
      <c r="W89" s="141">
        <f>Calculations!W76*(1+$D$20)</f>
        <v>0</v>
      </c>
      <c r="X89" s="141">
        <f>Calculations!X76*(1+$D$20)</f>
        <v>0</v>
      </c>
      <c r="Y89" s="141">
        <f>Calculations!Y76*(1+$D$20)</f>
        <v>0</v>
      </c>
      <c r="Z89" s="287"/>
    </row>
    <row r="90" spans="1:26" ht="13.5" thickBot="1" x14ac:dyDescent="0.25">
      <c r="B90" s="107"/>
      <c r="C90" s="137" t="str">
        <f>'User Input'!D106</f>
        <v>Risk 2</v>
      </c>
      <c r="D90" s="67">
        <f>SUM(E90:Y90)</f>
        <v>0</v>
      </c>
      <c r="E90" s="141">
        <f>Calculations!E77*(1+$D$20)</f>
        <v>0</v>
      </c>
      <c r="F90" s="141">
        <f>Calculations!F77*(1+$D$20)</f>
        <v>0</v>
      </c>
      <c r="G90" s="141">
        <f>Calculations!G77*(1+$D$20)</f>
        <v>0</v>
      </c>
      <c r="H90" s="141">
        <f>Calculations!H77*(1+$D$20)</f>
        <v>0</v>
      </c>
      <c r="I90" s="141">
        <f>Calculations!I77*(1+$D$20)</f>
        <v>0</v>
      </c>
      <c r="J90" s="141">
        <f>Calculations!J77*(1+$D$20)</f>
        <v>0</v>
      </c>
      <c r="K90" s="141">
        <f>Calculations!K77*(1+$D$20)</f>
        <v>0</v>
      </c>
      <c r="L90" s="141">
        <f>Calculations!L77*(1+$D$20)</f>
        <v>0</v>
      </c>
      <c r="M90" s="141">
        <f>Calculations!M77*(1+$D$20)</f>
        <v>0</v>
      </c>
      <c r="N90" s="141">
        <f>Calculations!N77*(1+$D$20)</f>
        <v>0</v>
      </c>
      <c r="O90" s="141">
        <f>Calculations!O77*(1+$D$20)</f>
        <v>0</v>
      </c>
      <c r="P90" s="141">
        <f>Calculations!P77*(1+$D$20)</f>
        <v>0</v>
      </c>
      <c r="Q90" s="141">
        <f>Calculations!Q77*(1+$D$20)</f>
        <v>0</v>
      </c>
      <c r="R90" s="141">
        <f>Calculations!R77*(1+$D$20)</f>
        <v>0</v>
      </c>
      <c r="S90" s="141">
        <f>Calculations!S77*(1+$D$20)</f>
        <v>0</v>
      </c>
      <c r="T90" s="141">
        <f>Calculations!T77*(1+$D$20)</f>
        <v>0</v>
      </c>
      <c r="U90" s="141">
        <f>Calculations!U77*(1+$D$20)</f>
        <v>0</v>
      </c>
      <c r="V90" s="141">
        <f>Calculations!V77*(1+$D$20)</f>
        <v>0</v>
      </c>
      <c r="W90" s="141">
        <f>Calculations!W77*(1+$D$20)</f>
        <v>0</v>
      </c>
      <c r="X90" s="141">
        <f>Calculations!X77*(1+$D$20)</f>
        <v>0</v>
      </c>
      <c r="Y90" s="141">
        <f>Calculations!Y77*(1+$D$20)</f>
        <v>0</v>
      </c>
      <c r="Z90" s="287"/>
    </row>
    <row r="91" spans="1:26" ht="13.5" thickBot="1" x14ac:dyDescent="0.25">
      <c r="B91" s="107"/>
      <c r="C91" s="137" t="str">
        <f>'User Input'!D107</f>
        <v>Risk 3</v>
      </c>
      <c r="D91" s="67">
        <f>SUM(E91:Y91)</f>
        <v>0</v>
      </c>
      <c r="E91" s="141">
        <f>Calculations!E78*(1+$D$20)</f>
        <v>0</v>
      </c>
      <c r="F91" s="141">
        <f>Calculations!F78*(1+$D$20)</f>
        <v>0</v>
      </c>
      <c r="G91" s="141">
        <f>Calculations!G78*(1+$D$20)</f>
        <v>0</v>
      </c>
      <c r="H91" s="141">
        <f>Calculations!H78*(1+$D$20)</f>
        <v>0</v>
      </c>
      <c r="I91" s="141">
        <f>Calculations!I78*(1+$D$20)</f>
        <v>0</v>
      </c>
      <c r="J91" s="141">
        <f>Calculations!J78*(1+$D$20)</f>
        <v>0</v>
      </c>
      <c r="K91" s="141">
        <f>Calculations!K78*(1+$D$20)</f>
        <v>0</v>
      </c>
      <c r="L91" s="141">
        <f>Calculations!L78*(1+$D$20)</f>
        <v>0</v>
      </c>
      <c r="M91" s="141">
        <f>Calculations!M78*(1+$D$20)</f>
        <v>0</v>
      </c>
      <c r="N91" s="141">
        <f>Calculations!N78*(1+$D$20)</f>
        <v>0</v>
      </c>
      <c r="O91" s="141">
        <f>Calculations!O78*(1+$D$20)</f>
        <v>0</v>
      </c>
      <c r="P91" s="141">
        <f>Calculations!P78*(1+$D$20)</f>
        <v>0</v>
      </c>
      <c r="Q91" s="141">
        <f>Calculations!Q78*(1+$D$20)</f>
        <v>0</v>
      </c>
      <c r="R91" s="141">
        <f>Calculations!R78*(1+$D$20)</f>
        <v>0</v>
      </c>
      <c r="S91" s="141">
        <f>Calculations!S78*(1+$D$20)</f>
        <v>0</v>
      </c>
      <c r="T91" s="141">
        <f>Calculations!T78*(1+$D$20)</f>
        <v>0</v>
      </c>
      <c r="U91" s="141">
        <f>Calculations!U78*(1+$D$20)</f>
        <v>0</v>
      </c>
      <c r="V91" s="141">
        <f>Calculations!V78*(1+$D$20)</f>
        <v>0</v>
      </c>
      <c r="W91" s="141">
        <f>Calculations!W78*(1+$D$20)</f>
        <v>0</v>
      </c>
      <c r="X91" s="141">
        <f>Calculations!X78*(1+$D$20)</f>
        <v>0</v>
      </c>
      <c r="Y91" s="141">
        <f>Calculations!Y78*(1+$D$20)</f>
        <v>0</v>
      </c>
      <c r="Z91" s="287"/>
    </row>
    <row r="92" spans="1:26" ht="13.5" thickBot="1" x14ac:dyDescent="0.25">
      <c r="B92" s="107"/>
      <c r="C92" s="137" t="str">
        <f>'User Input'!D108</f>
        <v>Risk 4</v>
      </c>
      <c r="D92" s="67">
        <f>SUM(E92:Y92)</f>
        <v>0</v>
      </c>
      <c r="E92" s="141">
        <f>Calculations!E79*(1+$D$20)</f>
        <v>0</v>
      </c>
      <c r="F92" s="141">
        <f>Calculations!F79*(1+$D$20)</f>
        <v>0</v>
      </c>
      <c r="G92" s="141">
        <f>Calculations!G79*(1+$D$20)</f>
        <v>0</v>
      </c>
      <c r="H92" s="141">
        <f>Calculations!H79*(1+$D$20)</f>
        <v>0</v>
      </c>
      <c r="I92" s="141">
        <f>Calculations!I79*(1+$D$20)</f>
        <v>0</v>
      </c>
      <c r="J92" s="141">
        <f>Calculations!J79*(1+$D$20)</f>
        <v>0</v>
      </c>
      <c r="K92" s="141">
        <f>Calculations!K79*(1+$D$20)</f>
        <v>0</v>
      </c>
      <c r="L92" s="141">
        <f>Calculations!L79*(1+$D$20)</f>
        <v>0</v>
      </c>
      <c r="M92" s="141">
        <f>Calculations!M79*(1+$D$20)</f>
        <v>0</v>
      </c>
      <c r="N92" s="141">
        <f>Calculations!N79*(1+$D$20)</f>
        <v>0</v>
      </c>
      <c r="O92" s="141">
        <f>Calculations!O79*(1+$D$20)</f>
        <v>0</v>
      </c>
      <c r="P92" s="141">
        <f>Calculations!P79*(1+$D$20)</f>
        <v>0</v>
      </c>
      <c r="Q92" s="141">
        <f>Calculations!Q79*(1+$D$20)</f>
        <v>0</v>
      </c>
      <c r="R92" s="141">
        <f>Calculations!R79*(1+$D$20)</f>
        <v>0</v>
      </c>
      <c r="S92" s="141">
        <f>Calculations!S79*(1+$D$20)</f>
        <v>0</v>
      </c>
      <c r="T92" s="141">
        <f>Calculations!T79*(1+$D$20)</f>
        <v>0</v>
      </c>
      <c r="U92" s="141">
        <f>Calculations!U79*(1+$D$20)</f>
        <v>0</v>
      </c>
      <c r="V92" s="141">
        <f>Calculations!V79*(1+$D$20)</f>
        <v>0</v>
      </c>
      <c r="W92" s="141">
        <f>Calculations!W79*(1+$D$20)</f>
        <v>0</v>
      </c>
      <c r="X92" s="141">
        <f>Calculations!X79*(1+$D$20)</f>
        <v>0</v>
      </c>
      <c r="Y92" s="141">
        <f>Calculations!Y79*(1+$D$20)</f>
        <v>0</v>
      </c>
      <c r="Z92" s="287"/>
    </row>
    <row r="93" spans="1:26" ht="13.5" thickBot="1" x14ac:dyDescent="0.25">
      <c r="B93" s="107"/>
      <c r="C93" s="137" t="str">
        <f>'User Input'!D109</f>
        <v>Risk 5</v>
      </c>
      <c r="D93" s="67">
        <f>SUM(E93:Y93)</f>
        <v>0</v>
      </c>
      <c r="E93" s="141">
        <f>Calculations!E80*(1+$D$20)</f>
        <v>0</v>
      </c>
      <c r="F93" s="141">
        <f>Calculations!F80*(1+$D$20)</f>
        <v>0</v>
      </c>
      <c r="G93" s="141">
        <f>Calculations!G80*(1+$D$20)</f>
        <v>0</v>
      </c>
      <c r="H93" s="141">
        <f>Calculations!H80*(1+$D$20)</f>
        <v>0</v>
      </c>
      <c r="I93" s="141">
        <f>Calculations!I80*(1+$D$20)</f>
        <v>0</v>
      </c>
      <c r="J93" s="141">
        <f>Calculations!J80*(1+$D$20)</f>
        <v>0</v>
      </c>
      <c r="K93" s="141">
        <f>Calculations!K80*(1+$D$20)</f>
        <v>0</v>
      </c>
      <c r="L93" s="141">
        <f>Calculations!L80*(1+$D$20)</f>
        <v>0</v>
      </c>
      <c r="M93" s="141">
        <f>Calculations!M80*(1+$D$20)</f>
        <v>0</v>
      </c>
      <c r="N93" s="141">
        <f>Calculations!N80*(1+$D$20)</f>
        <v>0</v>
      </c>
      <c r="O93" s="141">
        <f>Calculations!O80*(1+$D$20)</f>
        <v>0</v>
      </c>
      <c r="P93" s="141">
        <f>Calculations!P80*(1+$D$20)</f>
        <v>0</v>
      </c>
      <c r="Q93" s="141">
        <f>Calculations!Q80*(1+$D$20)</f>
        <v>0</v>
      </c>
      <c r="R93" s="141">
        <f>Calculations!R80*(1+$D$20)</f>
        <v>0</v>
      </c>
      <c r="S93" s="141">
        <f>Calculations!S80*(1+$D$20)</f>
        <v>0</v>
      </c>
      <c r="T93" s="141">
        <f>Calculations!T80*(1+$D$20)</f>
        <v>0</v>
      </c>
      <c r="U93" s="141">
        <f>Calculations!U80*(1+$D$20)</f>
        <v>0</v>
      </c>
      <c r="V93" s="141">
        <f>Calculations!V80*(1+$D$20)</f>
        <v>0</v>
      </c>
      <c r="W93" s="141">
        <f>Calculations!W80*(1+$D$20)</f>
        <v>0</v>
      </c>
      <c r="X93" s="141">
        <f>Calculations!X80*(1+$D$20)</f>
        <v>0</v>
      </c>
      <c r="Y93" s="141">
        <f>Calculations!Y80*(1+$D$20)</f>
        <v>0</v>
      </c>
      <c r="Z93" s="287"/>
    </row>
    <row r="94" spans="1:26" ht="13.5" thickBot="1" x14ac:dyDescent="0.25">
      <c r="B94" s="107"/>
      <c r="C94" s="53" t="s">
        <v>2</v>
      </c>
      <c r="D94" s="67">
        <f t="shared" si="8"/>
        <v>10488.925176377625</v>
      </c>
      <c r="E94" s="68">
        <f>SUM(E75:E93)</f>
        <v>5831.3925387873905</v>
      </c>
      <c r="F94" s="69">
        <f t="shared" ref="F94:Y94" si="9">SUM(F75:F93)</f>
        <v>4657.5326375902341</v>
      </c>
      <c r="G94" s="69">
        <f t="shared" si="9"/>
        <v>0</v>
      </c>
      <c r="H94" s="69">
        <f t="shared" si="9"/>
        <v>0</v>
      </c>
      <c r="I94" s="69">
        <f t="shared" si="9"/>
        <v>0</v>
      </c>
      <c r="J94" s="69">
        <f t="shared" si="9"/>
        <v>0</v>
      </c>
      <c r="K94" s="69">
        <f t="shared" si="9"/>
        <v>0</v>
      </c>
      <c r="L94" s="69">
        <f t="shared" si="9"/>
        <v>0</v>
      </c>
      <c r="M94" s="69">
        <f t="shared" si="9"/>
        <v>0</v>
      </c>
      <c r="N94" s="69">
        <f t="shared" si="9"/>
        <v>0</v>
      </c>
      <c r="O94" s="69">
        <f t="shared" si="9"/>
        <v>0</v>
      </c>
      <c r="P94" s="69">
        <f t="shared" si="9"/>
        <v>0</v>
      </c>
      <c r="Q94" s="69">
        <f t="shared" si="9"/>
        <v>0</v>
      </c>
      <c r="R94" s="69">
        <f t="shared" si="9"/>
        <v>0</v>
      </c>
      <c r="S94" s="69">
        <f t="shared" si="9"/>
        <v>0</v>
      </c>
      <c r="T94" s="69">
        <f t="shared" si="9"/>
        <v>0</v>
      </c>
      <c r="U94" s="69">
        <f t="shared" si="9"/>
        <v>0</v>
      </c>
      <c r="V94" s="69">
        <f t="shared" si="9"/>
        <v>0</v>
      </c>
      <c r="W94" s="69">
        <f t="shared" si="9"/>
        <v>0</v>
      </c>
      <c r="X94" s="69">
        <f t="shared" si="9"/>
        <v>0</v>
      </c>
      <c r="Y94" s="150">
        <f t="shared" si="9"/>
        <v>0</v>
      </c>
      <c r="Z94" s="287"/>
    </row>
    <row r="95" spans="1:26" ht="13.5" thickBot="1" x14ac:dyDescent="0.25">
      <c r="B95" s="107"/>
      <c r="C95" s="54" t="s">
        <v>50</v>
      </c>
      <c r="D95" s="67">
        <f t="shared" si="8"/>
        <v>7557.7513596598965</v>
      </c>
      <c r="E95" s="77">
        <f t="shared" ref="E95:Y95" si="10">E94/E$13</f>
        <v>4339.0377108081384</v>
      </c>
      <c r="F95" s="77">
        <f t="shared" si="10"/>
        <v>3218.7136488517581</v>
      </c>
      <c r="G95" s="77">
        <f t="shared" si="10"/>
        <v>0</v>
      </c>
      <c r="H95" s="77">
        <f t="shared" si="10"/>
        <v>0</v>
      </c>
      <c r="I95" s="77">
        <f t="shared" si="10"/>
        <v>0</v>
      </c>
      <c r="J95" s="77">
        <f t="shared" si="10"/>
        <v>0</v>
      </c>
      <c r="K95" s="77">
        <f t="shared" si="10"/>
        <v>0</v>
      </c>
      <c r="L95" s="77">
        <f t="shared" si="10"/>
        <v>0</v>
      </c>
      <c r="M95" s="77">
        <f t="shared" si="10"/>
        <v>0</v>
      </c>
      <c r="N95" s="77">
        <f t="shared" si="10"/>
        <v>0</v>
      </c>
      <c r="O95" s="77">
        <f t="shared" si="10"/>
        <v>0</v>
      </c>
      <c r="P95" s="77">
        <f t="shared" si="10"/>
        <v>0</v>
      </c>
      <c r="Q95" s="77">
        <f t="shared" si="10"/>
        <v>0</v>
      </c>
      <c r="R95" s="77">
        <f t="shared" si="10"/>
        <v>0</v>
      </c>
      <c r="S95" s="77">
        <f t="shared" si="10"/>
        <v>0</v>
      </c>
      <c r="T95" s="77">
        <f t="shared" si="10"/>
        <v>0</v>
      </c>
      <c r="U95" s="77">
        <f t="shared" si="10"/>
        <v>0</v>
      </c>
      <c r="V95" s="77">
        <f t="shared" si="10"/>
        <v>0</v>
      </c>
      <c r="W95" s="77">
        <f t="shared" si="10"/>
        <v>0</v>
      </c>
      <c r="X95" s="77">
        <f t="shared" si="10"/>
        <v>0</v>
      </c>
      <c r="Y95" s="77">
        <f t="shared" si="10"/>
        <v>0</v>
      </c>
      <c r="Z95" s="287"/>
    </row>
    <row r="96" spans="1:26" x14ac:dyDescent="0.2">
      <c r="B96" s="21"/>
      <c r="C96" s="96"/>
      <c r="D96" s="96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3"/>
      <c r="Z96" s="296"/>
    </row>
    <row r="97" spans="1:26" x14ac:dyDescent="0.2">
      <c r="B97" s="371" t="str">
        <f>'User Input'!D111</f>
        <v xml:space="preserve">Option 3: </v>
      </c>
      <c r="C97" s="367"/>
      <c r="D97" s="372"/>
      <c r="E97" s="369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0"/>
    </row>
    <row r="98" spans="1:26" ht="13.5" thickBot="1" x14ac:dyDescent="0.25">
      <c r="B98" s="20"/>
      <c r="C98" s="5"/>
      <c r="D98" s="5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185"/>
      <c r="Z98" s="287"/>
    </row>
    <row r="99" spans="1:26" ht="13.5" thickBot="1" x14ac:dyDescent="0.25">
      <c r="B99" s="52"/>
      <c r="C99" s="29" t="s">
        <v>76</v>
      </c>
      <c r="D99" s="67">
        <f>SUM(E99:Y99)</f>
        <v>0</v>
      </c>
      <c r="E99" s="141">
        <f>Calculations!E86*(1+$D$19)</f>
        <v>0</v>
      </c>
      <c r="F99" s="141">
        <f>Calculations!F86*(1+$D$19)</f>
        <v>0</v>
      </c>
      <c r="G99" s="141">
        <f>Calculations!G86*(1+$D$19)</f>
        <v>0</v>
      </c>
      <c r="H99" s="141">
        <f>Calculations!H86*(1+$D$19)</f>
        <v>0</v>
      </c>
      <c r="I99" s="141">
        <f>Calculations!I86*(1+$D$19)</f>
        <v>0</v>
      </c>
      <c r="J99" s="141">
        <f>Calculations!J86*(1+$D$19)</f>
        <v>0</v>
      </c>
      <c r="K99" s="141">
        <f>Calculations!K86*(1+$D$19)</f>
        <v>0</v>
      </c>
      <c r="L99" s="141">
        <f>Calculations!L86*(1+$D$19)</f>
        <v>0</v>
      </c>
      <c r="M99" s="141">
        <f>Calculations!M86*(1+$D$19)</f>
        <v>0</v>
      </c>
      <c r="N99" s="141">
        <f>Calculations!N86*(1+$D$19)</f>
        <v>0</v>
      </c>
      <c r="O99" s="141">
        <f>Calculations!O86*(1+$D$19)</f>
        <v>0</v>
      </c>
      <c r="P99" s="141">
        <f>Calculations!P86*(1+$D$19)</f>
        <v>0</v>
      </c>
      <c r="Q99" s="141">
        <f>Calculations!Q86*(1+$D$19)</f>
        <v>0</v>
      </c>
      <c r="R99" s="141">
        <f>Calculations!R86*(1+$D$19)</f>
        <v>0</v>
      </c>
      <c r="S99" s="141">
        <f>Calculations!S86*(1+$D$19)</f>
        <v>0</v>
      </c>
      <c r="T99" s="141">
        <f>Calculations!T86*(1+$D$19)</f>
        <v>0</v>
      </c>
      <c r="U99" s="141">
        <f>Calculations!U86*(1+$D$19)</f>
        <v>0</v>
      </c>
      <c r="V99" s="141">
        <f>Calculations!V86*(1+$D$19)</f>
        <v>0</v>
      </c>
      <c r="W99" s="141">
        <f>Calculations!W86*(1+$D$19)</f>
        <v>0</v>
      </c>
      <c r="X99" s="141">
        <f>Calculations!X86*(1+$D$19)</f>
        <v>0</v>
      </c>
      <c r="Y99" s="141">
        <f>Calculations!Y86*(1+$D$19)</f>
        <v>0</v>
      </c>
      <c r="Z99" s="287"/>
    </row>
    <row r="100" spans="1:26" ht="13.5" thickBot="1" x14ac:dyDescent="0.25">
      <c r="B100" s="107"/>
      <c r="C100" s="137" t="str">
        <f>'User Input'!D114</f>
        <v>Maintenance Costs</v>
      </c>
      <c r="D100" s="67">
        <f>SUM(E100:Y100)</f>
        <v>0</v>
      </c>
      <c r="E100" s="141">
        <f>Calculations!E87*(1+$D$20)</f>
        <v>0</v>
      </c>
      <c r="F100" s="141">
        <f>Calculations!F87*(1+$D$20)</f>
        <v>0</v>
      </c>
      <c r="G100" s="141">
        <f>Calculations!G87*(1+$D$20)</f>
        <v>0</v>
      </c>
      <c r="H100" s="141">
        <f>Calculations!H87*(1+$D$20)</f>
        <v>0</v>
      </c>
      <c r="I100" s="141">
        <f>Calculations!I87*(1+$D$20)</f>
        <v>0</v>
      </c>
      <c r="J100" s="141">
        <f>Calculations!J87*(1+$D$20)</f>
        <v>0</v>
      </c>
      <c r="K100" s="141">
        <f>Calculations!K87*(1+$D$20)</f>
        <v>0</v>
      </c>
      <c r="L100" s="141">
        <f>Calculations!L87*(1+$D$20)</f>
        <v>0</v>
      </c>
      <c r="M100" s="141">
        <f>Calculations!M87*(1+$D$20)</f>
        <v>0</v>
      </c>
      <c r="N100" s="141">
        <f>Calculations!N87*(1+$D$20)</f>
        <v>0</v>
      </c>
      <c r="O100" s="141">
        <f>Calculations!O87*(1+$D$20)</f>
        <v>0</v>
      </c>
      <c r="P100" s="141">
        <f>Calculations!P87*(1+$D$20)</f>
        <v>0</v>
      </c>
      <c r="Q100" s="141">
        <f>Calculations!Q87*(1+$D$20)</f>
        <v>0</v>
      </c>
      <c r="R100" s="141">
        <f>Calculations!R87*(1+$D$20)</f>
        <v>0</v>
      </c>
      <c r="S100" s="141">
        <f>Calculations!S87*(1+$D$20)</f>
        <v>0</v>
      </c>
      <c r="T100" s="141">
        <f>Calculations!T87*(1+$D$20)</f>
        <v>0</v>
      </c>
      <c r="U100" s="141">
        <f>Calculations!U87*(1+$D$20)</f>
        <v>0</v>
      </c>
      <c r="V100" s="141">
        <f>Calculations!V87*(1+$D$20)</f>
        <v>0</v>
      </c>
      <c r="W100" s="141">
        <f>Calculations!W87*(1+$D$20)</f>
        <v>0</v>
      </c>
      <c r="X100" s="141">
        <f>Calculations!X87*(1+$D$20)</f>
        <v>0</v>
      </c>
      <c r="Y100" s="141">
        <f>Calculations!Y87*(1+$D$20)</f>
        <v>0</v>
      </c>
      <c r="Z100" s="287"/>
    </row>
    <row r="101" spans="1:26" ht="13.5" thickBot="1" x14ac:dyDescent="0.25">
      <c r="B101" s="107"/>
      <c r="C101" s="137" t="str">
        <f>'User Input'!D116</f>
        <v>Negative Impact on Revenue (STPIS)</v>
      </c>
      <c r="D101" s="195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46"/>
      <c r="Z101" s="287"/>
    </row>
    <row r="102" spans="1:26" ht="13.5" thickBot="1" x14ac:dyDescent="0.25">
      <c r="B102" s="107"/>
      <c r="C102" s="136" t="str">
        <f>'User Input'!D117</f>
        <v>SAIFI sustained</v>
      </c>
      <c r="D102" s="67">
        <f t="shared" ref="D102:D119" si="11">SUM(E102:Y102)</f>
        <v>0</v>
      </c>
      <c r="E102" s="259">
        <v>0</v>
      </c>
      <c r="F102" s="259">
        <v>0</v>
      </c>
      <c r="G102" s="64">
        <f>Calculations!G89*(1+$D$22)</f>
        <v>0</v>
      </c>
      <c r="H102" s="64">
        <f>Calculations!H89*(1+$D$22)</f>
        <v>0</v>
      </c>
      <c r="I102" s="64">
        <f>Calculations!I89*(1+$D$22)</f>
        <v>0</v>
      </c>
      <c r="J102" s="64">
        <f>Calculations!J89*(1+$D$22)</f>
        <v>0</v>
      </c>
      <c r="K102" s="64">
        <f>Calculations!K89*(1+$D$22)</f>
        <v>0</v>
      </c>
      <c r="L102" s="64">
        <f>Calculations!L89*(1+$D$22)</f>
        <v>0</v>
      </c>
      <c r="M102" s="64">
        <f>Calculations!M89*(1+$D$22)</f>
        <v>0</v>
      </c>
      <c r="N102" s="64">
        <f>Calculations!N89*(1+$D$22)</f>
        <v>0</v>
      </c>
      <c r="O102" s="64">
        <f>Calculations!O89*(1+$D$22)</f>
        <v>0</v>
      </c>
      <c r="P102" s="64">
        <f>Calculations!P89*(1+$D$22)</f>
        <v>0</v>
      </c>
      <c r="Q102" s="64">
        <f>Calculations!Q89*(1+$D$22)</f>
        <v>0</v>
      </c>
      <c r="R102" s="64">
        <f>Calculations!R89*(1+$D$22)</f>
        <v>0</v>
      </c>
      <c r="S102" s="64">
        <f>Calculations!S89*(1+$D$22)</f>
        <v>0</v>
      </c>
      <c r="T102" s="64">
        <f>Calculations!T89*(1+$D$22)</f>
        <v>0</v>
      </c>
      <c r="U102" s="64">
        <f>Calculations!U89*(1+$D$22)</f>
        <v>0</v>
      </c>
      <c r="V102" s="64">
        <f>Calculations!V89*(1+$D$22)</f>
        <v>0</v>
      </c>
      <c r="W102" s="64">
        <f>Calculations!W89*(1+$D$22)</f>
        <v>0</v>
      </c>
      <c r="X102" s="64">
        <f>Calculations!X89*(1+$D$22)</f>
        <v>0</v>
      </c>
      <c r="Y102" s="64">
        <f>Calculations!Y89*(1+$D$22)</f>
        <v>0</v>
      </c>
      <c r="Z102" s="287"/>
    </row>
    <row r="103" spans="1:26" ht="13.5" thickBot="1" x14ac:dyDescent="0.25">
      <c r="B103" s="107"/>
      <c r="C103" s="136" t="str">
        <f>'User Input'!D118</f>
        <v>SAIDI accidental</v>
      </c>
      <c r="D103" s="67">
        <f t="shared" si="11"/>
        <v>0</v>
      </c>
      <c r="E103" s="259">
        <v>0</v>
      </c>
      <c r="F103" s="259">
        <v>0</v>
      </c>
      <c r="G103" s="64">
        <f>Calculations!G90*(1+$D$21)</f>
        <v>0</v>
      </c>
      <c r="H103" s="64">
        <f>Calculations!H90*(1+$D$21)</f>
        <v>0</v>
      </c>
      <c r="I103" s="64">
        <f>Calculations!I90*(1+$D$21)</f>
        <v>0</v>
      </c>
      <c r="J103" s="64">
        <f>Calculations!J90*(1+$D$21)</f>
        <v>0</v>
      </c>
      <c r="K103" s="64">
        <f>Calculations!K90*(1+$D$21)</f>
        <v>0</v>
      </c>
      <c r="L103" s="64">
        <f>Calculations!L90*(1+$D$21)</f>
        <v>0</v>
      </c>
      <c r="M103" s="64">
        <f>Calculations!M90*(1+$D$21)</f>
        <v>0</v>
      </c>
      <c r="N103" s="64">
        <f>Calculations!N90*(1+$D$21)</f>
        <v>0</v>
      </c>
      <c r="O103" s="64">
        <f>Calculations!O90*(1+$D$21)</f>
        <v>0</v>
      </c>
      <c r="P103" s="64">
        <f>Calculations!P90*(1+$D$21)</f>
        <v>0</v>
      </c>
      <c r="Q103" s="64">
        <f>Calculations!Q90*(1+$D$21)</f>
        <v>0</v>
      </c>
      <c r="R103" s="64">
        <f>Calculations!R90*(1+$D$21)</f>
        <v>0</v>
      </c>
      <c r="S103" s="64">
        <f>Calculations!S90*(1+$D$21)</f>
        <v>0</v>
      </c>
      <c r="T103" s="64">
        <f>Calculations!T90*(1+$D$21)</f>
        <v>0</v>
      </c>
      <c r="U103" s="64">
        <f>Calculations!U90*(1+$D$21)</f>
        <v>0</v>
      </c>
      <c r="V103" s="64">
        <f>Calculations!V90*(1+$D$21)</f>
        <v>0</v>
      </c>
      <c r="W103" s="64">
        <f>Calculations!W90*(1+$D$21)</f>
        <v>0</v>
      </c>
      <c r="X103" s="64">
        <f>Calculations!X90*(1+$D$21)</f>
        <v>0</v>
      </c>
      <c r="Y103" s="64">
        <f>Calculations!Y90*(1+$D$21)</f>
        <v>0</v>
      </c>
      <c r="Z103" s="287"/>
    </row>
    <row r="104" spans="1:26" ht="13.5" thickBot="1" x14ac:dyDescent="0.25">
      <c r="B104" s="107"/>
      <c r="C104" s="136" t="str">
        <f>'User Input'!D119</f>
        <v>MAIFI momentary</v>
      </c>
      <c r="D104" s="67">
        <f t="shared" si="11"/>
        <v>0</v>
      </c>
      <c r="E104" s="259">
        <v>0</v>
      </c>
      <c r="F104" s="259">
        <v>0</v>
      </c>
      <c r="G104" s="141">
        <f>Calculations!G91*(1+$D$23)</f>
        <v>0</v>
      </c>
      <c r="H104" s="141">
        <f>Calculations!H91*(1+$D$23)</f>
        <v>0</v>
      </c>
      <c r="I104" s="141">
        <f>Calculations!I91*(1+$D$23)</f>
        <v>0</v>
      </c>
      <c r="J104" s="141">
        <f>Calculations!J91*(1+$D$23)</f>
        <v>0</v>
      </c>
      <c r="K104" s="141">
        <f>Calculations!K91*(1+$D$23)</f>
        <v>0</v>
      </c>
      <c r="L104" s="141">
        <f>Calculations!L91*(1+$D$23)</f>
        <v>0</v>
      </c>
      <c r="M104" s="141">
        <f>Calculations!M91*(1+$D$23)</f>
        <v>0</v>
      </c>
      <c r="N104" s="141">
        <f>Calculations!N91*(1+$D$23)</f>
        <v>0</v>
      </c>
      <c r="O104" s="141">
        <f>Calculations!O91*(1+$D$23)</f>
        <v>0</v>
      </c>
      <c r="P104" s="141">
        <f>Calculations!P91*(1+$D$23)</f>
        <v>0</v>
      </c>
      <c r="Q104" s="141">
        <f>Calculations!Q91*(1+$D$23)</f>
        <v>0</v>
      </c>
      <c r="R104" s="141">
        <f>Calculations!R91*(1+$D$23)</f>
        <v>0</v>
      </c>
      <c r="S104" s="141">
        <f>Calculations!S91*(1+$D$23)</f>
        <v>0</v>
      </c>
      <c r="T104" s="141">
        <f>Calculations!T91*(1+$D$23)</f>
        <v>0</v>
      </c>
      <c r="U104" s="141">
        <f>Calculations!U91*(1+$D$23)</f>
        <v>0</v>
      </c>
      <c r="V104" s="141">
        <f>Calculations!V91*(1+$D$23)</f>
        <v>0</v>
      </c>
      <c r="W104" s="141">
        <f>Calculations!W91*(1+$D$23)</f>
        <v>0</v>
      </c>
      <c r="X104" s="141">
        <f>Calculations!X91*(1+$D$23)</f>
        <v>0</v>
      </c>
      <c r="Y104" s="141">
        <f>Calculations!Y91*(1+$D$23)</f>
        <v>0</v>
      </c>
      <c r="Z104" s="287"/>
    </row>
    <row r="105" spans="1:26" ht="13.5" thickBot="1" x14ac:dyDescent="0.25">
      <c r="B105" s="107"/>
      <c r="C105" s="136" t="str">
        <f>'User Input'!D120</f>
        <v>Call centre response</v>
      </c>
      <c r="D105" s="67">
        <f t="shared" si="11"/>
        <v>0</v>
      </c>
      <c r="E105" s="259">
        <v>0</v>
      </c>
      <c r="F105" s="259">
        <v>0</v>
      </c>
      <c r="G105" s="141">
        <f>Calculations!G92*(1+$D$20)</f>
        <v>0</v>
      </c>
      <c r="H105" s="141">
        <f>Calculations!H92*(1+$D$20)</f>
        <v>0</v>
      </c>
      <c r="I105" s="141">
        <f>Calculations!I92*(1+$D$20)</f>
        <v>0</v>
      </c>
      <c r="J105" s="141">
        <f>Calculations!J92*(1+$D$20)</f>
        <v>0</v>
      </c>
      <c r="K105" s="141">
        <f>Calculations!K92*(1+$D$20)</f>
        <v>0</v>
      </c>
      <c r="L105" s="141">
        <f>Calculations!L92*(1+$D$20)</f>
        <v>0</v>
      </c>
      <c r="M105" s="141">
        <f>Calculations!M92*(1+$D$20)</f>
        <v>0</v>
      </c>
      <c r="N105" s="141">
        <f>Calculations!N92*(1+$D$20)</f>
        <v>0</v>
      </c>
      <c r="O105" s="141">
        <f>Calculations!O92*(1+$D$20)</f>
        <v>0</v>
      </c>
      <c r="P105" s="141">
        <f>Calculations!P92*(1+$D$20)</f>
        <v>0</v>
      </c>
      <c r="Q105" s="141">
        <f>Calculations!Q92*(1+$D$20)</f>
        <v>0</v>
      </c>
      <c r="R105" s="141">
        <f>Calculations!R92*(1+$D$20)</f>
        <v>0</v>
      </c>
      <c r="S105" s="141">
        <f>Calculations!S92*(1+$D$20)</f>
        <v>0</v>
      </c>
      <c r="T105" s="141">
        <f>Calculations!T92*(1+$D$20)</f>
        <v>0</v>
      </c>
      <c r="U105" s="141">
        <f>Calculations!U92*(1+$D$20)</f>
        <v>0</v>
      </c>
      <c r="V105" s="141">
        <f>Calculations!V92*(1+$D$20)</f>
        <v>0</v>
      </c>
      <c r="W105" s="141">
        <f>Calculations!W92*(1+$D$20)</f>
        <v>0</v>
      </c>
      <c r="X105" s="141">
        <f>Calculations!X92*(1+$D$20)</f>
        <v>0</v>
      </c>
      <c r="Y105" s="141">
        <f>Calculations!Y92*(1+$D$20)</f>
        <v>0</v>
      </c>
      <c r="Z105" s="287"/>
    </row>
    <row r="106" spans="1:26" ht="13.5" thickBot="1" x14ac:dyDescent="0.25">
      <c r="A106" s="143"/>
      <c r="B106" s="144"/>
      <c r="C106" s="137" t="str">
        <f>'User Input'!D122</f>
        <v>Network Outage Costs</v>
      </c>
      <c r="D106" s="67">
        <f t="shared" si="11"/>
        <v>0</v>
      </c>
      <c r="E106" s="141">
        <f>Calculations!E93*(1+$D$20)</f>
        <v>0</v>
      </c>
      <c r="F106" s="141">
        <f>Calculations!F93*(1+$D$20)</f>
        <v>0</v>
      </c>
      <c r="G106" s="141">
        <f>Calculations!G93*(1+$D$20)</f>
        <v>0</v>
      </c>
      <c r="H106" s="141">
        <f>Calculations!H93*(1+$D$20)</f>
        <v>0</v>
      </c>
      <c r="I106" s="141">
        <f>Calculations!I93*(1+$D$20)</f>
        <v>0</v>
      </c>
      <c r="J106" s="141">
        <f>Calculations!J93*(1+$D$20)</f>
        <v>0</v>
      </c>
      <c r="K106" s="141">
        <f>Calculations!K93*(1+$D$20)</f>
        <v>0</v>
      </c>
      <c r="L106" s="141">
        <f>Calculations!L93*(1+$D$20)</f>
        <v>0</v>
      </c>
      <c r="M106" s="141">
        <f>Calculations!M93*(1+$D$20)</f>
        <v>0</v>
      </c>
      <c r="N106" s="141">
        <f>Calculations!N93*(1+$D$20)</f>
        <v>0</v>
      </c>
      <c r="O106" s="141">
        <f>Calculations!O93*(1+$D$20)</f>
        <v>0</v>
      </c>
      <c r="P106" s="141">
        <f>Calculations!P93*(1+$D$20)</f>
        <v>0</v>
      </c>
      <c r="Q106" s="141">
        <f>Calculations!Q93*(1+$D$20)</f>
        <v>0</v>
      </c>
      <c r="R106" s="141">
        <f>Calculations!R93*(1+$D$20)</f>
        <v>0</v>
      </c>
      <c r="S106" s="141">
        <f>Calculations!S93*(1+$D$20)</f>
        <v>0</v>
      </c>
      <c r="T106" s="141">
        <f>Calculations!T93*(1+$D$20)</f>
        <v>0</v>
      </c>
      <c r="U106" s="141">
        <f>Calculations!U93*(1+$D$20)</f>
        <v>0</v>
      </c>
      <c r="V106" s="141">
        <f>Calculations!V93*(1+$D$20)</f>
        <v>0</v>
      </c>
      <c r="W106" s="141">
        <f>Calculations!W93*(1+$D$20)</f>
        <v>0</v>
      </c>
      <c r="X106" s="141">
        <f>Calculations!X93*(1+$D$20)</f>
        <v>0</v>
      </c>
      <c r="Y106" s="141">
        <f>Calculations!Y93*(1+$D$20)</f>
        <v>0</v>
      </c>
      <c r="Z106" s="287"/>
    </row>
    <row r="107" spans="1:26" ht="13.5" thickBot="1" x14ac:dyDescent="0.25">
      <c r="A107" s="143"/>
      <c r="B107" s="144"/>
      <c r="C107" s="137" t="str">
        <f>'User Input'!D126</f>
        <v>Loss of F Factor Benefit</v>
      </c>
      <c r="D107" s="67">
        <f t="shared" si="11"/>
        <v>0</v>
      </c>
      <c r="E107" s="141">
        <f>Calculations!E94*(1+$D$20)</f>
        <v>0</v>
      </c>
      <c r="F107" s="141">
        <f>Calculations!F94*(1+$D$20)</f>
        <v>0</v>
      </c>
      <c r="G107" s="141">
        <f>Calculations!G94*(1+$D$20)</f>
        <v>0</v>
      </c>
      <c r="H107" s="141">
        <f>Calculations!H94*(1+$D$20)</f>
        <v>0</v>
      </c>
      <c r="I107" s="141">
        <f>Calculations!I94*(1+$D$20)</f>
        <v>0</v>
      </c>
      <c r="J107" s="141">
        <f>Calculations!J94*(1+$D$20)</f>
        <v>0</v>
      </c>
      <c r="K107" s="141">
        <f>Calculations!K94*(1+$D$20)</f>
        <v>0</v>
      </c>
      <c r="L107" s="141">
        <f>Calculations!L94*(1+$D$20)</f>
        <v>0</v>
      </c>
      <c r="M107" s="141">
        <f>Calculations!M94*(1+$D$20)</f>
        <v>0</v>
      </c>
      <c r="N107" s="141">
        <f>Calculations!N94*(1+$D$20)</f>
        <v>0</v>
      </c>
      <c r="O107" s="141">
        <f>Calculations!O94*(1+$D$20)</f>
        <v>0</v>
      </c>
      <c r="P107" s="141">
        <f>Calculations!P94*(1+$D$20)</f>
        <v>0</v>
      </c>
      <c r="Q107" s="141">
        <f>Calculations!Q94*(1+$D$20)</f>
        <v>0</v>
      </c>
      <c r="R107" s="141">
        <f>Calculations!R94*(1+$D$20)</f>
        <v>0</v>
      </c>
      <c r="S107" s="141">
        <f>Calculations!S94*(1+$D$20)</f>
        <v>0</v>
      </c>
      <c r="T107" s="141">
        <f>Calculations!T94*(1+$D$20)</f>
        <v>0</v>
      </c>
      <c r="U107" s="141">
        <f>Calculations!U94*(1+$D$20)</f>
        <v>0</v>
      </c>
      <c r="V107" s="141">
        <f>Calculations!V94*(1+$D$20)</f>
        <v>0</v>
      </c>
      <c r="W107" s="141">
        <f>Calculations!W94*(1+$D$20)</f>
        <v>0</v>
      </c>
      <c r="X107" s="141">
        <f>Calculations!X94*(1+$D$20)</f>
        <v>0</v>
      </c>
      <c r="Y107" s="141">
        <f>Calculations!Y94*(1+$D$20)</f>
        <v>0</v>
      </c>
      <c r="Z107" s="287"/>
    </row>
    <row r="108" spans="1:26" ht="13.5" thickBot="1" x14ac:dyDescent="0.25">
      <c r="B108" s="107"/>
      <c r="C108" s="137" t="str">
        <f>'User Input'!D129</f>
        <v>Cost 1</v>
      </c>
      <c r="D108" s="67">
        <f t="shared" si="11"/>
        <v>0</v>
      </c>
      <c r="E108" s="141">
        <f>Calculations!E95*(1+$D$20)</f>
        <v>0</v>
      </c>
      <c r="F108" s="141">
        <f>Calculations!F95*(1+$D$20)</f>
        <v>0</v>
      </c>
      <c r="G108" s="141">
        <f>Calculations!G95*(1+$D$20)</f>
        <v>0</v>
      </c>
      <c r="H108" s="141">
        <f>Calculations!H95*(1+$D$20)</f>
        <v>0</v>
      </c>
      <c r="I108" s="141">
        <f>Calculations!I95*(1+$D$20)</f>
        <v>0</v>
      </c>
      <c r="J108" s="141">
        <f>Calculations!J95*(1+$D$20)</f>
        <v>0</v>
      </c>
      <c r="K108" s="141">
        <f>Calculations!K95*(1+$D$20)</f>
        <v>0</v>
      </c>
      <c r="L108" s="141">
        <f>Calculations!L95*(1+$D$20)</f>
        <v>0</v>
      </c>
      <c r="M108" s="141">
        <f>Calculations!M95*(1+$D$20)</f>
        <v>0</v>
      </c>
      <c r="N108" s="141">
        <f>Calculations!N95*(1+$D$20)</f>
        <v>0</v>
      </c>
      <c r="O108" s="141">
        <f>Calculations!O95*(1+$D$20)</f>
        <v>0</v>
      </c>
      <c r="P108" s="141">
        <f>Calculations!P95*(1+$D$20)</f>
        <v>0</v>
      </c>
      <c r="Q108" s="141">
        <f>Calculations!Q95*(1+$D$20)</f>
        <v>0</v>
      </c>
      <c r="R108" s="141">
        <f>Calculations!R95*(1+$D$20)</f>
        <v>0</v>
      </c>
      <c r="S108" s="141">
        <f>Calculations!S95*(1+$D$20)</f>
        <v>0</v>
      </c>
      <c r="T108" s="141">
        <f>Calculations!T95*(1+$D$20)</f>
        <v>0</v>
      </c>
      <c r="U108" s="141">
        <f>Calculations!U95*(1+$D$20)</f>
        <v>0</v>
      </c>
      <c r="V108" s="141">
        <f>Calculations!V95*(1+$D$20)</f>
        <v>0</v>
      </c>
      <c r="W108" s="141">
        <f>Calculations!W95*(1+$D$20)</f>
        <v>0</v>
      </c>
      <c r="X108" s="141">
        <f>Calculations!X95*(1+$D$20)</f>
        <v>0</v>
      </c>
      <c r="Y108" s="141">
        <f>Calculations!Y95*(1+$D$20)</f>
        <v>0</v>
      </c>
      <c r="Z108" s="287"/>
    </row>
    <row r="109" spans="1:26" ht="13.5" thickBot="1" x14ac:dyDescent="0.25">
      <c r="B109" s="107"/>
      <c r="C109" s="137" t="str">
        <f>'User Input'!D130</f>
        <v>Cost 2</v>
      </c>
      <c r="D109" s="67">
        <f t="shared" si="11"/>
        <v>0</v>
      </c>
      <c r="E109" s="141">
        <f>Calculations!E96*(1+$D$20)</f>
        <v>0</v>
      </c>
      <c r="F109" s="141">
        <f>Calculations!F96*(1+$D$20)</f>
        <v>0</v>
      </c>
      <c r="G109" s="141">
        <f>Calculations!G96*(1+$D$20)</f>
        <v>0</v>
      </c>
      <c r="H109" s="141">
        <f>Calculations!H96*(1+$D$20)</f>
        <v>0</v>
      </c>
      <c r="I109" s="141">
        <f>Calculations!I96*(1+$D$20)</f>
        <v>0</v>
      </c>
      <c r="J109" s="141">
        <f>Calculations!J96*(1+$D$20)</f>
        <v>0</v>
      </c>
      <c r="K109" s="141">
        <f>Calculations!K96*(1+$D$20)</f>
        <v>0</v>
      </c>
      <c r="L109" s="141">
        <f>Calculations!L96*(1+$D$20)</f>
        <v>0</v>
      </c>
      <c r="M109" s="141">
        <f>Calculations!M96*(1+$D$20)</f>
        <v>0</v>
      </c>
      <c r="N109" s="141">
        <f>Calculations!N96*(1+$D$20)</f>
        <v>0</v>
      </c>
      <c r="O109" s="141">
        <f>Calculations!O96*(1+$D$20)</f>
        <v>0</v>
      </c>
      <c r="P109" s="141">
        <f>Calculations!P96*(1+$D$20)</f>
        <v>0</v>
      </c>
      <c r="Q109" s="141">
        <f>Calculations!Q96*(1+$D$20)</f>
        <v>0</v>
      </c>
      <c r="R109" s="141">
        <f>Calculations!R96*(1+$D$20)</f>
        <v>0</v>
      </c>
      <c r="S109" s="141">
        <f>Calculations!S96*(1+$D$20)</f>
        <v>0</v>
      </c>
      <c r="T109" s="141">
        <f>Calculations!T96*(1+$D$20)</f>
        <v>0</v>
      </c>
      <c r="U109" s="141">
        <f>Calculations!U96*(1+$D$20)</f>
        <v>0</v>
      </c>
      <c r="V109" s="141">
        <f>Calculations!V96*(1+$D$20)</f>
        <v>0</v>
      </c>
      <c r="W109" s="141">
        <f>Calculations!W96*(1+$D$20)</f>
        <v>0</v>
      </c>
      <c r="X109" s="141">
        <f>Calculations!X96*(1+$D$20)</f>
        <v>0</v>
      </c>
      <c r="Y109" s="141">
        <f>Calculations!Y96*(1+$D$20)</f>
        <v>0</v>
      </c>
      <c r="Z109" s="287"/>
    </row>
    <row r="110" spans="1:26" ht="13.5" thickBot="1" x14ac:dyDescent="0.25">
      <c r="B110" s="107"/>
      <c r="C110" s="137" t="str">
        <f>'User Input'!D131</f>
        <v>Cost 3</v>
      </c>
      <c r="D110" s="67">
        <f t="shared" si="11"/>
        <v>0</v>
      </c>
      <c r="E110" s="141">
        <f>Calculations!E97*(1+$D$20)</f>
        <v>0</v>
      </c>
      <c r="F110" s="141">
        <f>Calculations!F97*(1+$D$20)</f>
        <v>0</v>
      </c>
      <c r="G110" s="141">
        <f>Calculations!G97*(1+$D$20)</f>
        <v>0</v>
      </c>
      <c r="H110" s="141">
        <f>Calculations!H97*(1+$D$20)</f>
        <v>0</v>
      </c>
      <c r="I110" s="141">
        <f>Calculations!I97*(1+$D$20)</f>
        <v>0</v>
      </c>
      <c r="J110" s="141">
        <f>Calculations!J97*(1+$D$20)</f>
        <v>0</v>
      </c>
      <c r="K110" s="141">
        <f>Calculations!K97*(1+$D$20)</f>
        <v>0</v>
      </c>
      <c r="L110" s="141">
        <f>Calculations!L97*(1+$D$20)</f>
        <v>0</v>
      </c>
      <c r="M110" s="141">
        <f>Calculations!M97*(1+$D$20)</f>
        <v>0</v>
      </c>
      <c r="N110" s="141">
        <f>Calculations!N97*(1+$D$20)</f>
        <v>0</v>
      </c>
      <c r="O110" s="141">
        <f>Calculations!O97*(1+$D$20)</f>
        <v>0</v>
      </c>
      <c r="P110" s="141">
        <f>Calculations!P97*(1+$D$20)</f>
        <v>0</v>
      </c>
      <c r="Q110" s="141">
        <f>Calculations!Q97*(1+$D$20)</f>
        <v>0</v>
      </c>
      <c r="R110" s="141">
        <f>Calculations!R97*(1+$D$20)</f>
        <v>0</v>
      </c>
      <c r="S110" s="141">
        <f>Calculations!S97*(1+$D$20)</f>
        <v>0</v>
      </c>
      <c r="T110" s="141">
        <f>Calculations!T97*(1+$D$20)</f>
        <v>0</v>
      </c>
      <c r="U110" s="141">
        <f>Calculations!U97*(1+$D$20)</f>
        <v>0</v>
      </c>
      <c r="V110" s="141">
        <f>Calculations!V97*(1+$D$20)</f>
        <v>0</v>
      </c>
      <c r="W110" s="141">
        <f>Calculations!W97*(1+$D$20)</f>
        <v>0</v>
      </c>
      <c r="X110" s="141">
        <f>Calculations!X97*(1+$D$20)</f>
        <v>0</v>
      </c>
      <c r="Y110" s="141">
        <f>Calculations!Y97*(1+$D$20)</f>
        <v>0</v>
      </c>
      <c r="Z110" s="287"/>
    </row>
    <row r="111" spans="1:26" ht="13.5" thickBot="1" x14ac:dyDescent="0.25">
      <c r="B111" s="107"/>
      <c r="C111" s="137" t="str">
        <f>'User Input'!D132</f>
        <v>Cost 4</v>
      </c>
      <c r="D111" s="67">
        <f t="shared" si="11"/>
        <v>0</v>
      </c>
      <c r="E111" s="141">
        <f>Calculations!E98*(1+$D$20)</f>
        <v>0</v>
      </c>
      <c r="F111" s="141">
        <f>Calculations!F98*(1+$D$20)</f>
        <v>0</v>
      </c>
      <c r="G111" s="141">
        <f>Calculations!G98*(1+$D$20)</f>
        <v>0</v>
      </c>
      <c r="H111" s="141">
        <f>Calculations!H98*(1+$D$20)</f>
        <v>0</v>
      </c>
      <c r="I111" s="141">
        <f>Calculations!I98*(1+$D$20)</f>
        <v>0</v>
      </c>
      <c r="J111" s="141">
        <f>Calculations!J98*(1+$D$20)</f>
        <v>0</v>
      </c>
      <c r="K111" s="141">
        <f>Calculations!K98*(1+$D$20)</f>
        <v>0</v>
      </c>
      <c r="L111" s="141">
        <f>Calculations!L98*(1+$D$20)</f>
        <v>0</v>
      </c>
      <c r="M111" s="141">
        <f>Calculations!M98*(1+$D$20)</f>
        <v>0</v>
      </c>
      <c r="N111" s="141">
        <f>Calculations!N98*(1+$D$20)</f>
        <v>0</v>
      </c>
      <c r="O111" s="141">
        <f>Calculations!O98*(1+$D$20)</f>
        <v>0</v>
      </c>
      <c r="P111" s="141">
        <f>Calculations!P98*(1+$D$20)</f>
        <v>0</v>
      </c>
      <c r="Q111" s="141">
        <f>Calculations!Q98*(1+$D$20)</f>
        <v>0</v>
      </c>
      <c r="R111" s="141">
        <f>Calculations!R98*(1+$D$20)</f>
        <v>0</v>
      </c>
      <c r="S111" s="141">
        <f>Calculations!S98*(1+$D$20)</f>
        <v>0</v>
      </c>
      <c r="T111" s="141">
        <f>Calculations!T98*(1+$D$20)</f>
        <v>0</v>
      </c>
      <c r="U111" s="141">
        <f>Calculations!U98*(1+$D$20)</f>
        <v>0</v>
      </c>
      <c r="V111" s="141">
        <f>Calculations!V98*(1+$D$20)</f>
        <v>0</v>
      </c>
      <c r="W111" s="141">
        <f>Calculations!W98*(1+$D$20)</f>
        <v>0</v>
      </c>
      <c r="X111" s="141">
        <f>Calculations!X98*(1+$D$20)</f>
        <v>0</v>
      </c>
      <c r="Y111" s="141">
        <f>Calculations!Y98*(1+$D$20)</f>
        <v>0</v>
      </c>
      <c r="Z111" s="287"/>
    </row>
    <row r="112" spans="1:26" ht="13.5" thickBot="1" x14ac:dyDescent="0.25">
      <c r="B112" s="107"/>
      <c r="C112" s="137" t="str">
        <f>'User Input'!D133</f>
        <v>Cost 5</v>
      </c>
      <c r="D112" s="67">
        <f t="shared" si="11"/>
        <v>0</v>
      </c>
      <c r="E112" s="141">
        <f>Calculations!E99*(1+$D$20)</f>
        <v>0</v>
      </c>
      <c r="F112" s="141">
        <f>Calculations!F99*(1+$D$20)</f>
        <v>0</v>
      </c>
      <c r="G112" s="141">
        <f>Calculations!G99*(1+$D$20)</f>
        <v>0</v>
      </c>
      <c r="H112" s="141">
        <f>Calculations!H99*(1+$D$20)</f>
        <v>0</v>
      </c>
      <c r="I112" s="141">
        <f>Calculations!I99*(1+$D$20)</f>
        <v>0</v>
      </c>
      <c r="J112" s="141">
        <f>Calculations!J99*(1+$D$20)</f>
        <v>0</v>
      </c>
      <c r="K112" s="141">
        <f>Calculations!K99*(1+$D$20)</f>
        <v>0</v>
      </c>
      <c r="L112" s="141">
        <f>Calculations!L99*(1+$D$20)</f>
        <v>0</v>
      </c>
      <c r="M112" s="141">
        <f>Calculations!M99*(1+$D$20)</f>
        <v>0</v>
      </c>
      <c r="N112" s="141">
        <f>Calculations!N99*(1+$D$20)</f>
        <v>0</v>
      </c>
      <c r="O112" s="141">
        <f>Calculations!O99*(1+$D$20)</f>
        <v>0</v>
      </c>
      <c r="P112" s="141">
        <f>Calculations!P99*(1+$D$20)</f>
        <v>0</v>
      </c>
      <c r="Q112" s="141">
        <f>Calculations!Q99*(1+$D$20)</f>
        <v>0</v>
      </c>
      <c r="R112" s="141">
        <f>Calculations!R99*(1+$D$20)</f>
        <v>0</v>
      </c>
      <c r="S112" s="141">
        <f>Calculations!S99*(1+$D$20)</f>
        <v>0</v>
      </c>
      <c r="T112" s="141">
        <f>Calculations!T99*(1+$D$20)</f>
        <v>0</v>
      </c>
      <c r="U112" s="141">
        <f>Calculations!U99*(1+$D$20)</f>
        <v>0</v>
      </c>
      <c r="V112" s="141">
        <f>Calculations!V99*(1+$D$20)</f>
        <v>0</v>
      </c>
      <c r="W112" s="141">
        <f>Calculations!W99*(1+$D$20)</f>
        <v>0</v>
      </c>
      <c r="X112" s="141">
        <f>Calculations!X99*(1+$D$20)</f>
        <v>0</v>
      </c>
      <c r="Y112" s="141">
        <f>Calculations!Y99*(1+$D$20)</f>
        <v>0</v>
      </c>
      <c r="Z112" s="287"/>
    </row>
    <row r="113" spans="2:26" ht="13.5" thickBot="1" x14ac:dyDescent="0.25">
      <c r="B113" s="107"/>
      <c r="C113" s="137" t="str">
        <f>'User Input'!D134</f>
        <v>Risk 1</v>
      </c>
      <c r="D113" s="67">
        <f>SUM(E113:Y113)</f>
        <v>0</v>
      </c>
      <c r="E113" s="141">
        <f>Calculations!E100*(1+$D$20)</f>
        <v>0</v>
      </c>
      <c r="F113" s="141">
        <f>Calculations!F100*(1+$D$20)</f>
        <v>0</v>
      </c>
      <c r="G113" s="141">
        <f>Calculations!G100*(1+$D$20)</f>
        <v>0</v>
      </c>
      <c r="H113" s="141">
        <f>Calculations!H100*(1+$D$20)</f>
        <v>0</v>
      </c>
      <c r="I113" s="141">
        <f>Calculations!I100*(1+$D$20)</f>
        <v>0</v>
      </c>
      <c r="J113" s="141">
        <f>Calculations!J100*(1+$D$20)</f>
        <v>0</v>
      </c>
      <c r="K113" s="141">
        <f>Calculations!K100*(1+$D$20)</f>
        <v>0</v>
      </c>
      <c r="L113" s="141">
        <f>Calculations!L100*(1+$D$20)</f>
        <v>0</v>
      </c>
      <c r="M113" s="141">
        <f>Calculations!M100*(1+$D$20)</f>
        <v>0</v>
      </c>
      <c r="N113" s="141">
        <f>Calculations!N100*(1+$D$20)</f>
        <v>0</v>
      </c>
      <c r="O113" s="141">
        <f>Calculations!O100*(1+$D$20)</f>
        <v>0</v>
      </c>
      <c r="P113" s="141">
        <f>Calculations!P100*(1+$D$20)</f>
        <v>0</v>
      </c>
      <c r="Q113" s="141">
        <f>Calculations!Q100*(1+$D$20)</f>
        <v>0</v>
      </c>
      <c r="R113" s="141">
        <f>Calculations!R100*(1+$D$20)</f>
        <v>0</v>
      </c>
      <c r="S113" s="141">
        <f>Calculations!S100*(1+$D$20)</f>
        <v>0</v>
      </c>
      <c r="T113" s="141">
        <f>Calculations!T100*(1+$D$20)</f>
        <v>0</v>
      </c>
      <c r="U113" s="141">
        <f>Calculations!U100*(1+$D$20)</f>
        <v>0</v>
      </c>
      <c r="V113" s="141">
        <f>Calculations!V100*(1+$D$20)</f>
        <v>0</v>
      </c>
      <c r="W113" s="141">
        <f>Calculations!W100*(1+$D$20)</f>
        <v>0</v>
      </c>
      <c r="X113" s="141">
        <f>Calculations!X100*(1+$D$20)</f>
        <v>0</v>
      </c>
      <c r="Y113" s="141">
        <f>Calculations!Y100*(1+$D$20)</f>
        <v>0</v>
      </c>
      <c r="Z113" s="287"/>
    </row>
    <row r="114" spans="2:26" ht="13.5" thickBot="1" x14ac:dyDescent="0.25">
      <c r="B114" s="107"/>
      <c r="C114" s="137" t="str">
        <f>'User Input'!D135</f>
        <v>Risk 2</v>
      </c>
      <c r="D114" s="67">
        <f>SUM(E114:Y114)</f>
        <v>0</v>
      </c>
      <c r="E114" s="141">
        <f>Calculations!E101*(1+$D$20)</f>
        <v>0</v>
      </c>
      <c r="F114" s="141">
        <f>Calculations!F101*(1+$D$20)</f>
        <v>0</v>
      </c>
      <c r="G114" s="141">
        <f>Calculations!G101*(1+$D$20)</f>
        <v>0</v>
      </c>
      <c r="H114" s="141">
        <f>Calculations!H101*(1+$D$20)</f>
        <v>0</v>
      </c>
      <c r="I114" s="141">
        <f>Calculations!I101*(1+$D$20)</f>
        <v>0</v>
      </c>
      <c r="J114" s="141">
        <f>Calculations!J101*(1+$D$20)</f>
        <v>0</v>
      </c>
      <c r="K114" s="141">
        <f>Calculations!K101*(1+$D$20)</f>
        <v>0</v>
      </c>
      <c r="L114" s="141">
        <f>Calculations!L101*(1+$D$20)</f>
        <v>0</v>
      </c>
      <c r="M114" s="141">
        <f>Calculations!M101*(1+$D$20)</f>
        <v>0</v>
      </c>
      <c r="N114" s="141">
        <f>Calculations!N101*(1+$D$20)</f>
        <v>0</v>
      </c>
      <c r="O114" s="141">
        <f>Calculations!O101*(1+$D$20)</f>
        <v>0</v>
      </c>
      <c r="P114" s="141">
        <f>Calculations!P101*(1+$D$20)</f>
        <v>0</v>
      </c>
      <c r="Q114" s="141">
        <f>Calculations!Q101*(1+$D$20)</f>
        <v>0</v>
      </c>
      <c r="R114" s="141">
        <f>Calculations!R101*(1+$D$20)</f>
        <v>0</v>
      </c>
      <c r="S114" s="141">
        <f>Calculations!S101*(1+$D$20)</f>
        <v>0</v>
      </c>
      <c r="T114" s="141">
        <f>Calculations!T101*(1+$D$20)</f>
        <v>0</v>
      </c>
      <c r="U114" s="141">
        <f>Calculations!U101*(1+$D$20)</f>
        <v>0</v>
      </c>
      <c r="V114" s="141">
        <f>Calculations!V101*(1+$D$20)</f>
        <v>0</v>
      </c>
      <c r="W114" s="141">
        <f>Calculations!W101*(1+$D$20)</f>
        <v>0</v>
      </c>
      <c r="X114" s="141">
        <f>Calculations!X101*(1+$D$20)</f>
        <v>0</v>
      </c>
      <c r="Y114" s="141">
        <f>Calculations!Y101*(1+$D$20)</f>
        <v>0</v>
      </c>
      <c r="Z114" s="287"/>
    </row>
    <row r="115" spans="2:26" ht="13.5" thickBot="1" x14ac:dyDescent="0.25">
      <c r="B115" s="107"/>
      <c r="C115" s="137" t="str">
        <f>'User Input'!D136</f>
        <v>Risk 3</v>
      </c>
      <c r="D115" s="67">
        <f>SUM(E115:Y115)</f>
        <v>0</v>
      </c>
      <c r="E115" s="141">
        <f>Calculations!E102*(1+$D$20)</f>
        <v>0</v>
      </c>
      <c r="F115" s="141">
        <f>Calculations!F102*(1+$D$20)</f>
        <v>0</v>
      </c>
      <c r="G115" s="141">
        <f>Calculations!G102*(1+$D$20)</f>
        <v>0</v>
      </c>
      <c r="H115" s="141">
        <f>Calculations!H102*(1+$D$20)</f>
        <v>0</v>
      </c>
      <c r="I115" s="141">
        <f>Calculations!I102*(1+$D$20)</f>
        <v>0</v>
      </c>
      <c r="J115" s="141">
        <f>Calculations!J102*(1+$D$20)</f>
        <v>0</v>
      </c>
      <c r="K115" s="141">
        <f>Calculations!K102*(1+$D$20)</f>
        <v>0</v>
      </c>
      <c r="L115" s="141">
        <f>Calculations!L102*(1+$D$20)</f>
        <v>0</v>
      </c>
      <c r="M115" s="141">
        <f>Calculations!M102*(1+$D$20)</f>
        <v>0</v>
      </c>
      <c r="N115" s="141">
        <f>Calculations!N102*(1+$D$20)</f>
        <v>0</v>
      </c>
      <c r="O115" s="141">
        <f>Calculations!O102*(1+$D$20)</f>
        <v>0</v>
      </c>
      <c r="P115" s="141">
        <f>Calculations!P102*(1+$D$20)</f>
        <v>0</v>
      </c>
      <c r="Q115" s="141">
        <f>Calculations!Q102*(1+$D$20)</f>
        <v>0</v>
      </c>
      <c r="R115" s="141">
        <f>Calculations!R102*(1+$D$20)</f>
        <v>0</v>
      </c>
      <c r="S115" s="141">
        <f>Calculations!S102*(1+$D$20)</f>
        <v>0</v>
      </c>
      <c r="T115" s="141">
        <f>Calculations!T102*(1+$D$20)</f>
        <v>0</v>
      </c>
      <c r="U115" s="141">
        <f>Calculations!U102*(1+$D$20)</f>
        <v>0</v>
      </c>
      <c r="V115" s="141">
        <f>Calculations!V102*(1+$D$20)</f>
        <v>0</v>
      </c>
      <c r="W115" s="141">
        <f>Calculations!W102*(1+$D$20)</f>
        <v>0</v>
      </c>
      <c r="X115" s="141">
        <f>Calculations!X102*(1+$D$20)</f>
        <v>0</v>
      </c>
      <c r="Y115" s="141">
        <f>Calculations!Y102*(1+$D$20)</f>
        <v>0</v>
      </c>
      <c r="Z115" s="287"/>
    </row>
    <row r="116" spans="2:26" ht="13.5" thickBot="1" x14ac:dyDescent="0.25">
      <c r="B116" s="107"/>
      <c r="C116" s="137" t="str">
        <f>'User Input'!D137</f>
        <v>Risk 4</v>
      </c>
      <c r="D116" s="67">
        <f>SUM(E116:Y116)</f>
        <v>0</v>
      </c>
      <c r="E116" s="141">
        <f>Calculations!E103*(1+$D$20)</f>
        <v>0</v>
      </c>
      <c r="F116" s="141">
        <f>Calculations!F103*(1+$D$20)</f>
        <v>0</v>
      </c>
      <c r="G116" s="141">
        <f>Calculations!G103*(1+$D$20)</f>
        <v>0</v>
      </c>
      <c r="H116" s="141">
        <f>Calculations!H103*(1+$D$20)</f>
        <v>0</v>
      </c>
      <c r="I116" s="141">
        <f>Calculations!I103*(1+$D$20)</f>
        <v>0</v>
      </c>
      <c r="J116" s="141">
        <f>Calculations!J103*(1+$D$20)</f>
        <v>0</v>
      </c>
      <c r="K116" s="141">
        <f>Calculations!K103*(1+$D$20)</f>
        <v>0</v>
      </c>
      <c r="L116" s="141">
        <f>Calculations!L103*(1+$D$20)</f>
        <v>0</v>
      </c>
      <c r="M116" s="141">
        <f>Calculations!M103*(1+$D$20)</f>
        <v>0</v>
      </c>
      <c r="N116" s="141">
        <f>Calculations!N103*(1+$D$20)</f>
        <v>0</v>
      </c>
      <c r="O116" s="141">
        <f>Calculations!O103*(1+$D$20)</f>
        <v>0</v>
      </c>
      <c r="P116" s="141">
        <f>Calculations!P103*(1+$D$20)</f>
        <v>0</v>
      </c>
      <c r="Q116" s="141">
        <f>Calculations!Q103*(1+$D$20)</f>
        <v>0</v>
      </c>
      <c r="R116" s="141">
        <f>Calculations!R103*(1+$D$20)</f>
        <v>0</v>
      </c>
      <c r="S116" s="141">
        <f>Calculations!S103*(1+$D$20)</f>
        <v>0</v>
      </c>
      <c r="T116" s="141">
        <f>Calculations!T103*(1+$D$20)</f>
        <v>0</v>
      </c>
      <c r="U116" s="141">
        <f>Calculations!U103*(1+$D$20)</f>
        <v>0</v>
      </c>
      <c r="V116" s="141">
        <f>Calculations!V103*(1+$D$20)</f>
        <v>0</v>
      </c>
      <c r="W116" s="141">
        <f>Calculations!W103*(1+$D$20)</f>
        <v>0</v>
      </c>
      <c r="X116" s="141">
        <f>Calculations!X103*(1+$D$20)</f>
        <v>0</v>
      </c>
      <c r="Y116" s="141">
        <f>Calculations!Y103*(1+$D$20)</f>
        <v>0</v>
      </c>
      <c r="Z116" s="287"/>
    </row>
    <row r="117" spans="2:26" ht="13.5" thickBot="1" x14ac:dyDescent="0.25">
      <c r="B117" s="107"/>
      <c r="C117" s="137" t="str">
        <f>'User Input'!D138</f>
        <v>Risk 5</v>
      </c>
      <c r="D117" s="67">
        <f>SUM(E117:Y117)</f>
        <v>0</v>
      </c>
      <c r="E117" s="141">
        <f>Calculations!E104*(1+$D$20)</f>
        <v>0</v>
      </c>
      <c r="F117" s="141">
        <f>Calculations!F104*(1+$D$20)</f>
        <v>0</v>
      </c>
      <c r="G117" s="141">
        <f>Calculations!G104*(1+$D$20)</f>
        <v>0</v>
      </c>
      <c r="H117" s="141">
        <f>Calculations!H104*(1+$D$20)</f>
        <v>0</v>
      </c>
      <c r="I117" s="141">
        <f>Calculations!I104*(1+$D$20)</f>
        <v>0</v>
      </c>
      <c r="J117" s="141">
        <f>Calculations!J104*(1+$D$20)</f>
        <v>0</v>
      </c>
      <c r="K117" s="141">
        <f>Calculations!K104*(1+$D$20)</f>
        <v>0</v>
      </c>
      <c r="L117" s="141">
        <f>Calculations!L104*(1+$D$20)</f>
        <v>0</v>
      </c>
      <c r="M117" s="141">
        <f>Calculations!M104*(1+$D$20)</f>
        <v>0</v>
      </c>
      <c r="N117" s="141">
        <f>Calculations!N104*(1+$D$20)</f>
        <v>0</v>
      </c>
      <c r="O117" s="141">
        <f>Calculations!O104*(1+$D$20)</f>
        <v>0</v>
      </c>
      <c r="P117" s="141">
        <f>Calculations!P104*(1+$D$20)</f>
        <v>0</v>
      </c>
      <c r="Q117" s="141">
        <f>Calculations!Q104*(1+$D$20)</f>
        <v>0</v>
      </c>
      <c r="R117" s="141">
        <f>Calculations!R104*(1+$D$20)</f>
        <v>0</v>
      </c>
      <c r="S117" s="141">
        <f>Calculations!S104*(1+$D$20)</f>
        <v>0</v>
      </c>
      <c r="T117" s="141">
        <f>Calculations!T104*(1+$D$20)</f>
        <v>0</v>
      </c>
      <c r="U117" s="141">
        <f>Calculations!U104*(1+$D$20)</f>
        <v>0</v>
      </c>
      <c r="V117" s="141">
        <f>Calculations!V104*(1+$D$20)</f>
        <v>0</v>
      </c>
      <c r="W117" s="141">
        <f>Calculations!W104*(1+$D$20)</f>
        <v>0</v>
      </c>
      <c r="X117" s="141">
        <f>Calculations!X104*(1+$D$20)</f>
        <v>0</v>
      </c>
      <c r="Y117" s="141">
        <f>Calculations!Y104*(1+$D$20)</f>
        <v>0</v>
      </c>
      <c r="Z117" s="287"/>
    </row>
    <row r="118" spans="2:26" ht="13.5" thickBot="1" x14ac:dyDescent="0.25">
      <c r="B118" s="107"/>
      <c r="C118" s="53" t="s">
        <v>2</v>
      </c>
      <c r="D118" s="67">
        <f t="shared" si="11"/>
        <v>0</v>
      </c>
      <c r="E118" s="68">
        <f>SUM(E99:E117)</f>
        <v>0</v>
      </c>
      <c r="F118" s="69">
        <f t="shared" ref="F118:Y118" si="12">SUM(F99:F117)</f>
        <v>0</v>
      </c>
      <c r="G118" s="69">
        <f t="shared" si="12"/>
        <v>0</v>
      </c>
      <c r="H118" s="69">
        <f t="shared" si="12"/>
        <v>0</v>
      </c>
      <c r="I118" s="69">
        <f t="shared" si="12"/>
        <v>0</v>
      </c>
      <c r="J118" s="69">
        <f t="shared" si="12"/>
        <v>0</v>
      </c>
      <c r="K118" s="69">
        <f t="shared" si="12"/>
        <v>0</v>
      </c>
      <c r="L118" s="69">
        <f t="shared" si="12"/>
        <v>0</v>
      </c>
      <c r="M118" s="69">
        <f t="shared" si="12"/>
        <v>0</v>
      </c>
      <c r="N118" s="69">
        <f t="shared" si="12"/>
        <v>0</v>
      </c>
      <c r="O118" s="69">
        <f t="shared" si="12"/>
        <v>0</v>
      </c>
      <c r="P118" s="69">
        <f t="shared" si="12"/>
        <v>0</v>
      </c>
      <c r="Q118" s="69">
        <f t="shared" si="12"/>
        <v>0</v>
      </c>
      <c r="R118" s="69">
        <f t="shared" si="12"/>
        <v>0</v>
      </c>
      <c r="S118" s="69">
        <f t="shared" si="12"/>
        <v>0</v>
      </c>
      <c r="T118" s="69">
        <f t="shared" si="12"/>
        <v>0</v>
      </c>
      <c r="U118" s="69">
        <f t="shared" si="12"/>
        <v>0</v>
      </c>
      <c r="V118" s="69">
        <f t="shared" si="12"/>
        <v>0</v>
      </c>
      <c r="W118" s="69">
        <f t="shared" si="12"/>
        <v>0</v>
      </c>
      <c r="X118" s="69">
        <f t="shared" si="12"/>
        <v>0</v>
      </c>
      <c r="Y118" s="150">
        <f t="shared" si="12"/>
        <v>0</v>
      </c>
      <c r="Z118" s="287"/>
    </row>
    <row r="119" spans="2:26" ht="13.5" thickBot="1" x14ac:dyDescent="0.25">
      <c r="B119" s="107"/>
      <c r="C119" s="54" t="s">
        <v>50</v>
      </c>
      <c r="D119" s="67">
        <f t="shared" si="11"/>
        <v>0</v>
      </c>
      <c r="E119" s="77">
        <f t="shared" ref="E119:Y119" si="13">E118/E$13</f>
        <v>0</v>
      </c>
      <c r="F119" s="77">
        <f t="shared" si="13"/>
        <v>0</v>
      </c>
      <c r="G119" s="77">
        <f t="shared" si="13"/>
        <v>0</v>
      </c>
      <c r="H119" s="77">
        <f t="shared" si="13"/>
        <v>0</v>
      </c>
      <c r="I119" s="77">
        <f t="shared" si="13"/>
        <v>0</v>
      </c>
      <c r="J119" s="77">
        <f t="shared" si="13"/>
        <v>0</v>
      </c>
      <c r="K119" s="77">
        <f t="shared" si="13"/>
        <v>0</v>
      </c>
      <c r="L119" s="77">
        <f t="shared" si="13"/>
        <v>0</v>
      </c>
      <c r="M119" s="77">
        <f t="shared" si="13"/>
        <v>0</v>
      </c>
      <c r="N119" s="77">
        <f t="shared" si="13"/>
        <v>0</v>
      </c>
      <c r="O119" s="77">
        <f t="shared" si="13"/>
        <v>0</v>
      </c>
      <c r="P119" s="77">
        <f t="shared" si="13"/>
        <v>0</v>
      </c>
      <c r="Q119" s="77">
        <f t="shared" si="13"/>
        <v>0</v>
      </c>
      <c r="R119" s="77">
        <f t="shared" si="13"/>
        <v>0</v>
      </c>
      <c r="S119" s="77">
        <f t="shared" si="13"/>
        <v>0</v>
      </c>
      <c r="T119" s="77">
        <f t="shared" si="13"/>
        <v>0</v>
      </c>
      <c r="U119" s="77">
        <f t="shared" si="13"/>
        <v>0</v>
      </c>
      <c r="V119" s="77">
        <f t="shared" si="13"/>
        <v>0</v>
      </c>
      <c r="W119" s="77">
        <f t="shared" si="13"/>
        <v>0</v>
      </c>
      <c r="X119" s="77">
        <f t="shared" si="13"/>
        <v>0</v>
      </c>
      <c r="Y119" s="77">
        <f t="shared" si="13"/>
        <v>0</v>
      </c>
      <c r="Z119" s="287"/>
    </row>
    <row r="120" spans="2:26" x14ac:dyDescent="0.2">
      <c r="B120" s="227"/>
      <c r="C120" s="294"/>
      <c r="D120" s="294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3"/>
      <c r="Z120" s="290"/>
    </row>
    <row r="121" spans="2:26" x14ac:dyDescent="0.2">
      <c r="B121" s="371" t="str">
        <f>'User Input'!D140</f>
        <v xml:space="preserve">Option 4: </v>
      </c>
      <c r="C121" s="367"/>
      <c r="D121" s="372"/>
      <c r="E121" s="369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0"/>
    </row>
    <row r="122" spans="2:26" ht="13.5" thickBot="1" x14ac:dyDescent="0.25">
      <c r="B122" s="20"/>
      <c r="C122" s="59"/>
      <c r="D122" s="59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185"/>
      <c r="Z122" s="287"/>
    </row>
    <row r="123" spans="2:26" ht="13.5" thickBot="1" x14ac:dyDescent="0.25">
      <c r="B123" s="52"/>
      <c r="C123" s="29" t="s">
        <v>76</v>
      </c>
      <c r="D123" s="67">
        <f>SUM(E123:Y123)</f>
        <v>0</v>
      </c>
      <c r="E123" s="141">
        <f>Calculations!E110*(1+$D$19)</f>
        <v>0</v>
      </c>
      <c r="F123" s="141">
        <f>Calculations!F110*(1+$D$19)</f>
        <v>0</v>
      </c>
      <c r="G123" s="141">
        <f>Calculations!G110*(1+$D$19)</f>
        <v>0</v>
      </c>
      <c r="H123" s="141">
        <f>Calculations!H110*(1+$D$19)</f>
        <v>0</v>
      </c>
      <c r="I123" s="141">
        <f>Calculations!I110*(1+$D$19)</f>
        <v>0</v>
      </c>
      <c r="J123" s="141">
        <f>Calculations!J110*(1+$D$19)</f>
        <v>0</v>
      </c>
      <c r="K123" s="141">
        <f>Calculations!K110*(1+$D$19)</f>
        <v>0</v>
      </c>
      <c r="L123" s="141">
        <f>Calculations!L110*(1+$D$19)</f>
        <v>0</v>
      </c>
      <c r="M123" s="141">
        <f>Calculations!M110*(1+$D$19)</f>
        <v>0</v>
      </c>
      <c r="N123" s="141">
        <f>Calculations!N110*(1+$D$19)</f>
        <v>0</v>
      </c>
      <c r="O123" s="141">
        <f>Calculations!O110*(1+$D$19)</f>
        <v>0</v>
      </c>
      <c r="P123" s="141">
        <f>Calculations!P110*(1+$D$19)</f>
        <v>0</v>
      </c>
      <c r="Q123" s="141">
        <f>Calculations!Q110*(1+$D$19)</f>
        <v>0</v>
      </c>
      <c r="R123" s="141">
        <f>Calculations!R110*(1+$D$19)</f>
        <v>0</v>
      </c>
      <c r="S123" s="141">
        <f>Calculations!S110*(1+$D$19)</f>
        <v>0</v>
      </c>
      <c r="T123" s="141">
        <f>Calculations!T110*(1+$D$19)</f>
        <v>0</v>
      </c>
      <c r="U123" s="141">
        <f>Calculations!U110*(1+$D$19)</f>
        <v>0</v>
      </c>
      <c r="V123" s="141">
        <f>Calculations!V110*(1+$D$19)</f>
        <v>0</v>
      </c>
      <c r="W123" s="141">
        <f>Calculations!W110*(1+$D$19)</f>
        <v>0</v>
      </c>
      <c r="X123" s="141">
        <f>Calculations!X110*(1+$D$19)</f>
        <v>0</v>
      </c>
      <c r="Y123" s="141">
        <f>Calculations!Y110*(1+$D$19)</f>
        <v>0</v>
      </c>
      <c r="Z123" s="287"/>
    </row>
    <row r="124" spans="2:26" ht="13.5" thickBot="1" x14ac:dyDescent="0.25">
      <c r="B124" s="107"/>
      <c r="C124" s="137" t="str">
        <f>'User Input'!D143</f>
        <v>Maintenance Costs</v>
      </c>
      <c r="D124" s="67">
        <f>SUM(E124:Y124)</f>
        <v>0</v>
      </c>
      <c r="E124" s="141">
        <f>Calculations!E111*(1+$D$20)</f>
        <v>0</v>
      </c>
      <c r="F124" s="141">
        <f>Calculations!F111*(1+$D$20)</f>
        <v>0</v>
      </c>
      <c r="G124" s="141">
        <f>Calculations!G111*(1+$D$20)</f>
        <v>0</v>
      </c>
      <c r="H124" s="141">
        <f>Calculations!H111*(1+$D$20)</f>
        <v>0</v>
      </c>
      <c r="I124" s="141">
        <f>Calculations!I111*(1+$D$20)</f>
        <v>0</v>
      </c>
      <c r="J124" s="141">
        <f>Calculations!J111*(1+$D$20)</f>
        <v>0</v>
      </c>
      <c r="K124" s="141">
        <f>Calculations!K111*(1+$D$20)</f>
        <v>0</v>
      </c>
      <c r="L124" s="141">
        <f>Calculations!L111*(1+$D$20)</f>
        <v>0</v>
      </c>
      <c r="M124" s="141">
        <f>Calculations!M111*(1+$D$20)</f>
        <v>0</v>
      </c>
      <c r="N124" s="141">
        <f>Calculations!N111*(1+$D$20)</f>
        <v>0</v>
      </c>
      <c r="O124" s="141">
        <f>Calculations!O111*(1+$D$20)</f>
        <v>0</v>
      </c>
      <c r="P124" s="141">
        <f>Calculations!P111*(1+$D$20)</f>
        <v>0</v>
      </c>
      <c r="Q124" s="141">
        <f>Calculations!Q111*(1+$D$20)</f>
        <v>0</v>
      </c>
      <c r="R124" s="141">
        <f>Calculations!R111*(1+$D$20)</f>
        <v>0</v>
      </c>
      <c r="S124" s="141">
        <f>Calculations!S111*(1+$D$20)</f>
        <v>0</v>
      </c>
      <c r="T124" s="141">
        <f>Calculations!T111*(1+$D$20)</f>
        <v>0</v>
      </c>
      <c r="U124" s="141">
        <f>Calculations!U111*(1+$D$20)</f>
        <v>0</v>
      </c>
      <c r="V124" s="141">
        <f>Calculations!V111*(1+$D$20)</f>
        <v>0</v>
      </c>
      <c r="W124" s="141">
        <f>Calculations!W111*(1+$D$20)</f>
        <v>0</v>
      </c>
      <c r="X124" s="141">
        <f>Calculations!X111*(1+$D$20)</f>
        <v>0</v>
      </c>
      <c r="Y124" s="141">
        <f>Calculations!Y111*(1+$D$20)</f>
        <v>0</v>
      </c>
      <c r="Z124" s="287"/>
    </row>
    <row r="125" spans="2:26" ht="13.5" thickBot="1" x14ac:dyDescent="0.25">
      <c r="B125" s="107"/>
      <c r="C125" s="137" t="str">
        <f>'User Input'!D145</f>
        <v>Negative Impact on Revenue (STPIS)</v>
      </c>
      <c r="D125" s="195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46"/>
      <c r="Z125" s="287"/>
    </row>
    <row r="126" spans="2:26" ht="13.5" thickBot="1" x14ac:dyDescent="0.25">
      <c r="B126" s="107"/>
      <c r="C126" s="136" t="str">
        <f>'User Input'!D146</f>
        <v>SAIFI sustained</v>
      </c>
      <c r="D126" s="67">
        <f t="shared" ref="D126:D143" si="14">SUM(E126:Y126)</f>
        <v>0</v>
      </c>
      <c r="E126" s="259">
        <v>0</v>
      </c>
      <c r="F126" s="259">
        <v>0</v>
      </c>
      <c r="G126" s="64">
        <f>Calculations!G113*(1+$D$22)</f>
        <v>0</v>
      </c>
      <c r="H126" s="64">
        <f>Calculations!H113*(1+$D$22)</f>
        <v>0</v>
      </c>
      <c r="I126" s="64">
        <f>Calculations!I113*(1+$D$22)</f>
        <v>0</v>
      </c>
      <c r="J126" s="64">
        <f>Calculations!J113*(1+$D$22)</f>
        <v>0</v>
      </c>
      <c r="K126" s="64">
        <f>Calculations!K113*(1+$D$22)</f>
        <v>0</v>
      </c>
      <c r="L126" s="64">
        <f>Calculations!L113*(1+$D$22)</f>
        <v>0</v>
      </c>
      <c r="M126" s="64">
        <f>Calculations!M113*(1+$D$22)</f>
        <v>0</v>
      </c>
      <c r="N126" s="64">
        <f>Calculations!N113*(1+$D$22)</f>
        <v>0</v>
      </c>
      <c r="O126" s="64">
        <f>Calculations!O113*(1+$D$22)</f>
        <v>0</v>
      </c>
      <c r="P126" s="64">
        <f>Calculations!P113*(1+$D$22)</f>
        <v>0</v>
      </c>
      <c r="Q126" s="64">
        <f>Calculations!Q113*(1+$D$22)</f>
        <v>0</v>
      </c>
      <c r="R126" s="64">
        <f>Calculations!R113*(1+$D$22)</f>
        <v>0</v>
      </c>
      <c r="S126" s="64">
        <f>Calculations!S113*(1+$D$22)</f>
        <v>0</v>
      </c>
      <c r="T126" s="64">
        <f>Calculations!T113*(1+$D$22)</f>
        <v>0</v>
      </c>
      <c r="U126" s="64">
        <f>Calculations!U113*(1+$D$22)</f>
        <v>0</v>
      </c>
      <c r="V126" s="64">
        <f>Calculations!V113*(1+$D$22)</f>
        <v>0</v>
      </c>
      <c r="W126" s="64">
        <f>Calculations!W113*(1+$D$22)</f>
        <v>0</v>
      </c>
      <c r="X126" s="64">
        <f>Calculations!X113*(1+$D$22)</f>
        <v>0</v>
      </c>
      <c r="Y126" s="64">
        <f>Calculations!Y113*(1+$D$22)</f>
        <v>0</v>
      </c>
      <c r="Z126" s="287"/>
    </row>
    <row r="127" spans="2:26" ht="13.5" thickBot="1" x14ac:dyDescent="0.25">
      <c r="B127" s="107"/>
      <c r="C127" s="136" t="str">
        <f>'User Input'!D147</f>
        <v>SAIDI accidental</v>
      </c>
      <c r="D127" s="67">
        <f t="shared" si="14"/>
        <v>0</v>
      </c>
      <c r="E127" s="259">
        <v>0</v>
      </c>
      <c r="F127" s="259">
        <v>0</v>
      </c>
      <c r="G127" s="64">
        <f>Calculations!G114*(1+$D$21)</f>
        <v>0</v>
      </c>
      <c r="H127" s="64">
        <f>Calculations!H114*(1+$D$21)</f>
        <v>0</v>
      </c>
      <c r="I127" s="64">
        <f>Calculations!I114*(1+$D$21)</f>
        <v>0</v>
      </c>
      <c r="J127" s="64">
        <f>Calculations!J114*(1+$D$21)</f>
        <v>0</v>
      </c>
      <c r="K127" s="64">
        <f>Calculations!K114*(1+$D$21)</f>
        <v>0</v>
      </c>
      <c r="L127" s="64">
        <f>Calculations!L114*(1+$D$21)</f>
        <v>0</v>
      </c>
      <c r="M127" s="64">
        <f>Calculations!M114*(1+$D$21)</f>
        <v>0</v>
      </c>
      <c r="N127" s="64">
        <f>Calculations!N114*(1+$D$21)</f>
        <v>0</v>
      </c>
      <c r="O127" s="64">
        <f>Calculations!O114*(1+$D$21)</f>
        <v>0</v>
      </c>
      <c r="P127" s="64">
        <f>Calculations!P114*(1+$D$21)</f>
        <v>0</v>
      </c>
      <c r="Q127" s="64">
        <f>Calculations!Q114*(1+$D$21)</f>
        <v>0</v>
      </c>
      <c r="R127" s="64">
        <f>Calculations!R114*(1+$D$21)</f>
        <v>0</v>
      </c>
      <c r="S127" s="64">
        <f>Calculations!S114*(1+$D$21)</f>
        <v>0</v>
      </c>
      <c r="T127" s="64">
        <f>Calculations!T114*(1+$D$21)</f>
        <v>0</v>
      </c>
      <c r="U127" s="64">
        <f>Calculations!U114*(1+$D$21)</f>
        <v>0</v>
      </c>
      <c r="V127" s="64">
        <f>Calculations!V114*(1+$D$21)</f>
        <v>0</v>
      </c>
      <c r="W127" s="64">
        <f>Calculations!W114*(1+$D$21)</f>
        <v>0</v>
      </c>
      <c r="X127" s="64">
        <f>Calculations!X114*(1+$D$21)</f>
        <v>0</v>
      </c>
      <c r="Y127" s="64">
        <f>Calculations!Y114*(1+$D$21)</f>
        <v>0</v>
      </c>
      <c r="Z127" s="287"/>
    </row>
    <row r="128" spans="2:26" ht="13.5" thickBot="1" x14ac:dyDescent="0.25">
      <c r="B128" s="107"/>
      <c r="C128" s="136" t="str">
        <f>'User Input'!D148</f>
        <v>MAIFI momentary</v>
      </c>
      <c r="D128" s="67">
        <f t="shared" si="14"/>
        <v>0</v>
      </c>
      <c r="E128" s="259">
        <v>0</v>
      </c>
      <c r="F128" s="259">
        <v>0</v>
      </c>
      <c r="G128" s="141">
        <f>Calculations!G115*(1+$D$23)</f>
        <v>0</v>
      </c>
      <c r="H128" s="141">
        <f>Calculations!H115*(1+$D$23)</f>
        <v>0</v>
      </c>
      <c r="I128" s="141">
        <f>Calculations!I115*(1+$D$23)</f>
        <v>0</v>
      </c>
      <c r="J128" s="141">
        <f>Calculations!J115*(1+$D$23)</f>
        <v>0</v>
      </c>
      <c r="K128" s="141">
        <f>Calculations!K115*(1+$D$23)</f>
        <v>0</v>
      </c>
      <c r="L128" s="141">
        <f>Calculations!L115*(1+$D$23)</f>
        <v>0</v>
      </c>
      <c r="M128" s="141">
        <f>Calculations!M115*(1+$D$23)</f>
        <v>0</v>
      </c>
      <c r="N128" s="141">
        <f>Calculations!N115*(1+$D$23)</f>
        <v>0</v>
      </c>
      <c r="O128" s="141">
        <f>Calculations!O115*(1+$D$23)</f>
        <v>0</v>
      </c>
      <c r="P128" s="141">
        <f>Calculations!P115*(1+$D$23)</f>
        <v>0</v>
      </c>
      <c r="Q128" s="141">
        <f>Calculations!Q115*(1+$D$23)</f>
        <v>0</v>
      </c>
      <c r="R128" s="141">
        <f>Calculations!R115*(1+$D$23)</f>
        <v>0</v>
      </c>
      <c r="S128" s="141">
        <f>Calculations!S115*(1+$D$23)</f>
        <v>0</v>
      </c>
      <c r="T128" s="141">
        <f>Calculations!T115*(1+$D$23)</f>
        <v>0</v>
      </c>
      <c r="U128" s="141">
        <f>Calculations!U115*(1+$D$23)</f>
        <v>0</v>
      </c>
      <c r="V128" s="141">
        <f>Calculations!V115*(1+$D$23)</f>
        <v>0</v>
      </c>
      <c r="W128" s="141">
        <f>Calculations!W115*(1+$D$23)</f>
        <v>0</v>
      </c>
      <c r="X128" s="141">
        <f>Calculations!X115*(1+$D$23)</f>
        <v>0</v>
      </c>
      <c r="Y128" s="141">
        <f>Calculations!Y115*(1+$D$23)</f>
        <v>0</v>
      </c>
      <c r="Z128" s="287"/>
    </row>
    <row r="129" spans="1:26" ht="13.5" thickBot="1" x14ac:dyDescent="0.25">
      <c r="B129" s="107"/>
      <c r="C129" s="136" t="str">
        <f>'User Input'!D149</f>
        <v>Call centre response</v>
      </c>
      <c r="D129" s="67">
        <f t="shared" si="14"/>
        <v>0</v>
      </c>
      <c r="E129" s="259">
        <v>0</v>
      </c>
      <c r="F129" s="259">
        <v>0</v>
      </c>
      <c r="G129" s="141">
        <f>Calculations!G116*(1+$D$20)</f>
        <v>0</v>
      </c>
      <c r="H129" s="141">
        <f>Calculations!H116*(1+$D$20)</f>
        <v>0</v>
      </c>
      <c r="I129" s="141">
        <f>Calculations!I116*(1+$D$20)</f>
        <v>0</v>
      </c>
      <c r="J129" s="141">
        <f>Calculations!J116*(1+$D$20)</f>
        <v>0</v>
      </c>
      <c r="K129" s="141">
        <f>Calculations!K116*(1+$D$20)</f>
        <v>0</v>
      </c>
      <c r="L129" s="141">
        <f>Calculations!L116*(1+$D$20)</f>
        <v>0</v>
      </c>
      <c r="M129" s="141">
        <f>Calculations!M116*(1+$D$20)</f>
        <v>0</v>
      </c>
      <c r="N129" s="141">
        <f>Calculations!N116*(1+$D$20)</f>
        <v>0</v>
      </c>
      <c r="O129" s="141">
        <f>Calculations!O116*(1+$D$20)</f>
        <v>0</v>
      </c>
      <c r="P129" s="141">
        <f>Calculations!P116*(1+$D$20)</f>
        <v>0</v>
      </c>
      <c r="Q129" s="141">
        <f>Calculations!Q116*(1+$D$20)</f>
        <v>0</v>
      </c>
      <c r="R129" s="141">
        <f>Calculations!R116*(1+$D$20)</f>
        <v>0</v>
      </c>
      <c r="S129" s="141">
        <f>Calculations!S116*(1+$D$20)</f>
        <v>0</v>
      </c>
      <c r="T129" s="141">
        <f>Calculations!T116*(1+$D$20)</f>
        <v>0</v>
      </c>
      <c r="U129" s="141">
        <f>Calculations!U116*(1+$D$20)</f>
        <v>0</v>
      </c>
      <c r="V129" s="141">
        <f>Calculations!V116*(1+$D$20)</f>
        <v>0</v>
      </c>
      <c r="W129" s="141">
        <f>Calculations!W116*(1+$D$20)</f>
        <v>0</v>
      </c>
      <c r="X129" s="141">
        <f>Calculations!X116*(1+$D$20)</f>
        <v>0</v>
      </c>
      <c r="Y129" s="141">
        <f>Calculations!Y116*(1+$D$20)</f>
        <v>0</v>
      </c>
      <c r="Z129" s="287"/>
    </row>
    <row r="130" spans="1:26" ht="13.5" thickBot="1" x14ac:dyDescent="0.25">
      <c r="A130" s="143"/>
      <c r="B130" s="144"/>
      <c r="C130" s="137" t="str">
        <f>'User Input'!D151</f>
        <v>Network Outage Costs</v>
      </c>
      <c r="D130" s="67">
        <f t="shared" si="14"/>
        <v>0</v>
      </c>
      <c r="E130" s="141">
        <f>Calculations!E117*(1+$D$20)</f>
        <v>0</v>
      </c>
      <c r="F130" s="141">
        <f>Calculations!F117*(1+$D$20)</f>
        <v>0</v>
      </c>
      <c r="G130" s="141">
        <f>Calculations!G117*(1+$D$20)</f>
        <v>0</v>
      </c>
      <c r="H130" s="141">
        <f>Calculations!H117*(1+$D$20)</f>
        <v>0</v>
      </c>
      <c r="I130" s="141">
        <f>Calculations!I117*(1+$D$20)</f>
        <v>0</v>
      </c>
      <c r="J130" s="141">
        <f>Calculations!J117*(1+$D$20)</f>
        <v>0</v>
      </c>
      <c r="K130" s="141">
        <f>Calculations!K117*(1+$D$20)</f>
        <v>0</v>
      </c>
      <c r="L130" s="141">
        <f>Calculations!L117*(1+$D$20)</f>
        <v>0</v>
      </c>
      <c r="M130" s="141">
        <f>Calculations!M117*(1+$D$20)</f>
        <v>0</v>
      </c>
      <c r="N130" s="141">
        <f>Calculations!N117*(1+$D$20)</f>
        <v>0</v>
      </c>
      <c r="O130" s="141">
        <f>Calculations!O117*(1+$D$20)</f>
        <v>0</v>
      </c>
      <c r="P130" s="141">
        <f>Calculations!P117*(1+$D$20)</f>
        <v>0</v>
      </c>
      <c r="Q130" s="141">
        <f>Calculations!Q117*(1+$D$20)</f>
        <v>0</v>
      </c>
      <c r="R130" s="141">
        <f>Calculations!R117*(1+$D$20)</f>
        <v>0</v>
      </c>
      <c r="S130" s="141">
        <f>Calculations!S117*(1+$D$20)</f>
        <v>0</v>
      </c>
      <c r="T130" s="141">
        <f>Calculations!T117*(1+$D$20)</f>
        <v>0</v>
      </c>
      <c r="U130" s="141">
        <f>Calculations!U117*(1+$D$20)</f>
        <v>0</v>
      </c>
      <c r="V130" s="141">
        <f>Calculations!V117*(1+$D$20)</f>
        <v>0</v>
      </c>
      <c r="W130" s="141">
        <f>Calculations!W117*(1+$D$20)</f>
        <v>0</v>
      </c>
      <c r="X130" s="141">
        <f>Calculations!X117*(1+$D$20)</f>
        <v>0</v>
      </c>
      <c r="Y130" s="141">
        <f>Calculations!Y117*(1+$D$20)</f>
        <v>0</v>
      </c>
      <c r="Z130" s="287"/>
    </row>
    <row r="131" spans="1:26" ht="13.5" thickBot="1" x14ac:dyDescent="0.25">
      <c r="A131" s="143"/>
      <c r="B131" s="144"/>
      <c r="C131" s="137" t="str">
        <f>'User Input'!D155</f>
        <v>Loss of F Factor Benefit</v>
      </c>
      <c r="D131" s="67">
        <f t="shared" si="14"/>
        <v>0</v>
      </c>
      <c r="E131" s="141">
        <f>Calculations!E118*(1+$D$20)</f>
        <v>0</v>
      </c>
      <c r="F131" s="141">
        <f>Calculations!F118*(1+$D$20)</f>
        <v>0</v>
      </c>
      <c r="G131" s="141">
        <f>Calculations!G118*(1+$D$20)</f>
        <v>0</v>
      </c>
      <c r="H131" s="141">
        <f>Calculations!H118*(1+$D$20)</f>
        <v>0</v>
      </c>
      <c r="I131" s="141">
        <f>Calculations!I118*(1+$D$20)</f>
        <v>0</v>
      </c>
      <c r="J131" s="141">
        <f>Calculations!J118*(1+$D$20)</f>
        <v>0</v>
      </c>
      <c r="K131" s="141">
        <f>Calculations!K118*(1+$D$20)</f>
        <v>0</v>
      </c>
      <c r="L131" s="141">
        <f>Calculations!L118*(1+$D$20)</f>
        <v>0</v>
      </c>
      <c r="M131" s="141">
        <f>Calculations!M118*(1+$D$20)</f>
        <v>0</v>
      </c>
      <c r="N131" s="141">
        <f>Calculations!N118*(1+$D$20)</f>
        <v>0</v>
      </c>
      <c r="O131" s="141">
        <f>Calculations!O118*(1+$D$20)</f>
        <v>0</v>
      </c>
      <c r="P131" s="141">
        <f>Calculations!P118*(1+$D$20)</f>
        <v>0</v>
      </c>
      <c r="Q131" s="141">
        <f>Calculations!Q118*(1+$D$20)</f>
        <v>0</v>
      </c>
      <c r="R131" s="141">
        <f>Calculations!R118*(1+$D$20)</f>
        <v>0</v>
      </c>
      <c r="S131" s="141">
        <f>Calculations!S118*(1+$D$20)</f>
        <v>0</v>
      </c>
      <c r="T131" s="141">
        <f>Calculations!T118*(1+$D$20)</f>
        <v>0</v>
      </c>
      <c r="U131" s="141">
        <f>Calculations!U118*(1+$D$20)</f>
        <v>0</v>
      </c>
      <c r="V131" s="141">
        <f>Calculations!V118*(1+$D$20)</f>
        <v>0</v>
      </c>
      <c r="W131" s="141">
        <f>Calculations!W118*(1+$D$20)</f>
        <v>0</v>
      </c>
      <c r="X131" s="141">
        <f>Calculations!X118*(1+$D$20)</f>
        <v>0</v>
      </c>
      <c r="Y131" s="141">
        <f>Calculations!Y118*(1+$D$20)</f>
        <v>0</v>
      </c>
      <c r="Z131" s="287"/>
    </row>
    <row r="132" spans="1:26" ht="13.5" thickBot="1" x14ac:dyDescent="0.25">
      <c r="B132" s="107"/>
      <c r="C132" s="137" t="str">
        <f>'User Input'!D158</f>
        <v>Cost 1</v>
      </c>
      <c r="D132" s="67">
        <f t="shared" si="14"/>
        <v>0</v>
      </c>
      <c r="E132" s="141">
        <f>Calculations!E119*(1+$D$20)</f>
        <v>0</v>
      </c>
      <c r="F132" s="141">
        <f>Calculations!F119*(1+$D$20)</f>
        <v>0</v>
      </c>
      <c r="G132" s="141">
        <f>Calculations!G119*(1+$D$20)</f>
        <v>0</v>
      </c>
      <c r="H132" s="141">
        <f>Calculations!H119*(1+$D$20)</f>
        <v>0</v>
      </c>
      <c r="I132" s="141">
        <f>Calculations!I119*(1+$D$20)</f>
        <v>0</v>
      </c>
      <c r="J132" s="141">
        <f>Calculations!J119*(1+$D$20)</f>
        <v>0</v>
      </c>
      <c r="K132" s="141">
        <f>Calculations!K119*(1+$D$20)</f>
        <v>0</v>
      </c>
      <c r="L132" s="141">
        <f>Calculations!L119*(1+$D$20)</f>
        <v>0</v>
      </c>
      <c r="M132" s="141">
        <f>Calculations!M119*(1+$D$20)</f>
        <v>0</v>
      </c>
      <c r="N132" s="141">
        <f>Calculations!N119*(1+$D$20)</f>
        <v>0</v>
      </c>
      <c r="O132" s="141">
        <f>Calculations!O119*(1+$D$20)</f>
        <v>0</v>
      </c>
      <c r="P132" s="141">
        <f>Calculations!P119*(1+$D$20)</f>
        <v>0</v>
      </c>
      <c r="Q132" s="141">
        <f>Calculations!Q119*(1+$D$20)</f>
        <v>0</v>
      </c>
      <c r="R132" s="141">
        <f>Calculations!R119*(1+$D$20)</f>
        <v>0</v>
      </c>
      <c r="S132" s="141">
        <f>Calculations!S119*(1+$D$20)</f>
        <v>0</v>
      </c>
      <c r="T132" s="141">
        <f>Calculations!T119*(1+$D$20)</f>
        <v>0</v>
      </c>
      <c r="U132" s="141">
        <f>Calculations!U119*(1+$D$20)</f>
        <v>0</v>
      </c>
      <c r="V132" s="141">
        <f>Calculations!V119*(1+$D$20)</f>
        <v>0</v>
      </c>
      <c r="W132" s="141">
        <f>Calculations!W119*(1+$D$20)</f>
        <v>0</v>
      </c>
      <c r="X132" s="141">
        <f>Calculations!X119*(1+$D$20)</f>
        <v>0</v>
      </c>
      <c r="Y132" s="141">
        <f>Calculations!Y119*(1+$D$20)</f>
        <v>0</v>
      </c>
      <c r="Z132" s="287"/>
    </row>
    <row r="133" spans="1:26" ht="13.5" thickBot="1" x14ac:dyDescent="0.25">
      <c r="B133" s="107"/>
      <c r="C133" s="137" t="str">
        <f>'User Input'!D159</f>
        <v>Cost 2</v>
      </c>
      <c r="D133" s="67">
        <f t="shared" si="14"/>
        <v>0</v>
      </c>
      <c r="E133" s="141">
        <f>Calculations!E120*(1+$D$20)</f>
        <v>0</v>
      </c>
      <c r="F133" s="141">
        <f>Calculations!F120*(1+$D$20)</f>
        <v>0</v>
      </c>
      <c r="G133" s="141">
        <f>Calculations!G120*(1+$D$20)</f>
        <v>0</v>
      </c>
      <c r="H133" s="141">
        <f>Calculations!H120*(1+$D$20)</f>
        <v>0</v>
      </c>
      <c r="I133" s="141">
        <f>Calculations!I120*(1+$D$20)</f>
        <v>0</v>
      </c>
      <c r="J133" s="141">
        <f>Calculations!J120*(1+$D$20)</f>
        <v>0</v>
      </c>
      <c r="K133" s="141">
        <f>Calculations!K120*(1+$D$20)</f>
        <v>0</v>
      </c>
      <c r="L133" s="141">
        <f>Calculations!L120*(1+$D$20)</f>
        <v>0</v>
      </c>
      <c r="M133" s="141">
        <f>Calculations!M120*(1+$D$20)</f>
        <v>0</v>
      </c>
      <c r="N133" s="141">
        <f>Calculations!N120*(1+$D$20)</f>
        <v>0</v>
      </c>
      <c r="O133" s="141">
        <f>Calculations!O120*(1+$D$20)</f>
        <v>0</v>
      </c>
      <c r="P133" s="141">
        <f>Calculations!P120*(1+$D$20)</f>
        <v>0</v>
      </c>
      <c r="Q133" s="141">
        <f>Calculations!Q120*(1+$D$20)</f>
        <v>0</v>
      </c>
      <c r="R133" s="141">
        <f>Calculations!R120*(1+$D$20)</f>
        <v>0</v>
      </c>
      <c r="S133" s="141">
        <f>Calculations!S120*(1+$D$20)</f>
        <v>0</v>
      </c>
      <c r="T133" s="141">
        <f>Calculations!T120*(1+$D$20)</f>
        <v>0</v>
      </c>
      <c r="U133" s="141">
        <f>Calculations!U120*(1+$D$20)</f>
        <v>0</v>
      </c>
      <c r="V133" s="141">
        <f>Calculations!V120*(1+$D$20)</f>
        <v>0</v>
      </c>
      <c r="W133" s="141">
        <f>Calculations!W120*(1+$D$20)</f>
        <v>0</v>
      </c>
      <c r="X133" s="141">
        <f>Calculations!X120*(1+$D$20)</f>
        <v>0</v>
      </c>
      <c r="Y133" s="141">
        <f>Calculations!Y120*(1+$D$20)</f>
        <v>0</v>
      </c>
      <c r="Z133" s="287"/>
    </row>
    <row r="134" spans="1:26" ht="13.5" thickBot="1" x14ac:dyDescent="0.25">
      <c r="B134" s="107"/>
      <c r="C134" s="137" t="str">
        <f>'User Input'!D160</f>
        <v>Cost 3</v>
      </c>
      <c r="D134" s="67">
        <f t="shared" si="14"/>
        <v>0</v>
      </c>
      <c r="E134" s="141">
        <f>Calculations!E121*(1+$D$20)</f>
        <v>0</v>
      </c>
      <c r="F134" s="141">
        <f>Calculations!F121*(1+$D$20)</f>
        <v>0</v>
      </c>
      <c r="G134" s="141">
        <f>Calculations!G121*(1+$D$20)</f>
        <v>0</v>
      </c>
      <c r="H134" s="141">
        <f>Calculations!H121*(1+$D$20)</f>
        <v>0</v>
      </c>
      <c r="I134" s="141">
        <f>Calculations!I121*(1+$D$20)</f>
        <v>0</v>
      </c>
      <c r="J134" s="141">
        <f>Calculations!J121*(1+$D$20)</f>
        <v>0</v>
      </c>
      <c r="K134" s="141">
        <f>Calculations!K121*(1+$D$20)</f>
        <v>0</v>
      </c>
      <c r="L134" s="141">
        <f>Calculations!L121*(1+$D$20)</f>
        <v>0</v>
      </c>
      <c r="M134" s="141">
        <f>Calculations!M121*(1+$D$20)</f>
        <v>0</v>
      </c>
      <c r="N134" s="141">
        <f>Calculations!N121*(1+$D$20)</f>
        <v>0</v>
      </c>
      <c r="O134" s="141">
        <f>Calculations!O121*(1+$D$20)</f>
        <v>0</v>
      </c>
      <c r="P134" s="141">
        <f>Calculations!P121*(1+$D$20)</f>
        <v>0</v>
      </c>
      <c r="Q134" s="141">
        <f>Calculations!Q121*(1+$D$20)</f>
        <v>0</v>
      </c>
      <c r="R134" s="141">
        <f>Calculations!R121*(1+$D$20)</f>
        <v>0</v>
      </c>
      <c r="S134" s="141">
        <f>Calculations!S121*(1+$D$20)</f>
        <v>0</v>
      </c>
      <c r="T134" s="141">
        <f>Calculations!T121*(1+$D$20)</f>
        <v>0</v>
      </c>
      <c r="U134" s="141">
        <f>Calculations!U121*(1+$D$20)</f>
        <v>0</v>
      </c>
      <c r="V134" s="141">
        <f>Calculations!V121*(1+$D$20)</f>
        <v>0</v>
      </c>
      <c r="W134" s="141">
        <f>Calculations!W121*(1+$D$20)</f>
        <v>0</v>
      </c>
      <c r="X134" s="141">
        <f>Calculations!X121*(1+$D$20)</f>
        <v>0</v>
      </c>
      <c r="Y134" s="141">
        <f>Calculations!Y121*(1+$D$20)</f>
        <v>0</v>
      </c>
      <c r="Z134" s="287"/>
    </row>
    <row r="135" spans="1:26" ht="13.5" thickBot="1" x14ac:dyDescent="0.25">
      <c r="B135" s="107"/>
      <c r="C135" s="137" t="str">
        <f>'User Input'!D161</f>
        <v>Cost 4</v>
      </c>
      <c r="D135" s="67">
        <f t="shared" si="14"/>
        <v>0</v>
      </c>
      <c r="E135" s="141">
        <f>Calculations!E122*(1+$D$20)</f>
        <v>0</v>
      </c>
      <c r="F135" s="141">
        <f>Calculations!F122*(1+$D$20)</f>
        <v>0</v>
      </c>
      <c r="G135" s="141">
        <f>Calculations!G122*(1+$D$20)</f>
        <v>0</v>
      </c>
      <c r="H135" s="141">
        <f>Calculations!H122*(1+$D$20)</f>
        <v>0</v>
      </c>
      <c r="I135" s="141">
        <f>Calculations!I122*(1+$D$20)</f>
        <v>0</v>
      </c>
      <c r="J135" s="141">
        <f>Calculations!J122*(1+$D$20)</f>
        <v>0</v>
      </c>
      <c r="K135" s="141">
        <f>Calculations!K122*(1+$D$20)</f>
        <v>0</v>
      </c>
      <c r="L135" s="141">
        <f>Calculations!L122*(1+$D$20)</f>
        <v>0</v>
      </c>
      <c r="M135" s="141">
        <f>Calculations!M122*(1+$D$20)</f>
        <v>0</v>
      </c>
      <c r="N135" s="141">
        <f>Calculations!N122*(1+$D$20)</f>
        <v>0</v>
      </c>
      <c r="O135" s="141">
        <f>Calculations!O122*(1+$D$20)</f>
        <v>0</v>
      </c>
      <c r="P135" s="141">
        <f>Calculations!P122*(1+$D$20)</f>
        <v>0</v>
      </c>
      <c r="Q135" s="141">
        <f>Calculations!Q122*(1+$D$20)</f>
        <v>0</v>
      </c>
      <c r="R135" s="141">
        <f>Calculations!R122*(1+$D$20)</f>
        <v>0</v>
      </c>
      <c r="S135" s="141">
        <f>Calculations!S122*(1+$D$20)</f>
        <v>0</v>
      </c>
      <c r="T135" s="141">
        <f>Calculations!T122*(1+$D$20)</f>
        <v>0</v>
      </c>
      <c r="U135" s="141">
        <f>Calculations!U122*(1+$D$20)</f>
        <v>0</v>
      </c>
      <c r="V135" s="141">
        <f>Calculations!V122*(1+$D$20)</f>
        <v>0</v>
      </c>
      <c r="W135" s="141">
        <f>Calculations!W122*(1+$D$20)</f>
        <v>0</v>
      </c>
      <c r="X135" s="141">
        <f>Calculations!X122*(1+$D$20)</f>
        <v>0</v>
      </c>
      <c r="Y135" s="141">
        <f>Calculations!Y122*(1+$D$20)</f>
        <v>0</v>
      </c>
      <c r="Z135" s="287"/>
    </row>
    <row r="136" spans="1:26" ht="13.5" thickBot="1" x14ac:dyDescent="0.25">
      <c r="B136" s="107"/>
      <c r="C136" s="137" t="str">
        <f>'User Input'!D162</f>
        <v>Cost 5</v>
      </c>
      <c r="D136" s="67">
        <f t="shared" si="14"/>
        <v>0</v>
      </c>
      <c r="E136" s="141">
        <f>Calculations!E123*(1+$D$20)</f>
        <v>0</v>
      </c>
      <c r="F136" s="141">
        <f>Calculations!F123*(1+$D$20)</f>
        <v>0</v>
      </c>
      <c r="G136" s="141">
        <f>Calculations!G123*(1+$D$20)</f>
        <v>0</v>
      </c>
      <c r="H136" s="141">
        <f>Calculations!H123*(1+$D$20)</f>
        <v>0</v>
      </c>
      <c r="I136" s="141">
        <f>Calculations!I123*(1+$D$20)</f>
        <v>0</v>
      </c>
      <c r="J136" s="141">
        <f>Calculations!J123*(1+$D$20)</f>
        <v>0</v>
      </c>
      <c r="K136" s="141">
        <f>Calculations!K123*(1+$D$20)</f>
        <v>0</v>
      </c>
      <c r="L136" s="141">
        <f>Calculations!L123*(1+$D$20)</f>
        <v>0</v>
      </c>
      <c r="M136" s="141">
        <f>Calculations!M123*(1+$D$20)</f>
        <v>0</v>
      </c>
      <c r="N136" s="141">
        <f>Calculations!N123*(1+$D$20)</f>
        <v>0</v>
      </c>
      <c r="O136" s="141">
        <f>Calculations!O123*(1+$D$20)</f>
        <v>0</v>
      </c>
      <c r="P136" s="141">
        <f>Calculations!P123*(1+$D$20)</f>
        <v>0</v>
      </c>
      <c r="Q136" s="141">
        <f>Calculations!Q123*(1+$D$20)</f>
        <v>0</v>
      </c>
      <c r="R136" s="141">
        <f>Calculations!R123*(1+$D$20)</f>
        <v>0</v>
      </c>
      <c r="S136" s="141">
        <f>Calculations!S123*(1+$D$20)</f>
        <v>0</v>
      </c>
      <c r="T136" s="141">
        <f>Calculations!T123*(1+$D$20)</f>
        <v>0</v>
      </c>
      <c r="U136" s="141">
        <f>Calculations!U123*(1+$D$20)</f>
        <v>0</v>
      </c>
      <c r="V136" s="141">
        <f>Calculations!V123*(1+$D$20)</f>
        <v>0</v>
      </c>
      <c r="W136" s="141">
        <f>Calculations!W123*(1+$D$20)</f>
        <v>0</v>
      </c>
      <c r="X136" s="141">
        <f>Calculations!X123*(1+$D$20)</f>
        <v>0</v>
      </c>
      <c r="Y136" s="141">
        <f>Calculations!Y123*(1+$D$20)</f>
        <v>0</v>
      </c>
      <c r="Z136" s="287"/>
    </row>
    <row r="137" spans="1:26" ht="13.5" thickBot="1" x14ac:dyDescent="0.25">
      <c r="B137" s="107"/>
      <c r="C137" s="137" t="str">
        <f>'User Input'!D163</f>
        <v>Risk 1</v>
      </c>
      <c r="D137" s="67">
        <f>SUM(E137:Y137)</f>
        <v>0</v>
      </c>
      <c r="E137" s="141">
        <f>Calculations!E124*(1+$D$20)</f>
        <v>0</v>
      </c>
      <c r="F137" s="141">
        <f>Calculations!F124*(1+$D$20)</f>
        <v>0</v>
      </c>
      <c r="G137" s="141">
        <f>Calculations!G124*(1+$D$20)</f>
        <v>0</v>
      </c>
      <c r="H137" s="141">
        <f>Calculations!H124*(1+$D$20)</f>
        <v>0</v>
      </c>
      <c r="I137" s="141">
        <f>Calculations!I124*(1+$D$20)</f>
        <v>0</v>
      </c>
      <c r="J137" s="141">
        <f>Calculations!J124*(1+$D$20)</f>
        <v>0</v>
      </c>
      <c r="K137" s="141">
        <f>Calculations!K124*(1+$D$20)</f>
        <v>0</v>
      </c>
      <c r="L137" s="141">
        <f>Calculations!L124*(1+$D$20)</f>
        <v>0</v>
      </c>
      <c r="M137" s="141">
        <f>Calculations!M124*(1+$D$20)</f>
        <v>0</v>
      </c>
      <c r="N137" s="141">
        <f>Calculations!N124*(1+$D$20)</f>
        <v>0</v>
      </c>
      <c r="O137" s="141">
        <f>Calculations!O124*(1+$D$20)</f>
        <v>0</v>
      </c>
      <c r="P137" s="141">
        <f>Calculations!P124*(1+$D$20)</f>
        <v>0</v>
      </c>
      <c r="Q137" s="141">
        <f>Calculations!Q124*(1+$D$20)</f>
        <v>0</v>
      </c>
      <c r="R137" s="141">
        <f>Calculations!R124*(1+$D$20)</f>
        <v>0</v>
      </c>
      <c r="S137" s="141">
        <f>Calculations!S124*(1+$D$20)</f>
        <v>0</v>
      </c>
      <c r="T137" s="141">
        <f>Calculations!T124*(1+$D$20)</f>
        <v>0</v>
      </c>
      <c r="U137" s="141">
        <f>Calculations!U124*(1+$D$20)</f>
        <v>0</v>
      </c>
      <c r="V137" s="141">
        <f>Calculations!V124*(1+$D$20)</f>
        <v>0</v>
      </c>
      <c r="W137" s="141">
        <f>Calculations!W124*(1+$D$20)</f>
        <v>0</v>
      </c>
      <c r="X137" s="141">
        <f>Calculations!X124*(1+$D$20)</f>
        <v>0</v>
      </c>
      <c r="Y137" s="141">
        <f>Calculations!Y124*(1+$D$20)</f>
        <v>0</v>
      </c>
      <c r="Z137" s="287"/>
    </row>
    <row r="138" spans="1:26" ht="13.5" thickBot="1" x14ac:dyDescent="0.25">
      <c r="B138" s="107"/>
      <c r="C138" s="137" t="str">
        <f>'User Input'!D164</f>
        <v>Risk 2</v>
      </c>
      <c r="D138" s="67">
        <f>SUM(E138:Y138)</f>
        <v>0</v>
      </c>
      <c r="E138" s="141">
        <f>Calculations!E125*(1+$D$20)</f>
        <v>0</v>
      </c>
      <c r="F138" s="141">
        <f>Calculations!F125*(1+$D$20)</f>
        <v>0</v>
      </c>
      <c r="G138" s="141">
        <f>Calculations!G125*(1+$D$20)</f>
        <v>0</v>
      </c>
      <c r="H138" s="141">
        <f>Calculations!H125*(1+$D$20)</f>
        <v>0</v>
      </c>
      <c r="I138" s="141">
        <f>Calculations!I125*(1+$D$20)</f>
        <v>0</v>
      </c>
      <c r="J138" s="141">
        <f>Calculations!J125*(1+$D$20)</f>
        <v>0</v>
      </c>
      <c r="K138" s="141">
        <f>Calculations!K125*(1+$D$20)</f>
        <v>0</v>
      </c>
      <c r="L138" s="141">
        <f>Calculations!L125*(1+$D$20)</f>
        <v>0</v>
      </c>
      <c r="M138" s="141">
        <f>Calculations!M125*(1+$D$20)</f>
        <v>0</v>
      </c>
      <c r="N138" s="141">
        <f>Calculations!N125*(1+$D$20)</f>
        <v>0</v>
      </c>
      <c r="O138" s="141">
        <f>Calculations!O125*(1+$D$20)</f>
        <v>0</v>
      </c>
      <c r="P138" s="141">
        <f>Calculations!P125*(1+$D$20)</f>
        <v>0</v>
      </c>
      <c r="Q138" s="141">
        <f>Calculations!Q125*(1+$D$20)</f>
        <v>0</v>
      </c>
      <c r="R138" s="141">
        <f>Calculations!R125*(1+$D$20)</f>
        <v>0</v>
      </c>
      <c r="S138" s="141">
        <f>Calculations!S125*(1+$D$20)</f>
        <v>0</v>
      </c>
      <c r="T138" s="141">
        <f>Calculations!T125*(1+$D$20)</f>
        <v>0</v>
      </c>
      <c r="U138" s="141">
        <f>Calculations!U125*(1+$D$20)</f>
        <v>0</v>
      </c>
      <c r="V138" s="141">
        <f>Calculations!V125*(1+$D$20)</f>
        <v>0</v>
      </c>
      <c r="W138" s="141">
        <f>Calculations!W125*(1+$D$20)</f>
        <v>0</v>
      </c>
      <c r="X138" s="141">
        <f>Calculations!X125*(1+$D$20)</f>
        <v>0</v>
      </c>
      <c r="Y138" s="141">
        <f>Calculations!Y125*(1+$D$20)</f>
        <v>0</v>
      </c>
      <c r="Z138" s="287"/>
    </row>
    <row r="139" spans="1:26" ht="13.5" thickBot="1" x14ac:dyDescent="0.25">
      <c r="B139" s="107"/>
      <c r="C139" s="137" t="str">
        <f>'User Input'!D165</f>
        <v>Risk 3</v>
      </c>
      <c r="D139" s="67">
        <f>SUM(E139:Y139)</f>
        <v>0</v>
      </c>
      <c r="E139" s="141">
        <f>Calculations!E126*(1+$D$20)</f>
        <v>0</v>
      </c>
      <c r="F139" s="141">
        <f>Calculations!F126*(1+$D$20)</f>
        <v>0</v>
      </c>
      <c r="G139" s="141">
        <f>Calculations!G126*(1+$D$20)</f>
        <v>0</v>
      </c>
      <c r="H139" s="141">
        <f>Calculations!H126*(1+$D$20)</f>
        <v>0</v>
      </c>
      <c r="I139" s="141">
        <f>Calculations!I126*(1+$D$20)</f>
        <v>0</v>
      </c>
      <c r="J139" s="141">
        <f>Calculations!J126*(1+$D$20)</f>
        <v>0</v>
      </c>
      <c r="K139" s="141">
        <f>Calculations!K126*(1+$D$20)</f>
        <v>0</v>
      </c>
      <c r="L139" s="141">
        <f>Calculations!L126*(1+$D$20)</f>
        <v>0</v>
      </c>
      <c r="M139" s="141">
        <f>Calculations!M126*(1+$D$20)</f>
        <v>0</v>
      </c>
      <c r="N139" s="141">
        <f>Calculations!N126*(1+$D$20)</f>
        <v>0</v>
      </c>
      <c r="O139" s="141">
        <f>Calculations!O126*(1+$D$20)</f>
        <v>0</v>
      </c>
      <c r="P139" s="141">
        <f>Calculations!P126*(1+$D$20)</f>
        <v>0</v>
      </c>
      <c r="Q139" s="141">
        <f>Calculations!Q126*(1+$D$20)</f>
        <v>0</v>
      </c>
      <c r="R139" s="141">
        <f>Calculations!R126*(1+$D$20)</f>
        <v>0</v>
      </c>
      <c r="S139" s="141">
        <f>Calculations!S126*(1+$D$20)</f>
        <v>0</v>
      </c>
      <c r="T139" s="141">
        <f>Calculations!T126*(1+$D$20)</f>
        <v>0</v>
      </c>
      <c r="U139" s="141">
        <f>Calculations!U126*(1+$D$20)</f>
        <v>0</v>
      </c>
      <c r="V139" s="141">
        <f>Calculations!V126*(1+$D$20)</f>
        <v>0</v>
      </c>
      <c r="W139" s="141">
        <f>Calculations!W126*(1+$D$20)</f>
        <v>0</v>
      </c>
      <c r="X139" s="141">
        <f>Calculations!X126*(1+$D$20)</f>
        <v>0</v>
      </c>
      <c r="Y139" s="141">
        <f>Calculations!Y126*(1+$D$20)</f>
        <v>0</v>
      </c>
      <c r="Z139" s="287"/>
    </row>
    <row r="140" spans="1:26" ht="13.5" thickBot="1" x14ac:dyDescent="0.25">
      <c r="B140" s="107"/>
      <c r="C140" s="137" t="str">
        <f>'User Input'!D166</f>
        <v>Risk 4</v>
      </c>
      <c r="D140" s="67">
        <f>SUM(E140:Y140)</f>
        <v>0</v>
      </c>
      <c r="E140" s="141">
        <f>Calculations!E127*(1+$D$20)</f>
        <v>0</v>
      </c>
      <c r="F140" s="141">
        <f>Calculations!F127*(1+$D$20)</f>
        <v>0</v>
      </c>
      <c r="G140" s="141">
        <f>Calculations!G127*(1+$D$20)</f>
        <v>0</v>
      </c>
      <c r="H140" s="141">
        <f>Calculations!H127*(1+$D$20)</f>
        <v>0</v>
      </c>
      <c r="I140" s="141">
        <f>Calculations!I127*(1+$D$20)</f>
        <v>0</v>
      </c>
      <c r="J140" s="141">
        <f>Calculations!J127*(1+$D$20)</f>
        <v>0</v>
      </c>
      <c r="K140" s="141">
        <f>Calculations!K127*(1+$D$20)</f>
        <v>0</v>
      </c>
      <c r="L140" s="141">
        <f>Calculations!L127*(1+$D$20)</f>
        <v>0</v>
      </c>
      <c r="M140" s="141">
        <f>Calculations!M127*(1+$D$20)</f>
        <v>0</v>
      </c>
      <c r="N140" s="141">
        <f>Calculations!N127*(1+$D$20)</f>
        <v>0</v>
      </c>
      <c r="O140" s="141">
        <f>Calculations!O127*(1+$D$20)</f>
        <v>0</v>
      </c>
      <c r="P140" s="141">
        <f>Calculations!P127*(1+$D$20)</f>
        <v>0</v>
      </c>
      <c r="Q140" s="141">
        <f>Calculations!Q127*(1+$D$20)</f>
        <v>0</v>
      </c>
      <c r="R140" s="141">
        <f>Calculations!R127*(1+$D$20)</f>
        <v>0</v>
      </c>
      <c r="S140" s="141">
        <f>Calculations!S127*(1+$D$20)</f>
        <v>0</v>
      </c>
      <c r="T140" s="141">
        <f>Calculations!T127*(1+$D$20)</f>
        <v>0</v>
      </c>
      <c r="U140" s="141">
        <f>Calculations!U127*(1+$D$20)</f>
        <v>0</v>
      </c>
      <c r="V140" s="141">
        <f>Calculations!V127*(1+$D$20)</f>
        <v>0</v>
      </c>
      <c r="W140" s="141">
        <f>Calculations!W127*(1+$D$20)</f>
        <v>0</v>
      </c>
      <c r="X140" s="141">
        <f>Calculations!X127*(1+$D$20)</f>
        <v>0</v>
      </c>
      <c r="Y140" s="141">
        <f>Calculations!Y127*(1+$D$20)</f>
        <v>0</v>
      </c>
      <c r="Z140" s="287"/>
    </row>
    <row r="141" spans="1:26" ht="13.5" thickBot="1" x14ac:dyDescent="0.25">
      <c r="B141" s="107"/>
      <c r="C141" s="137" t="str">
        <f>'User Input'!D167</f>
        <v>Risk 5</v>
      </c>
      <c r="D141" s="67">
        <f>SUM(E141:Y141)</f>
        <v>0</v>
      </c>
      <c r="E141" s="141">
        <f>Calculations!E128*(1+$D$20)</f>
        <v>0</v>
      </c>
      <c r="F141" s="141">
        <f>Calculations!F128*(1+$D$20)</f>
        <v>0</v>
      </c>
      <c r="G141" s="141">
        <f>Calculations!G128*(1+$D$20)</f>
        <v>0</v>
      </c>
      <c r="H141" s="141">
        <f>Calculations!H128*(1+$D$20)</f>
        <v>0</v>
      </c>
      <c r="I141" s="141">
        <f>Calculations!I128*(1+$D$20)</f>
        <v>0</v>
      </c>
      <c r="J141" s="141">
        <f>Calculations!J128*(1+$D$20)</f>
        <v>0</v>
      </c>
      <c r="K141" s="141">
        <f>Calculations!K128*(1+$D$20)</f>
        <v>0</v>
      </c>
      <c r="L141" s="141">
        <f>Calculations!L128*(1+$D$20)</f>
        <v>0</v>
      </c>
      <c r="M141" s="141">
        <f>Calculations!M128*(1+$D$20)</f>
        <v>0</v>
      </c>
      <c r="N141" s="141">
        <f>Calculations!N128*(1+$D$20)</f>
        <v>0</v>
      </c>
      <c r="O141" s="141">
        <f>Calculations!O128*(1+$D$20)</f>
        <v>0</v>
      </c>
      <c r="P141" s="141">
        <f>Calculations!P128*(1+$D$20)</f>
        <v>0</v>
      </c>
      <c r="Q141" s="141">
        <f>Calculations!Q128*(1+$D$20)</f>
        <v>0</v>
      </c>
      <c r="R141" s="141">
        <f>Calculations!R128*(1+$D$20)</f>
        <v>0</v>
      </c>
      <c r="S141" s="141">
        <f>Calculations!S128*(1+$D$20)</f>
        <v>0</v>
      </c>
      <c r="T141" s="141">
        <f>Calculations!T128*(1+$D$20)</f>
        <v>0</v>
      </c>
      <c r="U141" s="141">
        <f>Calculations!U128*(1+$D$20)</f>
        <v>0</v>
      </c>
      <c r="V141" s="141">
        <f>Calculations!V128*(1+$D$20)</f>
        <v>0</v>
      </c>
      <c r="W141" s="141">
        <f>Calculations!W128*(1+$D$20)</f>
        <v>0</v>
      </c>
      <c r="X141" s="141">
        <f>Calculations!X128*(1+$D$20)</f>
        <v>0</v>
      </c>
      <c r="Y141" s="141">
        <f>Calculations!Y128*(1+$D$20)</f>
        <v>0</v>
      </c>
      <c r="Z141" s="287"/>
    </row>
    <row r="142" spans="1:26" ht="13.5" thickBot="1" x14ac:dyDescent="0.25">
      <c r="B142" s="107"/>
      <c r="C142" s="53" t="s">
        <v>2</v>
      </c>
      <c r="D142" s="67">
        <f t="shared" si="14"/>
        <v>0</v>
      </c>
      <c r="E142" s="68">
        <f>SUM(E123:E141)</f>
        <v>0</v>
      </c>
      <c r="F142" s="69">
        <f t="shared" ref="F142:Y142" si="15">SUM(F123:F141)</f>
        <v>0</v>
      </c>
      <c r="G142" s="69">
        <f t="shared" si="15"/>
        <v>0</v>
      </c>
      <c r="H142" s="69">
        <f t="shared" si="15"/>
        <v>0</v>
      </c>
      <c r="I142" s="69">
        <f t="shared" si="15"/>
        <v>0</v>
      </c>
      <c r="J142" s="69">
        <f t="shared" si="15"/>
        <v>0</v>
      </c>
      <c r="K142" s="69">
        <f t="shared" si="15"/>
        <v>0</v>
      </c>
      <c r="L142" s="69">
        <f t="shared" si="15"/>
        <v>0</v>
      </c>
      <c r="M142" s="69">
        <f t="shared" si="15"/>
        <v>0</v>
      </c>
      <c r="N142" s="69">
        <f t="shared" si="15"/>
        <v>0</v>
      </c>
      <c r="O142" s="69">
        <f t="shared" si="15"/>
        <v>0</v>
      </c>
      <c r="P142" s="69">
        <f t="shared" si="15"/>
        <v>0</v>
      </c>
      <c r="Q142" s="69">
        <f t="shared" si="15"/>
        <v>0</v>
      </c>
      <c r="R142" s="69">
        <f t="shared" si="15"/>
        <v>0</v>
      </c>
      <c r="S142" s="69">
        <f t="shared" si="15"/>
        <v>0</v>
      </c>
      <c r="T142" s="69">
        <f t="shared" si="15"/>
        <v>0</v>
      </c>
      <c r="U142" s="69">
        <f t="shared" si="15"/>
        <v>0</v>
      </c>
      <c r="V142" s="69">
        <f t="shared" si="15"/>
        <v>0</v>
      </c>
      <c r="W142" s="69">
        <f t="shared" si="15"/>
        <v>0</v>
      </c>
      <c r="X142" s="69">
        <f t="shared" si="15"/>
        <v>0</v>
      </c>
      <c r="Y142" s="150">
        <f t="shared" si="15"/>
        <v>0</v>
      </c>
      <c r="Z142" s="287"/>
    </row>
    <row r="143" spans="1:26" ht="13.5" thickBot="1" x14ac:dyDescent="0.25">
      <c r="B143" s="107"/>
      <c r="C143" s="54" t="s">
        <v>50</v>
      </c>
      <c r="D143" s="67">
        <f t="shared" si="14"/>
        <v>0</v>
      </c>
      <c r="E143" s="77">
        <f t="shared" ref="E143:Y143" si="16">E142/E$13</f>
        <v>0</v>
      </c>
      <c r="F143" s="77">
        <f t="shared" si="16"/>
        <v>0</v>
      </c>
      <c r="G143" s="77">
        <f t="shared" si="16"/>
        <v>0</v>
      </c>
      <c r="H143" s="77">
        <f t="shared" si="16"/>
        <v>0</v>
      </c>
      <c r="I143" s="77">
        <f t="shared" si="16"/>
        <v>0</v>
      </c>
      <c r="J143" s="77">
        <f t="shared" si="16"/>
        <v>0</v>
      </c>
      <c r="K143" s="77">
        <f t="shared" si="16"/>
        <v>0</v>
      </c>
      <c r="L143" s="77">
        <f t="shared" si="16"/>
        <v>0</v>
      </c>
      <c r="M143" s="77">
        <f t="shared" si="16"/>
        <v>0</v>
      </c>
      <c r="N143" s="77">
        <f t="shared" si="16"/>
        <v>0</v>
      </c>
      <c r="O143" s="77">
        <f t="shared" si="16"/>
        <v>0</v>
      </c>
      <c r="P143" s="77">
        <f t="shared" si="16"/>
        <v>0</v>
      </c>
      <c r="Q143" s="77">
        <f t="shared" si="16"/>
        <v>0</v>
      </c>
      <c r="R143" s="77">
        <f t="shared" si="16"/>
        <v>0</v>
      </c>
      <c r="S143" s="77">
        <f t="shared" si="16"/>
        <v>0</v>
      </c>
      <c r="T143" s="77">
        <f t="shared" si="16"/>
        <v>0</v>
      </c>
      <c r="U143" s="77">
        <f t="shared" si="16"/>
        <v>0</v>
      </c>
      <c r="V143" s="77">
        <f t="shared" si="16"/>
        <v>0</v>
      </c>
      <c r="W143" s="77">
        <f t="shared" si="16"/>
        <v>0</v>
      </c>
      <c r="X143" s="77">
        <f t="shared" si="16"/>
        <v>0</v>
      </c>
      <c r="Y143" s="77">
        <f t="shared" si="16"/>
        <v>0</v>
      </c>
      <c r="Z143" s="287"/>
    </row>
    <row r="144" spans="1:26" x14ac:dyDescent="0.2">
      <c r="B144" s="227"/>
      <c r="C144" s="294"/>
      <c r="D144" s="294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3"/>
      <c r="Z144" s="290"/>
    </row>
    <row r="145" spans="1:26" x14ac:dyDescent="0.2">
      <c r="B145" s="371" t="str">
        <f>'User Input'!D169</f>
        <v xml:space="preserve">Option 5: </v>
      </c>
      <c r="C145" s="367"/>
      <c r="D145" s="372"/>
      <c r="E145" s="369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0"/>
    </row>
    <row r="146" spans="1:26" ht="13.5" thickBot="1" x14ac:dyDescent="0.25">
      <c r="B146" s="20"/>
      <c r="C146" s="59"/>
      <c r="D146" s="59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185"/>
      <c r="Z146" s="287"/>
    </row>
    <row r="147" spans="1:26" ht="13.5" thickBot="1" x14ac:dyDescent="0.25">
      <c r="B147" s="52"/>
      <c r="C147" s="29" t="s">
        <v>76</v>
      </c>
      <c r="D147" s="67">
        <f>SUM(E147:Y147)</f>
        <v>0</v>
      </c>
      <c r="E147" s="141">
        <f>Calculations!E134*(1+$D$19)</f>
        <v>0</v>
      </c>
      <c r="F147" s="141">
        <f>Calculations!F134*(1+$D$19)</f>
        <v>0</v>
      </c>
      <c r="G147" s="141">
        <f>Calculations!G134*(1+$D$19)</f>
        <v>0</v>
      </c>
      <c r="H147" s="141">
        <f>Calculations!H134*(1+$D$19)</f>
        <v>0</v>
      </c>
      <c r="I147" s="141">
        <f>Calculations!I134*(1+$D$19)</f>
        <v>0</v>
      </c>
      <c r="J147" s="141">
        <f>Calculations!J134*(1+$D$19)</f>
        <v>0</v>
      </c>
      <c r="K147" s="141">
        <f>Calculations!K134*(1+$D$19)</f>
        <v>0</v>
      </c>
      <c r="L147" s="141">
        <f>Calculations!L134*(1+$D$19)</f>
        <v>0</v>
      </c>
      <c r="M147" s="141">
        <f>Calculations!M134*(1+$D$19)</f>
        <v>0</v>
      </c>
      <c r="N147" s="141">
        <f>Calculations!N134*(1+$D$19)</f>
        <v>0</v>
      </c>
      <c r="O147" s="141">
        <f>Calculations!O134*(1+$D$19)</f>
        <v>0</v>
      </c>
      <c r="P147" s="141">
        <f>Calculations!P134*(1+$D$19)</f>
        <v>0</v>
      </c>
      <c r="Q147" s="141">
        <f>Calculations!Q134*(1+$D$19)</f>
        <v>0</v>
      </c>
      <c r="R147" s="141">
        <f>Calculations!R134*(1+$D$19)</f>
        <v>0</v>
      </c>
      <c r="S147" s="141">
        <f>Calculations!S134*(1+$D$19)</f>
        <v>0</v>
      </c>
      <c r="T147" s="141">
        <f>Calculations!T134*(1+$D$19)</f>
        <v>0</v>
      </c>
      <c r="U147" s="141">
        <f>Calculations!U134*(1+$D$19)</f>
        <v>0</v>
      </c>
      <c r="V147" s="141">
        <f>Calculations!V134*(1+$D$19)</f>
        <v>0</v>
      </c>
      <c r="W147" s="141">
        <f>Calculations!W134*(1+$D$19)</f>
        <v>0</v>
      </c>
      <c r="X147" s="141">
        <f>Calculations!X134*(1+$D$19)</f>
        <v>0</v>
      </c>
      <c r="Y147" s="141">
        <f>Calculations!Y134*(1+$D$19)</f>
        <v>0</v>
      </c>
      <c r="Z147" s="287"/>
    </row>
    <row r="148" spans="1:26" ht="13.5" thickBot="1" x14ac:dyDescent="0.25">
      <c r="B148" s="107"/>
      <c r="C148" s="137" t="str">
        <f>'User Input'!D172</f>
        <v>Maintenance Costs</v>
      </c>
      <c r="D148" s="67">
        <f>SUM(E148:Y148)</f>
        <v>0</v>
      </c>
      <c r="E148" s="141">
        <f>Calculations!E135*(1+$D$20)</f>
        <v>0</v>
      </c>
      <c r="F148" s="141">
        <f>Calculations!F135*(1+$D$20)</f>
        <v>0</v>
      </c>
      <c r="G148" s="141">
        <f>Calculations!G135*(1+$D$20)</f>
        <v>0</v>
      </c>
      <c r="H148" s="141">
        <f>Calculations!H135*(1+$D$20)</f>
        <v>0</v>
      </c>
      <c r="I148" s="141">
        <f>Calculations!I135*(1+$D$20)</f>
        <v>0</v>
      </c>
      <c r="J148" s="141">
        <f>Calculations!J135*(1+$D$20)</f>
        <v>0</v>
      </c>
      <c r="K148" s="141">
        <f>Calculations!K135*(1+$D$20)</f>
        <v>0</v>
      </c>
      <c r="L148" s="141">
        <f>Calculations!L135*(1+$D$20)</f>
        <v>0</v>
      </c>
      <c r="M148" s="141">
        <f>Calculations!M135*(1+$D$20)</f>
        <v>0</v>
      </c>
      <c r="N148" s="141">
        <f>Calculations!N135*(1+$D$20)</f>
        <v>0</v>
      </c>
      <c r="O148" s="141">
        <f>Calculations!O135*(1+$D$20)</f>
        <v>0</v>
      </c>
      <c r="P148" s="141">
        <f>Calculations!P135*(1+$D$20)</f>
        <v>0</v>
      </c>
      <c r="Q148" s="141">
        <f>Calculations!Q135*(1+$D$20)</f>
        <v>0</v>
      </c>
      <c r="R148" s="141">
        <f>Calculations!R135*(1+$D$20)</f>
        <v>0</v>
      </c>
      <c r="S148" s="141">
        <f>Calculations!S135*(1+$D$20)</f>
        <v>0</v>
      </c>
      <c r="T148" s="141">
        <f>Calculations!T135*(1+$D$20)</f>
        <v>0</v>
      </c>
      <c r="U148" s="141">
        <f>Calculations!U135*(1+$D$20)</f>
        <v>0</v>
      </c>
      <c r="V148" s="141">
        <f>Calculations!V135*(1+$D$20)</f>
        <v>0</v>
      </c>
      <c r="W148" s="141">
        <f>Calculations!W135*(1+$D$20)</f>
        <v>0</v>
      </c>
      <c r="X148" s="141">
        <f>Calculations!X135*(1+$D$20)</f>
        <v>0</v>
      </c>
      <c r="Y148" s="141">
        <f>Calculations!Y135*(1+$D$20)</f>
        <v>0</v>
      </c>
      <c r="Z148" s="287"/>
    </row>
    <row r="149" spans="1:26" ht="13.5" thickBot="1" x14ac:dyDescent="0.25">
      <c r="B149" s="107"/>
      <c r="C149" s="137" t="str">
        <f>'User Input'!D174</f>
        <v>Negative Impact on Revenue (STPIS)</v>
      </c>
      <c r="D149" s="195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46"/>
      <c r="Z149" s="287"/>
    </row>
    <row r="150" spans="1:26" ht="13.5" thickBot="1" x14ac:dyDescent="0.25">
      <c r="B150" s="107"/>
      <c r="C150" s="136" t="str">
        <f>'User Input'!D175</f>
        <v>SAIFI sustained</v>
      </c>
      <c r="D150" s="67">
        <f t="shared" ref="D150:D167" si="17">SUM(E150:Y150)</f>
        <v>0</v>
      </c>
      <c r="E150" s="259">
        <v>0</v>
      </c>
      <c r="F150" s="259">
        <v>0</v>
      </c>
      <c r="G150" s="64">
        <f>Calculations!G137*(1+$D$22)</f>
        <v>0</v>
      </c>
      <c r="H150" s="64">
        <f>Calculations!H137*(1+$D$22)</f>
        <v>0</v>
      </c>
      <c r="I150" s="64">
        <f>Calculations!I137*(1+$D$22)</f>
        <v>0</v>
      </c>
      <c r="J150" s="64">
        <f>Calculations!J137*(1+$D$22)</f>
        <v>0</v>
      </c>
      <c r="K150" s="64">
        <f>Calculations!K137*(1+$D$22)</f>
        <v>0</v>
      </c>
      <c r="L150" s="64">
        <f>Calculations!L137*(1+$D$22)</f>
        <v>0</v>
      </c>
      <c r="M150" s="64">
        <f>Calculations!M137*(1+$D$22)</f>
        <v>0</v>
      </c>
      <c r="N150" s="64">
        <f>Calculations!N137*(1+$D$22)</f>
        <v>0</v>
      </c>
      <c r="O150" s="64">
        <f>Calculations!O137*(1+$D$22)</f>
        <v>0</v>
      </c>
      <c r="P150" s="64">
        <f>Calculations!P137*(1+$D$22)</f>
        <v>0</v>
      </c>
      <c r="Q150" s="64">
        <f>Calculations!Q137*(1+$D$22)</f>
        <v>0</v>
      </c>
      <c r="R150" s="64">
        <f>Calculations!R137*(1+$D$22)</f>
        <v>0</v>
      </c>
      <c r="S150" s="64">
        <f>Calculations!S137*(1+$D$22)</f>
        <v>0</v>
      </c>
      <c r="T150" s="64">
        <f>Calculations!T137*(1+$D$22)</f>
        <v>0</v>
      </c>
      <c r="U150" s="64">
        <f>Calculations!U137*(1+$D$22)</f>
        <v>0</v>
      </c>
      <c r="V150" s="64">
        <f>Calculations!V137*(1+$D$22)</f>
        <v>0</v>
      </c>
      <c r="W150" s="64">
        <f>Calculations!W137*(1+$D$22)</f>
        <v>0</v>
      </c>
      <c r="X150" s="64">
        <f>Calculations!X137*(1+$D$22)</f>
        <v>0</v>
      </c>
      <c r="Y150" s="64">
        <f>Calculations!Y137*(1+$D$22)</f>
        <v>0</v>
      </c>
      <c r="Z150" s="287"/>
    </row>
    <row r="151" spans="1:26" ht="13.5" thickBot="1" x14ac:dyDescent="0.25">
      <c r="B151" s="107"/>
      <c r="C151" s="136" t="str">
        <f>'User Input'!D176</f>
        <v>SAIDI accidental</v>
      </c>
      <c r="D151" s="67">
        <f t="shared" si="17"/>
        <v>0</v>
      </c>
      <c r="E151" s="259">
        <v>0</v>
      </c>
      <c r="F151" s="259">
        <v>0</v>
      </c>
      <c r="G151" s="64">
        <f>Calculations!G138*(1+$D$21)</f>
        <v>0</v>
      </c>
      <c r="H151" s="64">
        <f>Calculations!H138*(1+$D$21)</f>
        <v>0</v>
      </c>
      <c r="I151" s="64">
        <f>Calculations!I138*(1+$D$21)</f>
        <v>0</v>
      </c>
      <c r="J151" s="64">
        <f>Calculations!J138*(1+$D$21)</f>
        <v>0</v>
      </c>
      <c r="K151" s="64">
        <f>Calculations!K138*(1+$D$21)</f>
        <v>0</v>
      </c>
      <c r="L151" s="64">
        <f>Calculations!L138*(1+$D$21)</f>
        <v>0</v>
      </c>
      <c r="M151" s="64">
        <f>Calculations!M138*(1+$D$21)</f>
        <v>0</v>
      </c>
      <c r="N151" s="64">
        <f>Calculations!N138*(1+$D$21)</f>
        <v>0</v>
      </c>
      <c r="O151" s="64">
        <f>Calculations!O138*(1+$D$21)</f>
        <v>0</v>
      </c>
      <c r="P151" s="64">
        <f>Calculations!P138*(1+$D$21)</f>
        <v>0</v>
      </c>
      <c r="Q151" s="64">
        <f>Calculations!Q138*(1+$D$21)</f>
        <v>0</v>
      </c>
      <c r="R151" s="64">
        <f>Calculations!R138*(1+$D$21)</f>
        <v>0</v>
      </c>
      <c r="S151" s="64">
        <f>Calculations!S138*(1+$D$21)</f>
        <v>0</v>
      </c>
      <c r="T151" s="64">
        <f>Calculations!T138*(1+$D$21)</f>
        <v>0</v>
      </c>
      <c r="U151" s="64">
        <f>Calculations!U138*(1+$D$21)</f>
        <v>0</v>
      </c>
      <c r="V151" s="64">
        <f>Calculations!V138*(1+$D$21)</f>
        <v>0</v>
      </c>
      <c r="W151" s="64">
        <f>Calculations!W138*(1+$D$21)</f>
        <v>0</v>
      </c>
      <c r="X151" s="64">
        <f>Calculations!X138*(1+$D$21)</f>
        <v>0</v>
      </c>
      <c r="Y151" s="64">
        <f>Calculations!Y138*(1+$D$21)</f>
        <v>0</v>
      </c>
      <c r="Z151" s="287"/>
    </row>
    <row r="152" spans="1:26" ht="13.5" thickBot="1" x14ac:dyDescent="0.25">
      <c r="B152" s="107"/>
      <c r="C152" s="136" t="str">
        <f>'User Input'!D177</f>
        <v>MAIFI momentary</v>
      </c>
      <c r="D152" s="67">
        <f t="shared" si="17"/>
        <v>0</v>
      </c>
      <c r="E152" s="259">
        <v>0</v>
      </c>
      <c r="F152" s="259">
        <v>0</v>
      </c>
      <c r="G152" s="141">
        <f>Calculations!G139*(1+$D$23)</f>
        <v>0</v>
      </c>
      <c r="H152" s="141">
        <f>Calculations!H139*(1+$D$23)</f>
        <v>0</v>
      </c>
      <c r="I152" s="141">
        <f>Calculations!I139*(1+$D$23)</f>
        <v>0</v>
      </c>
      <c r="J152" s="141">
        <f>Calculations!J139*(1+$D$23)</f>
        <v>0</v>
      </c>
      <c r="K152" s="141">
        <f>Calculations!K139*(1+$D$23)</f>
        <v>0</v>
      </c>
      <c r="L152" s="141">
        <f>Calculations!L139*(1+$D$23)</f>
        <v>0</v>
      </c>
      <c r="M152" s="141">
        <f>Calculations!M139*(1+$D$23)</f>
        <v>0</v>
      </c>
      <c r="N152" s="141">
        <f>Calculations!N139*(1+$D$23)</f>
        <v>0</v>
      </c>
      <c r="O152" s="141">
        <f>Calculations!O139*(1+$D$23)</f>
        <v>0</v>
      </c>
      <c r="P152" s="141">
        <f>Calculations!P139*(1+$D$23)</f>
        <v>0</v>
      </c>
      <c r="Q152" s="141">
        <f>Calculations!Q139*(1+$D$23)</f>
        <v>0</v>
      </c>
      <c r="R152" s="141">
        <f>Calculations!R139*(1+$D$23)</f>
        <v>0</v>
      </c>
      <c r="S152" s="141">
        <f>Calculations!S139*(1+$D$23)</f>
        <v>0</v>
      </c>
      <c r="T152" s="141">
        <f>Calculations!T139*(1+$D$23)</f>
        <v>0</v>
      </c>
      <c r="U152" s="141">
        <f>Calculations!U139*(1+$D$23)</f>
        <v>0</v>
      </c>
      <c r="V152" s="141">
        <f>Calculations!V139*(1+$D$23)</f>
        <v>0</v>
      </c>
      <c r="W152" s="141">
        <f>Calculations!W139*(1+$D$23)</f>
        <v>0</v>
      </c>
      <c r="X152" s="141">
        <f>Calculations!X139*(1+$D$23)</f>
        <v>0</v>
      </c>
      <c r="Y152" s="141">
        <f>Calculations!Y139*(1+$D$23)</f>
        <v>0</v>
      </c>
      <c r="Z152" s="287"/>
    </row>
    <row r="153" spans="1:26" ht="13.5" thickBot="1" x14ac:dyDescent="0.25">
      <c r="B153" s="107"/>
      <c r="C153" s="136" t="str">
        <f>'User Input'!D178</f>
        <v>Call centre response</v>
      </c>
      <c r="D153" s="67">
        <f t="shared" si="17"/>
        <v>0</v>
      </c>
      <c r="E153" s="259">
        <v>0</v>
      </c>
      <c r="F153" s="259">
        <v>0</v>
      </c>
      <c r="G153" s="141">
        <f>Calculations!G140*(1+$D$20)</f>
        <v>0</v>
      </c>
      <c r="H153" s="141">
        <f>Calculations!H140*(1+$D$20)</f>
        <v>0</v>
      </c>
      <c r="I153" s="141">
        <f>Calculations!I140*(1+$D$20)</f>
        <v>0</v>
      </c>
      <c r="J153" s="141">
        <f>Calculations!J140*(1+$D$20)</f>
        <v>0</v>
      </c>
      <c r="K153" s="141">
        <f>Calculations!K140*(1+$D$20)</f>
        <v>0</v>
      </c>
      <c r="L153" s="141">
        <f>Calculations!L140*(1+$D$20)</f>
        <v>0</v>
      </c>
      <c r="M153" s="141">
        <f>Calculations!M140*(1+$D$20)</f>
        <v>0</v>
      </c>
      <c r="N153" s="141">
        <f>Calculations!N140*(1+$D$20)</f>
        <v>0</v>
      </c>
      <c r="O153" s="141">
        <f>Calculations!O140*(1+$D$20)</f>
        <v>0</v>
      </c>
      <c r="P153" s="141">
        <f>Calculations!P140*(1+$D$20)</f>
        <v>0</v>
      </c>
      <c r="Q153" s="141">
        <f>Calculations!Q140*(1+$D$20)</f>
        <v>0</v>
      </c>
      <c r="R153" s="141">
        <f>Calculations!R140*(1+$D$20)</f>
        <v>0</v>
      </c>
      <c r="S153" s="141">
        <f>Calculations!S140*(1+$D$20)</f>
        <v>0</v>
      </c>
      <c r="T153" s="141">
        <f>Calculations!T140*(1+$D$20)</f>
        <v>0</v>
      </c>
      <c r="U153" s="141">
        <f>Calculations!U140*(1+$D$20)</f>
        <v>0</v>
      </c>
      <c r="V153" s="141">
        <f>Calculations!V140*(1+$D$20)</f>
        <v>0</v>
      </c>
      <c r="W153" s="141">
        <f>Calculations!W140*(1+$D$20)</f>
        <v>0</v>
      </c>
      <c r="X153" s="141">
        <f>Calculations!X140*(1+$D$20)</f>
        <v>0</v>
      </c>
      <c r="Y153" s="141">
        <f>Calculations!Y140*(1+$D$20)</f>
        <v>0</v>
      </c>
      <c r="Z153" s="287"/>
    </row>
    <row r="154" spans="1:26" ht="13.5" thickBot="1" x14ac:dyDescent="0.25">
      <c r="A154" s="143"/>
      <c r="B154" s="144"/>
      <c r="C154" s="137" t="str">
        <f>'User Input'!D180</f>
        <v>Network Outage Costs</v>
      </c>
      <c r="D154" s="67">
        <f t="shared" si="17"/>
        <v>0</v>
      </c>
      <c r="E154" s="141">
        <f>Calculations!E141*(1+$D$20)</f>
        <v>0</v>
      </c>
      <c r="F154" s="141">
        <f>Calculations!F141*(1+$D$20)</f>
        <v>0</v>
      </c>
      <c r="G154" s="141">
        <f>Calculations!G141*(1+$D$20)</f>
        <v>0</v>
      </c>
      <c r="H154" s="141">
        <f>Calculations!H141*(1+$D$20)</f>
        <v>0</v>
      </c>
      <c r="I154" s="141">
        <f>Calculations!I141*(1+$D$20)</f>
        <v>0</v>
      </c>
      <c r="J154" s="141">
        <f>Calculations!J141*(1+$D$20)</f>
        <v>0</v>
      </c>
      <c r="K154" s="141">
        <f>Calculations!K141*(1+$D$20)</f>
        <v>0</v>
      </c>
      <c r="L154" s="141">
        <f>Calculations!L141*(1+$D$20)</f>
        <v>0</v>
      </c>
      <c r="M154" s="141">
        <f>Calculations!M141*(1+$D$20)</f>
        <v>0</v>
      </c>
      <c r="N154" s="141">
        <f>Calculations!N141*(1+$D$20)</f>
        <v>0</v>
      </c>
      <c r="O154" s="141">
        <f>Calculations!O141*(1+$D$20)</f>
        <v>0</v>
      </c>
      <c r="P154" s="141">
        <f>Calculations!P141*(1+$D$20)</f>
        <v>0</v>
      </c>
      <c r="Q154" s="141">
        <f>Calculations!Q141*(1+$D$20)</f>
        <v>0</v>
      </c>
      <c r="R154" s="141">
        <f>Calculations!R141*(1+$D$20)</f>
        <v>0</v>
      </c>
      <c r="S154" s="141">
        <f>Calculations!S141*(1+$D$20)</f>
        <v>0</v>
      </c>
      <c r="T154" s="141">
        <f>Calculations!T141*(1+$D$20)</f>
        <v>0</v>
      </c>
      <c r="U154" s="141">
        <f>Calculations!U141*(1+$D$20)</f>
        <v>0</v>
      </c>
      <c r="V154" s="141">
        <f>Calculations!V141*(1+$D$20)</f>
        <v>0</v>
      </c>
      <c r="W154" s="141">
        <f>Calculations!W141*(1+$D$20)</f>
        <v>0</v>
      </c>
      <c r="X154" s="141">
        <f>Calculations!X141*(1+$D$20)</f>
        <v>0</v>
      </c>
      <c r="Y154" s="141">
        <f>Calculations!Y141*(1+$D$20)</f>
        <v>0</v>
      </c>
      <c r="Z154" s="287"/>
    </row>
    <row r="155" spans="1:26" ht="13.5" thickBot="1" x14ac:dyDescent="0.25">
      <c r="A155" s="143"/>
      <c r="B155" s="144"/>
      <c r="C155" s="137" t="str">
        <f>'User Input'!D184</f>
        <v>Loss of F Factor Benefit</v>
      </c>
      <c r="D155" s="67">
        <f t="shared" si="17"/>
        <v>0</v>
      </c>
      <c r="E155" s="141">
        <f>Calculations!E142*(1+$D$20)</f>
        <v>0</v>
      </c>
      <c r="F155" s="141">
        <f>Calculations!F142*(1+$D$20)</f>
        <v>0</v>
      </c>
      <c r="G155" s="141">
        <f>Calculations!G142*(1+$D$20)</f>
        <v>0</v>
      </c>
      <c r="H155" s="141">
        <f>Calculations!H142*(1+$D$20)</f>
        <v>0</v>
      </c>
      <c r="I155" s="141">
        <f>Calculations!I142*(1+$D$20)</f>
        <v>0</v>
      </c>
      <c r="J155" s="141">
        <f>Calculations!J142*(1+$D$20)</f>
        <v>0</v>
      </c>
      <c r="K155" s="141">
        <f>Calculations!K142*(1+$D$20)</f>
        <v>0</v>
      </c>
      <c r="L155" s="141">
        <f>Calculations!L142*(1+$D$20)</f>
        <v>0</v>
      </c>
      <c r="M155" s="141">
        <f>Calculations!M142*(1+$D$20)</f>
        <v>0</v>
      </c>
      <c r="N155" s="141">
        <f>Calculations!N142*(1+$D$20)</f>
        <v>0</v>
      </c>
      <c r="O155" s="141">
        <f>Calculations!O142*(1+$D$20)</f>
        <v>0</v>
      </c>
      <c r="P155" s="141">
        <f>Calculations!P142*(1+$D$20)</f>
        <v>0</v>
      </c>
      <c r="Q155" s="141">
        <f>Calculations!Q142*(1+$D$20)</f>
        <v>0</v>
      </c>
      <c r="R155" s="141">
        <f>Calculations!R142*(1+$D$20)</f>
        <v>0</v>
      </c>
      <c r="S155" s="141">
        <f>Calculations!S142*(1+$D$20)</f>
        <v>0</v>
      </c>
      <c r="T155" s="141">
        <f>Calculations!T142*(1+$D$20)</f>
        <v>0</v>
      </c>
      <c r="U155" s="141">
        <f>Calculations!U142*(1+$D$20)</f>
        <v>0</v>
      </c>
      <c r="V155" s="141">
        <f>Calculations!V142*(1+$D$20)</f>
        <v>0</v>
      </c>
      <c r="W155" s="141">
        <f>Calculations!W142*(1+$D$20)</f>
        <v>0</v>
      </c>
      <c r="X155" s="141">
        <f>Calculations!X142*(1+$D$20)</f>
        <v>0</v>
      </c>
      <c r="Y155" s="141">
        <f>Calculations!Y142*(1+$D$20)</f>
        <v>0</v>
      </c>
      <c r="Z155" s="287"/>
    </row>
    <row r="156" spans="1:26" ht="13.5" thickBot="1" x14ac:dyDescent="0.25">
      <c r="B156" s="107"/>
      <c r="C156" s="137" t="str">
        <f>'User Input'!D187</f>
        <v>Cost 1</v>
      </c>
      <c r="D156" s="67">
        <f t="shared" si="17"/>
        <v>0</v>
      </c>
      <c r="E156" s="141">
        <f>Calculations!E143*(1+$D$20)</f>
        <v>0</v>
      </c>
      <c r="F156" s="141">
        <f>Calculations!F143*(1+$D$20)</f>
        <v>0</v>
      </c>
      <c r="G156" s="141">
        <f>Calculations!G143*(1+$D$20)</f>
        <v>0</v>
      </c>
      <c r="H156" s="141">
        <f>Calculations!H143*(1+$D$20)</f>
        <v>0</v>
      </c>
      <c r="I156" s="141">
        <f>Calculations!I143*(1+$D$20)</f>
        <v>0</v>
      </c>
      <c r="J156" s="141">
        <f>Calculations!J143*(1+$D$20)</f>
        <v>0</v>
      </c>
      <c r="K156" s="141">
        <f>Calculations!K143*(1+$D$20)</f>
        <v>0</v>
      </c>
      <c r="L156" s="141">
        <f>Calculations!L143*(1+$D$20)</f>
        <v>0</v>
      </c>
      <c r="M156" s="141">
        <f>Calculations!M143*(1+$D$20)</f>
        <v>0</v>
      </c>
      <c r="N156" s="141">
        <f>Calculations!N143*(1+$D$20)</f>
        <v>0</v>
      </c>
      <c r="O156" s="141">
        <f>Calculations!O143*(1+$D$20)</f>
        <v>0</v>
      </c>
      <c r="P156" s="141">
        <f>Calculations!P143*(1+$D$20)</f>
        <v>0</v>
      </c>
      <c r="Q156" s="141">
        <f>Calculations!Q143*(1+$D$20)</f>
        <v>0</v>
      </c>
      <c r="R156" s="141">
        <f>Calculations!R143*(1+$D$20)</f>
        <v>0</v>
      </c>
      <c r="S156" s="141">
        <f>Calculations!S143*(1+$D$20)</f>
        <v>0</v>
      </c>
      <c r="T156" s="141">
        <f>Calculations!T143*(1+$D$20)</f>
        <v>0</v>
      </c>
      <c r="U156" s="141">
        <f>Calculations!U143*(1+$D$20)</f>
        <v>0</v>
      </c>
      <c r="V156" s="141">
        <f>Calculations!V143*(1+$D$20)</f>
        <v>0</v>
      </c>
      <c r="W156" s="141">
        <f>Calculations!W143*(1+$D$20)</f>
        <v>0</v>
      </c>
      <c r="X156" s="141">
        <f>Calculations!X143*(1+$D$20)</f>
        <v>0</v>
      </c>
      <c r="Y156" s="141">
        <f>Calculations!Y143*(1+$D$20)</f>
        <v>0</v>
      </c>
      <c r="Z156" s="287"/>
    </row>
    <row r="157" spans="1:26" ht="13.5" thickBot="1" x14ac:dyDescent="0.25">
      <c r="B157" s="107"/>
      <c r="C157" s="137" t="str">
        <f>'User Input'!D188</f>
        <v>Cost 2</v>
      </c>
      <c r="D157" s="67">
        <f t="shared" si="17"/>
        <v>0</v>
      </c>
      <c r="E157" s="141">
        <f>Calculations!E144*(1+$D$20)</f>
        <v>0</v>
      </c>
      <c r="F157" s="141">
        <f>Calculations!F144*(1+$D$20)</f>
        <v>0</v>
      </c>
      <c r="G157" s="141">
        <f>Calculations!G144*(1+$D$20)</f>
        <v>0</v>
      </c>
      <c r="H157" s="141">
        <f>Calculations!H144*(1+$D$20)</f>
        <v>0</v>
      </c>
      <c r="I157" s="141">
        <f>Calculations!I144*(1+$D$20)</f>
        <v>0</v>
      </c>
      <c r="J157" s="141">
        <f>Calculations!J144*(1+$D$20)</f>
        <v>0</v>
      </c>
      <c r="K157" s="141">
        <f>Calculations!K144*(1+$D$20)</f>
        <v>0</v>
      </c>
      <c r="L157" s="141">
        <f>Calculations!L144*(1+$D$20)</f>
        <v>0</v>
      </c>
      <c r="M157" s="141">
        <f>Calculations!M144*(1+$D$20)</f>
        <v>0</v>
      </c>
      <c r="N157" s="141">
        <f>Calculations!N144*(1+$D$20)</f>
        <v>0</v>
      </c>
      <c r="O157" s="141">
        <f>Calculations!O144*(1+$D$20)</f>
        <v>0</v>
      </c>
      <c r="P157" s="141">
        <f>Calculations!P144*(1+$D$20)</f>
        <v>0</v>
      </c>
      <c r="Q157" s="141">
        <f>Calculations!Q144*(1+$D$20)</f>
        <v>0</v>
      </c>
      <c r="R157" s="141">
        <f>Calculations!R144*(1+$D$20)</f>
        <v>0</v>
      </c>
      <c r="S157" s="141">
        <f>Calculations!S144*(1+$D$20)</f>
        <v>0</v>
      </c>
      <c r="T157" s="141">
        <f>Calculations!T144*(1+$D$20)</f>
        <v>0</v>
      </c>
      <c r="U157" s="141">
        <f>Calculations!U144*(1+$D$20)</f>
        <v>0</v>
      </c>
      <c r="V157" s="141">
        <f>Calculations!V144*(1+$D$20)</f>
        <v>0</v>
      </c>
      <c r="W157" s="141">
        <f>Calculations!W144*(1+$D$20)</f>
        <v>0</v>
      </c>
      <c r="X157" s="141">
        <f>Calculations!X144*(1+$D$20)</f>
        <v>0</v>
      </c>
      <c r="Y157" s="141">
        <f>Calculations!Y144*(1+$D$20)</f>
        <v>0</v>
      </c>
      <c r="Z157" s="287"/>
    </row>
    <row r="158" spans="1:26" ht="13.5" thickBot="1" x14ac:dyDescent="0.25">
      <c r="B158" s="107"/>
      <c r="C158" s="137" t="str">
        <f>'User Input'!D189</f>
        <v>Cost 3</v>
      </c>
      <c r="D158" s="67">
        <f t="shared" si="17"/>
        <v>0</v>
      </c>
      <c r="E158" s="141">
        <f>Calculations!E145*(1+$D$20)</f>
        <v>0</v>
      </c>
      <c r="F158" s="141">
        <f>Calculations!F145*(1+$D$20)</f>
        <v>0</v>
      </c>
      <c r="G158" s="141">
        <f>Calculations!G145*(1+$D$20)</f>
        <v>0</v>
      </c>
      <c r="H158" s="141">
        <f>Calculations!H145*(1+$D$20)</f>
        <v>0</v>
      </c>
      <c r="I158" s="141">
        <f>Calculations!I145*(1+$D$20)</f>
        <v>0</v>
      </c>
      <c r="J158" s="141">
        <f>Calculations!J145*(1+$D$20)</f>
        <v>0</v>
      </c>
      <c r="K158" s="141">
        <f>Calculations!K145*(1+$D$20)</f>
        <v>0</v>
      </c>
      <c r="L158" s="141">
        <f>Calculations!L145*(1+$D$20)</f>
        <v>0</v>
      </c>
      <c r="M158" s="141">
        <f>Calculations!M145*(1+$D$20)</f>
        <v>0</v>
      </c>
      <c r="N158" s="141">
        <f>Calculations!N145*(1+$D$20)</f>
        <v>0</v>
      </c>
      <c r="O158" s="141">
        <f>Calculations!O145*(1+$D$20)</f>
        <v>0</v>
      </c>
      <c r="P158" s="141">
        <f>Calculations!P145*(1+$D$20)</f>
        <v>0</v>
      </c>
      <c r="Q158" s="141">
        <f>Calculations!Q145*(1+$D$20)</f>
        <v>0</v>
      </c>
      <c r="R158" s="141">
        <f>Calculations!R145*(1+$D$20)</f>
        <v>0</v>
      </c>
      <c r="S158" s="141">
        <f>Calculations!S145*(1+$D$20)</f>
        <v>0</v>
      </c>
      <c r="T158" s="141">
        <f>Calculations!T145*(1+$D$20)</f>
        <v>0</v>
      </c>
      <c r="U158" s="141">
        <f>Calculations!U145*(1+$D$20)</f>
        <v>0</v>
      </c>
      <c r="V158" s="141">
        <f>Calculations!V145*(1+$D$20)</f>
        <v>0</v>
      </c>
      <c r="W158" s="141">
        <f>Calculations!W145*(1+$D$20)</f>
        <v>0</v>
      </c>
      <c r="X158" s="141">
        <f>Calculations!X145*(1+$D$20)</f>
        <v>0</v>
      </c>
      <c r="Y158" s="141">
        <f>Calculations!Y145*(1+$D$20)</f>
        <v>0</v>
      </c>
      <c r="Z158" s="287"/>
    </row>
    <row r="159" spans="1:26" ht="13.5" thickBot="1" x14ac:dyDescent="0.25">
      <c r="B159" s="107"/>
      <c r="C159" s="137" t="str">
        <f>'User Input'!D190</f>
        <v>Cost 4</v>
      </c>
      <c r="D159" s="67">
        <f t="shared" si="17"/>
        <v>0</v>
      </c>
      <c r="E159" s="141">
        <f>Calculations!E146*(1+$D$20)</f>
        <v>0</v>
      </c>
      <c r="F159" s="141">
        <f>Calculations!F146*(1+$D$20)</f>
        <v>0</v>
      </c>
      <c r="G159" s="141">
        <f>Calculations!G146*(1+$D$20)</f>
        <v>0</v>
      </c>
      <c r="H159" s="141">
        <f>Calculations!H146*(1+$D$20)</f>
        <v>0</v>
      </c>
      <c r="I159" s="141">
        <f>Calculations!I146*(1+$D$20)</f>
        <v>0</v>
      </c>
      <c r="J159" s="141">
        <f>Calculations!J146*(1+$D$20)</f>
        <v>0</v>
      </c>
      <c r="K159" s="141">
        <f>Calculations!K146*(1+$D$20)</f>
        <v>0</v>
      </c>
      <c r="L159" s="141">
        <f>Calculations!L146*(1+$D$20)</f>
        <v>0</v>
      </c>
      <c r="M159" s="141">
        <f>Calculations!M146*(1+$D$20)</f>
        <v>0</v>
      </c>
      <c r="N159" s="141">
        <f>Calculations!N146*(1+$D$20)</f>
        <v>0</v>
      </c>
      <c r="O159" s="141">
        <f>Calculations!O146*(1+$D$20)</f>
        <v>0</v>
      </c>
      <c r="P159" s="141">
        <f>Calculations!P146*(1+$D$20)</f>
        <v>0</v>
      </c>
      <c r="Q159" s="141">
        <f>Calculations!Q146*(1+$D$20)</f>
        <v>0</v>
      </c>
      <c r="R159" s="141">
        <f>Calculations!R146*(1+$D$20)</f>
        <v>0</v>
      </c>
      <c r="S159" s="141">
        <f>Calculations!S146*(1+$D$20)</f>
        <v>0</v>
      </c>
      <c r="T159" s="141">
        <f>Calculations!T146*(1+$D$20)</f>
        <v>0</v>
      </c>
      <c r="U159" s="141">
        <f>Calculations!U146*(1+$D$20)</f>
        <v>0</v>
      </c>
      <c r="V159" s="141">
        <f>Calculations!V146*(1+$D$20)</f>
        <v>0</v>
      </c>
      <c r="W159" s="141">
        <f>Calculations!W146*(1+$D$20)</f>
        <v>0</v>
      </c>
      <c r="X159" s="141">
        <f>Calculations!X146*(1+$D$20)</f>
        <v>0</v>
      </c>
      <c r="Y159" s="141">
        <f>Calculations!Y146*(1+$D$20)</f>
        <v>0</v>
      </c>
      <c r="Z159" s="287"/>
    </row>
    <row r="160" spans="1:26" ht="13.5" thickBot="1" x14ac:dyDescent="0.25">
      <c r="B160" s="107"/>
      <c r="C160" s="137" t="str">
        <f>'User Input'!D191</f>
        <v>Cost 5</v>
      </c>
      <c r="D160" s="67">
        <f t="shared" si="17"/>
        <v>0</v>
      </c>
      <c r="E160" s="141">
        <f>Calculations!E147*(1+$D$20)</f>
        <v>0</v>
      </c>
      <c r="F160" s="141">
        <f>Calculations!F147*(1+$D$20)</f>
        <v>0</v>
      </c>
      <c r="G160" s="141">
        <f>Calculations!G147*(1+$D$20)</f>
        <v>0</v>
      </c>
      <c r="H160" s="141">
        <f>Calculations!H147*(1+$D$20)</f>
        <v>0</v>
      </c>
      <c r="I160" s="141">
        <f>Calculations!I147*(1+$D$20)</f>
        <v>0</v>
      </c>
      <c r="J160" s="141">
        <f>Calculations!J147*(1+$D$20)</f>
        <v>0</v>
      </c>
      <c r="K160" s="141">
        <f>Calculations!K147*(1+$D$20)</f>
        <v>0</v>
      </c>
      <c r="L160" s="141">
        <f>Calculations!L147*(1+$D$20)</f>
        <v>0</v>
      </c>
      <c r="M160" s="141">
        <f>Calculations!M147*(1+$D$20)</f>
        <v>0</v>
      </c>
      <c r="N160" s="141">
        <f>Calculations!N147*(1+$D$20)</f>
        <v>0</v>
      </c>
      <c r="O160" s="141">
        <f>Calculations!O147*(1+$D$20)</f>
        <v>0</v>
      </c>
      <c r="P160" s="141">
        <f>Calculations!P147*(1+$D$20)</f>
        <v>0</v>
      </c>
      <c r="Q160" s="141">
        <f>Calculations!Q147*(1+$D$20)</f>
        <v>0</v>
      </c>
      <c r="R160" s="141">
        <f>Calculations!R147*(1+$D$20)</f>
        <v>0</v>
      </c>
      <c r="S160" s="141">
        <f>Calculations!S147*(1+$D$20)</f>
        <v>0</v>
      </c>
      <c r="T160" s="141">
        <f>Calculations!T147*(1+$D$20)</f>
        <v>0</v>
      </c>
      <c r="U160" s="141">
        <f>Calculations!U147*(1+$D$20)</f>
        <v>0</v>
      </c>
      <c r="V160" s="141">
        <f>Calculations!V147*(1+$D$20)</f>
        <v>0</v>
      </c>
      <c r="W160" s="141">
        <f>Calculations!W147*(1+$D$20)</f>
        <v>0</v>
      </c>
      <c r="X160" s="141">
        <f>Calculations!X147*(1+$D$20)</f>
        <v>0</v>
      </c>
      <c r="Y160" s="141">
        <f>Calculations!Y147*(1+$D$20)</f>
        <v>0</v>
      </c>
      <c r="Z160" s="287"/>
    </row>
    <row r="161" spans="1:26" ht="13.5" thickBot="1" x14ac:dyDescent="0.25">
      <c r="B161" s="107"/>
      <c r="C161" s="137" t="str">
        <f>'User Input'!D192</f>
        <v>Risk 1</v>
      </c>
      <c r="D161" s="67">
        <f>SUM(E161:Y161)</f>
        <v>0</v>
      </c>
      <c r="E161" s="141">
        <f>Calculations!E148*(1+$D$20)</f>
        <v>0</v>
      </c>
      <c r="F161" s="141">
        <f>Calculations!F148*(1+$D$20)</f>
        <v>0</v>
      </c>
      <c r="G161" s="141">
        <f>Calculations!G148*(1+$D$20)</f>
        <v>0</v>
      </c>
      <c r="H161" s="141">
        <f>Calculations!H148*(1+$D$20)</f>
        <v>0</v>
      </c>
      <c r="I161" s="141">
        <f>Calculations!I148*(1+$D$20)</f>
        <v>0</v>
      </c>
      <c r="J161" s="141">
        <f>Calculations!J148*(1+$D$20)</f>
        <v>0</v>
      </c>
      <c r="K161" s="141">
        <f>Calculations!K148*(1+$D$20)</f>
        <v>0</v>
      </c>
      <c r="L161" s="141">
        <f>Calculations!L148*(1+$D$20)</f>
        <v>0</v>
      </c>
      <c r="M161" s="141">
        <f>Calculations!M148*(1+$D$20)</f>
        <v>0</v>
      </c>
      <c r="N161" s="141">
        <f>Calculations!N148*(1+$D$20)</f>
        <v>0</v>
      </c>
      <c r="O161" s="141">
        <f>Calculations!O148*(1+$D$20)</f>
        <v>0</v>
      </c>
      <c r="P161" s="141">
        <f>Calculations!P148*(1+$D$20)</f>
        <v>0</v>
      </c>
      <c r="Q161" s="141">
        <f>Calculations!Q148*(1+$D$20)</f>
        <v>0</v>
      </c>
      <c r="R161" s="141">
        <f>Calculations!R148*(1+$D$20)</f>
        <v>0</v>
      </c>
      <c r="S161" s="141">
        <f>Calculations!S148*(1+$D$20)</f>
        <v>0</v>
      </c>
      <c r="T161" s="141">
        <f>Calculations!T148*(1+$D$20)</f>
        <v>0</v>
      </c>
      <c r="U161" s="141">
        <f>Calculations!U148*(1+$D$20)</f>
        <v>0</v>
      </c>
      <c r="V161" s="141">
        <f>Calculations!V148*(1+$D$20)</f>
        <v>0</v>
      </c>
      <c r="W161" s="141">
        <f>Calculations!W148*(1+$D$20)</f>
        <v>0</v>
      </c>
      <c r="X161" s="141">
        <f>Calculations!X148*(1+$D$20)</f>
        <v>0</v>
      </c>
      <c r="Y161" s="141">
        <f>Calculations!Y148*(1+$D$20)</f>
        <v>0</v>
      </c>
      <c r="Z161" s="287"/>
    </row>
    <row r="162" spans="1:26" ht="13.5" thickBot="1" x14ac:dyDescent="0.25">
      <c r="B162" s="107"/>
      <c r="C162" s="137" t="str">
        <f>'User Input'!D193</f>
        <v>Risk 2</v>
      </c>
      <c r="D162" s="67">
        <f>SUM(E162:Y162)</f>
        <v>0</v>
      </c>
      <c r="E162" s="141">
        <f>Calculations!E149*(1+$D$20)</f>
        <v>0</v>
      </c>
      <c r="F162" s="141">
        <f>Calculations!F149*(1+$D$20)</f>
        <v>0</v>
      </c>
      <c r="G162" s="141">
        <f>Calculations!G149*(1+$D$20)</f>
        <v>0</v>
      </c>
      <c r="H162" s="141">
        <f>Calculations!H149*(1+$D$20)</f>
        <v>0</v>
      </c>
      <c r="I162" s="141">
        <f>Calculations!I149*(1+$D$20)</f>
        <v>0</v>
      </c>
      <c r="J162" s="141">
        <f>Calculations!J149*(1+$D$20)</f>
        <v>0</v>
      </c>
      <c r="K162" s="141">
        <f>Calculations!K149*(1+$D$20)</f>
        <v>0</v>
      </c>
      <c r="L162" s="141">
        <f>Calculations!L149*(1+$D$20)</f>
        <v>0</v>
      </c>
      <c r="M162" s="141">
        <f>Calculations!M149*(1+$D$20)</f>
        <v>0</v>
      </c>
      <c r="N162" s="141">
        <f>Calculations!N149*(1+$D$20)</f>
        <v>0</v>
      </c>
      <c r="O162" s="141">
        <f>Calculations!O149*(1+$D$20)</f>
        <v>0</v>
      </c>
      <c r="P162" s="141">
        <f>Calculations!P149*(1+$D$20)</f>
        <v>0</v>
      </c>
      <c r="Q162" s="141">
        <f>Calculations!Q149*(1+$D$20)</f>
        <v>0</v>
      </c>
      <c r="R162" s="141">
        <f>Calculations!R149*(1+$D$20)</f>
        <v>0</v>
      </c>
      <c r="S162" s="141">
        <f>Calculations!S149*(1+$D$20)</f>
        <v>0</v>
      </c>
      <c r="T162" s="141">
        <f>Calculations!T149*(1+$D$20)</f>
        <v>0</v>
      </c>
      <c r="U162" s="141">
        <f>Calculations!U149*(1+$D$20)</f>
        <v>0</v>
      </c>
      <c r="V162" s="141">
        <f>Calculations!V149*(1+$D$20)</f>
        <v>0</v>
      </c>
      <c r="W162" s="141">
        <f>Calculations!W149*(1+$D$20)</f>
        <v>0</v>
      </c>
      <c r="X162" s="141">
        <f>Calculations!X149*(1+$D$20)</f>
        <v>0</v>
      </c>
      <c r="Y162" s="141">
        <f>Calculations!Y149*(1+$D$20)</f>
        <v>0</v>
      </c>
      <c r="Z162" s="287"/>
    </row>
    <row r="163" spans="1:26" ht="13.5" thickBot="1" x14ac:dyDescent="0.25">
      <c r="B163" s="107"/>
      <c r="C163" s="137" t="str">
        <f>'User Input'!D194</f>
        <v>Risk 3</v>
      </c>
      <c r="D163" s="67">
        <f>SUM(E163:Y163)</f>
        <v>0</v>
      </c>
      <c r="E163" s="141">
        <f>Calculations!E150*(1+$D$20)</f>
        <v>0</v>
      </c>
      <c r="F163" s="141">
        <f>Calculations!F150*(1+$D$20)</f>
        <v>0</v>
      </c>
      <c r="G163" s="141">
        <f>Calculations!G150*(1+$D$20)</f>
        <v>0</v>
      </c>
      <c r="H163" s="141">
        <f>Calculations!H150*(1+$D$20)</f>
        <v>0</v>
      </c>
      <c r="I163" s="141">
        <f>Calculations!I150*(1+$D$20)</f>
        <v>0</v>
      </c>
      <c r="J163" s="141">
        <f>Calculations!J150*(1+$D$20)</f>
        <v>0</v>
      </c>
      <c r="K163" s="141">
        <f>Calculations!K150*(1+$D$20)</f>
        <v>0</v>
      </c>
      <c r="L163" s="141">
        <f>Calculations!L150*(1+$D$20)</f>
        <v>0</v>
      </c>
      <c r="M163" s="141">
        <f>Calculations!M150*(1+$D$20)</f>
        <v>0</v>
      </c>
      <c r="N163" s="141">
        <f>Calculations!N150*(1+$D$20)</f>
        <v>0</v>
      </c>
      <c r="O163" s="141">
        <f>Calculations!O150*(1+$D$20)</f>
        <v>0</v>
      </c>
      <c r="P163" s="141">
        <f>Calculations!P150*(1+$D$20)</f>
        <v>0</v>
      </c>
      <c r="Q163" s="141">
        <f>Calculations!Q150*(1+$D$20)</f>
        <v>0</v>
      </c>
      <c r="R163" s="141">
        <f>Calculations!R150*(1+$D$20)</f>
        <v>0</v>
      </c>
      <c r="S163" s="141">
        <f>Calculations!S150*(1+$D$20)</f>
        <v>0</v>
      </c>
      <c r="T163" s="141">
        <f>Calculations!T150*(1+$D$20)</f>
        <v>0</v>
      </c>
      <c r="U163" s="141">
        <f>Calculations!U150*(1+$D$20)</f>
        <v>0</v>
      </c>
      <c r="V163" s="141">
        <f>Calculations!V150*(1+$D$20)</f>
        <v>0</v>
      </c>
      <c r="W163" s="141">
        <f>Calculations!W150*(1+$D$20)</f>
        <v>0</v>
      </c>
      <c r="X163" s="141">
        <f>Calculations!X150*(1+$D$20)</f>
        <v>0</v>
      </c>
      <c r="Y163" s="141">
        <f>Calculations!Y150*(1+$D$20)</f>
        <v>0</v>
      </c>
      <c r="Z163" s="287"/>
    </row>
    <row r="164" spans="1:26" ht="13.5" thickBot="1" x14ac:dyDescent="0.25">
      <c r="B164" s="107"/>
      <c r="C164" s="137" t="str">
        <f>'User Input'!D195</f>
        <v>Risk 4</v>
      </c>
      <c r="D164" s="67">
        <f>SUM(E164:Y164)</f>
        <v>0</v>
      </c>
      <c r="E164" s="141">
        <f>Calculations!E151*(1+$D$20)</f>
        <v>0</v>
      </c>
      <c r="F164" s="141">
        <f>Calculations!F151*(1+$D$20)</f>
        <v>0</v>
      </c>
      <c r="G164" s="141">
        <f>Calculations!G151*(1+$D$20)</f>
        <v>0</v>
      </c>
      <c r="H164" s="141">
        <f>Calculations!H151*(1+$D$20)</f>
        <v>0</v>
      </c>
      <c r="I164" s="141">
        <f>Calculations!I151*(1+$D$20)</f>
        <v>0</v>
      </c>
      <c r="J164" s="141">
        <f>Calculations!J151*(1+$D$20)</f>
        <v>0</v>
      </c>
      <c r="K164" s="141">
        <f>Calculations!K151*(1+$D$20)</f>
        <v>0</v>
      </c>
      <c r="L164" s="141">
        <f>Calculations!L151*(1+$D$20)</f>
        <v>0</v>
      </c>
      <c r="M164" s="141">
        <f>Calculations!M151*(1+$D$20)</f>
        <v>0</v>
      </c>
      <c r="N164" s="141">
        <f>Calculations!N151*(1+$D$20)</f>
        <v>0</v>
      </c>
      <c r="O164" s="141">
        <f>Calculations!O151*(1+$D$20)</f>
        <v>0</v>
      </c>
      <c r="P164" s="141">
        <f>Calculations!P151*(1+$D$20)</f>
        <v>0</v>
      </c>
      <c r="Q164" s="141">
        <f>Calculations!Q151*(1+$D$20)</f>
        <v>0</v>
      </c>
      <c r="R164" s="141">
        <f>Calculations!R151*(1+$D$20)</f>
        <v>0</v>
      </c>
      <c r="S164" s="141">
        <f>Calculations!S151*(1+$D$20)</f>
        <v>0</v>
      </c>
      <c r="T164" s="141">
        <f>Calculations!T151*(1+$D$20)</f>
        <v>0</v>
      </c>
      <c r="U164" s="141">
        <f>Calculations!U151*(1+$D$20)</f>
        <v>0</v>
      </c>
      <c r="V164" s="141">
        <f>Calculations!V151*(1+$D$20)</f>
        <v>0</v>
      </c>
      <c r="W164" s="141">
        <f>Calculations!W151*(1+$D$20)</f>
        <v>0</v>
      </c>
      <c r="X164" s="141">
        <f>Calculations!X151*(1+$D$20)</f>
        <v>0</v>
      </c>
      <c r="Y164" s="141">
        <f>Calculations!Y151*(1+$D$20)</f>
        <v>0</v>
      </c>
      <c r="Z164" s="287"/>
    </row>
    <row r="165" spans="1:26" ht="13.5" thickBot="1" x14ac:dyDescent="0.25">
      <c r="B165" s="107"/>
      <c r="C165" s="137" t="str">
        <f>'User Input'!D196</f>
        <v>Risk 5</v>
      </c>
      <c r="D165" s="67">
        <f>SUM(E165:Y165)</f>
        <v>0</v>
      </c>
      <c r="E165" s="141">
        <f>Calculations!E152*(1+$D$20)</f>
        <v>0</v>
      </c>
      <c r="F165" s="141">
        <f>Calculations!F152*(1+$D$20)</f>
        <v>0</v>
      </c>
      <c r="G165" s="141">
        <f>Calculations!G152*(1+$D$20)</f>
        <v>0</v>
      </c>
      <c r="H165" s="141">
        <f>Calculations!H152*(1+$D$20)</f>
        <v>0</v>
      </c>
      <c r="I165" s="141">
        <f>Calculations!I152*(1+$D$20)</f>
        <v>0</v>
      </c>
      <c r="J165" s="141">
        <f>Calculations!J152*(1+$D$20)</f>
        <v>0</v>
      </c>
      <c r="K165" s="141">
        <f>Calculations!K152*(1+$D$20)</f>
        <v>0</v>
      </c>
      <c r="L165" s="141">
        <f>Calculations!L152*(1+$D$20)</f>
        <v>0</v>
      </c>
      <c r="M165" s="141">
        <f>Calculations!M152*(1+$D$20)</f>
        <v>0</v>
      </c>
      <c r="N165" s="141">
        <f>Calculations!N152*(1+$D$20)</f>
        <v>0</v>
      </c>
      <c r="O165" s="141">
        <f>Calculations!O152*(1+$D$20)</f>
        <v>0</v>
      </c>
      <c r="P165" s="141">
        <f>Calculations!P152*(1+$D$20)</f>
        <v>0</v>
      </c>
      <c r="Q165" s="141">
        <f>Calculations!Q152*(1+$D$20)</f>
        <v>0</v>
      </c>
      <c r="R165" s="141">
        <f>Calculations!R152*(1+$D$20)</f>
        <v>0</v>
      </c>
      <c r="S165" s="141">
        <f>Calculations!S152*(1+$D$20)</f>
        <v>0</v>
      </c>
      <c r="T165" s="141">
        <f>Calculations!T152*(1+$D$20)</f>
        <v>0</v>
      </c>
      <c r="U165" s="141">
        <f>Calculations!U152*(1+$D$20)</f>
        <v>0</v>
      </c>
      <c r="V165" s="141">
        <f>Calculations!V152*(1+$D$20)</f>
        <v>0</v>
      </c>
      <c r="W165" s="141">
        <f>Calculations!W152*(1+$D$20)</f>
        <v>0</v>
      </c>
      <c r="X165" s="141">
        <f>Calculations!X152*(1+$D$20)</f>
        <v>0</v>
      </c>
      <c r="Y165" s="141">
        <f>Calculations!Y152*(1+$D$20)</f>
        <v>0</v>
      </c>
      <c r="Z165" s="287"/>
    </row>
    <row r="166" spans="1:26" ht="13.5" thickBot="1" x14ac:dyDescent="0.25">
      <c r="B166" s="107"/>
      <c r="C166" s="53" t="s">
        <v>2</v>
      </c>
      <c r="D166" s="67">
        <f t="shared" si="17"/>
        <v>0</v>
      </c>
      <c r="E166" s="68">
        <f>SUM(E147:E165)</f>
        <v>0</v>
      </c>
      <c r="F166" s="69">
        <f t="shared" ref="F166:Y166" si="18">SUM(F147:F165)</f>
        <v>0</v>
      </c>
      <c r="G166" s="69">
        <f t="shared" si="18"/>
        <v>0</v>
      </c>
      <c r="H166" s="69">
        <f t="shared" si="18"/>
        <v>0</v>
      </c>
      <c r="I166" s="69">
        <f t="shared" si="18"/>
        <v>0</v>
      </c>
      <c r="J166" s="69">
        <f t="shared" si="18"/>
        <v>0</v>
      </c>
      <c r="K166" s="69">
        <f t="shared" si="18"/>
        <v>0</v>
      </c>
      <c r="L166" s="69">
        <f t="shared" si="18"/>
        <v>0</v>
      </c>
      <c r="M166" s="69">
        <f t="shared" si="18"/>
        <v>0</v>
      </c>
      <c r="N166" s="69">
        <f t="shared" si="18"/>
        <v>0</v>
      </c>
      <c r="O166" s="69">
        <f t="shared" si="18"/>
        <v>0</v>
      </c>
      <c r="P166" s="69">
        <f t="shared" si="18"/>
        <v>0</v>
      </c>
      <c r="Q166" s="69">
        <f t="shared" si="18"/>
        <v>0</v>
      </c>
      <c r="R166" s="69">
        <f t="shared" si="18"/>
        <v>0</v>
      </c>
      <c r="S166" s="69">
        <f t="shared" si="18"/>
        <v>0</v>
      </c>
      <c r="T166" s="69">
        <f t="shared" si="18"/>
        <v>0</v>
      </c>
      <c r="U166" s="69">
        <f t="shared" si="18"/>
        <v>0</v>
      </c>
      <c r="V166" s="69">
        <f t="shared" si="18"/>
        <v>0</v>
      </c>
      <c r="W166" s="69">
        <f t="shared" si="18"/>
        <v>0</v>
      </c>
      <c r="X166" s="69">
        <f t="shared" si="18"/>
        <v>0</v>
      </c>
      <c r="Y166" s="150">
        <f t="shared" si="18"/>
        <v>0</v>
      </c>
      <c r="Z166" s="287"/>
    </row>
    <row r="167" spans="1:26" ht="13.5" thickBot="1" x14ac:dyDescent="0.25">
      <c r="B167" s="107"/>
      <c r="C167" s="54" t="s">
        <v>50</v>
      </c>
      <c r="D167" s="67">
        <f t="shared" si="17"/>
        <v>0</v>
      </c>
      <c r="E167" s="77">
        <f t="shared" ref="E167:Y167" si="19">E166/E$13</f>
        <v>0</v>
      </c>
      <c r="F167" s="77">
        <f t="shared" si="19"/>
        <v>0</v>
      </c>
      <c r="G167" s="77">
        <f t="shared" si="19"/>
        <v>0</v>
      </c>
      <c r="H167" s="77">
        <f t="shared" si="19"/>
        <v>0</v>
      </c>
      <c r="I167" s="77">
        <f t="shared" si="19"/>
        <v>0</v>
      </c>
      <c r="J167" s="77">
        <f t="shared" si="19"/>
        <v>0</v>
      </c>
      <c r="K167" s="77">
        <f t="shared" si="19"/>
        <v>0</v>
      </c>
      <c r="L167" s="77">
        <f t="shared" si="19"/>
        <v>0</v>
      </c>
      <c r="M167" s="77">
        <f t="shared" si="19"/>
        <v>0</v>
      </c>
      <c r="N167" s="77">
        <f t="shared" si="19"/>
        <v>0</v>
      </c>
      <c r="O167" s="77">
        <f t="shared" si="19"/>
        <v>0</v>
      </c>
      <c r="P167" s="77">
        <f t="shared" si="19"/>
        <v>0</v>
      </c>
      <c r="Q167" s="77">
        <f t="shared" si="19"/>
        <v>0</v>
      </c>
      <c r="R167" s="77">
        <f t="shared" si="19"/>
        <v>0</v>
      </c>
      <c r="S167" s="77">
        <f t="shared" si="19"/>
        <v>0</v>
      </c>
      <c r="T167" s="77">
        <f t="shared" si="19"/>
        <v>0</v>
      </c>
      <c r="U167" s="77">
        <f t="shared" si="19"/>
        <v>0</v>
      </c>
      <c r="V167" s="77">
        <f t="shared" si="19"/>
        <v>0</v>
      </c>
      <c r="W167" s="77">
        <f t="shared" si="19"/>
        <v>0</v>
      </c>
      <c r="X167" s="77">
        <f t="shared" si="19"/>
        <v>0</v>
      </c>
      <c r="Y167" s="77">
        <f t="shared" si="19"/>
        <v>0</v>
      </c>
      <c r="Z167" s="287"/>
    </row>
    <row r="168" spans="1:26" ht="13.5" thickBot="1" x14ac:dyDescent="0.25">
      <c r="B168" s="108"/>
      <c r="C168" s="297"/>
      <c r="D168" s="297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9"/>
      <c r="Z168" s="300"/>
    </row>
    <row r="169" spans="1:26" s="291" customFormat="1" ht="13.5" thickBot="1" x14ac:dyDescent="0.25">
      <c r="A169" s="80"/>
      <c r="B169" s="60"/>
      <c r="C169" s="80"/>
      <c r="D169" s="80"/>
      <c r="E169" s="80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80"/>
      <c r="Y169" s="80"/>
    </row>
    <row r="170" spans="1:26" s="291" customFormat="1" x14ac:dyDescent="0.2">
      <c r="A170" s="80"/>
      <c r="B170" s="374" t="s">
        <v>79</v>
      </c>
      <c r="C170" s="375"/>
      <c r="D170" s="375"/>
      <c r="E170" s="375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5"/>
      <c r="Y170" s="375"/>
      <c r="Z170" s="377"/>
    </row>
    <row r="171" spans="1:26" s="291" customFormat="1" x14ac:dyDescent="0.2">
      <c r="A171" s="80"/>
      <c r="B171" s="107"/>
      <c r="C171" s="80"/>
      <c r="D171" s="80"/>
      <c r="E171" s="80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80"/>
      <c r="Y171" s="80"/>
      <c r="Z171" s="301"/>
    </row>
    <row r="172" spans="1:26" s="291" customFormat="1" x14ac:dyDescent="0.2">
      <c r="A172" s="85"/>
      <c r="B172" s="107"/>
      <c r="C172" s="79" t="s">
        <v>2</v>
      </c>
      <c r="D172" s="80"/>
      <c r="E172" s="80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80"/>
      <c r="Y172" s="80"/>
      <c r="Z172" s="301"/>
    </row>
    <row r="173" spans="1:26" s="291" customFormat="1" x14ac:dyDescent="0.2">
      <c r="A173" s="85"/>
      <c r="B173" s="107"/>
      <c r="C173" s="80"/>
      <c r="D173" s="80"/>
      <c r="E173" s="80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80"/>
      <c r="Y173" s="80"/>
      <c r="Z173" s="301"/>
    </row>
    <row r="174" spans="1:26" s="291" customFormat="1" x14ac:dyDescent="0.2">
      <c r="A174" s="130">
        <v>1</v>
      </c>
      <c r="B174" s="107"/>
      <c r="C174" s="80" t="str">
        <f>B25</f>
        <v>"Status Quo" Reference Case</v>
      </c>
      <c r="D174" s="80"/>
      <c r="E174" s="145">
        <f t="shared" ref="E174:Y174" si="20">E46</f>
        <v>0</v>
      </c>
      <c r="F174" s="145">
        <f t="shared" si="20"/>
        <v>123.84419904249718</v>
      </c>
      <c r="G174" s="145">
        <f t="shared" si="20"/>
        <v>252.4935530078433</v>
      </c>
      <c r="H174" s="145">
        <f t="shared" si="20"/>
        <v>257.39192793619549</v>
      </c>
      <c r="I174" s="145">
        <f t="shared" si="20"/>
        <v>262.38533133815764</v>
      </c>
      <c r="J174" s="145">
        <f t="shared" si="20"/>
        <v>267.47560676611789</v>
      </c>
      <c r="K174" s="145">
        <f t="shared" si="20"/>
        <v>272.66463353738055</v>
      </c>
      <c r="L174" s="145">
        <f t="shared" si="20"/>
        <v>277.95432742800574</v>
      </c>
      <c r="M174" s="145">
        <f t="shared" si="20"/>
        <v>283.34664138010908</v>
      </c>
      <c r="N174" s="145">
        <f t="shared" si="20"/>
        <v>288.84356622288317</v>
      </c>
      <c r="O174" s="145">
        <f t="shared" si="20"/>
        <v>294.44713140760717</v>
      </c>
      <c r="P174" s="145">
        <f t="shared" si="20"/>
        <v>300.15940575691474</v>
      </c>
      <c r="Q174" s="145">
        <f t="shared" si="20"/>
        <v>305.98249822859884</v>
      </c>
      <c r="R174" s="145">
        <f t="shared" si="20"/>
        <v>311.91855869423364</v>
      </c>
      <c r="S174" s="145">
        <f t="shared" si="20"/>
        <v>317.96977873290177</v>
      </c>
      <c r="T174" s="145">
        <f t="shared" si="20"/>
        <v>324.13839244032005</v>
      </c>
      <c r="U174" s="145">
        <f t="shared" si="20"/>
        <v>330.42667725366226</v>
      </c>
      <c r="V174" s="145">
        <f t="shared" si="20"/>
        <v>336.83695479238327</v>
      </c>
      <c r="W174" s="145">
        <f t="shared" si="20"/>
        <v>343.37159171535552</v>
      </c>
      <c r="X174" s="145">
        <f t="shared" si="20"/>
        <v>350.03300059463339</v>
      </c>
      <c r="Y174" s="145">
        <f t="shared" si="20"/>
        <v>356.82364080616935</v>
      </c>
      <c r="Z174" s="301"/>
    </row>
    <row r="175" spans="1:26" s="291" customFormat="1" x14ac:dyDescent="0.2">
      <c r="A175" s="130">
        <v>2</v>
      </c>
      <c r="B175" s="107"/>
      <c r="C175" s="80" t="str">
        <f>B49</f>
        <v>Option 1: Provide In Meter Capabilities</v>
      </c>
      <c r="D175" s="80"/>
      <c r="E175" s="302">
        <f t="shared" ref="E175:Y175" si="21">E70</f>
        <v>1303.0080433233068</v>
      </c>
      <c r="F175" s="302">
        <f t="shared" si="21"/>
        <v>1040.9877717323916</v>
      </c>
      <c r="G175" s="302">
        <f t="shared" si="21"/>
        <v>0</v>
      </c>
      <c r="H175" s="302">
        <f t="shared" si="21"/>
        <v>0</v>
      </c>
      <c r="I175" s="302">
        <f t="shared" si="21"/>
        <v>0</v>
      </c>
      <c r="J175" s="302">
        <f t="shared" si="21"/>
        <v>0</v>
      </c>
      <c r="K175" s="302">
        <f t="shared" si="21"/>
        <v>0</v>
      </c>
      <c r="L175" s="302">
        <f t="shared" si="21"/>
        <v>0</v>
      </c>
      <c r="M175" s="302">
        <f t="shared" si="21"/>
        <v>0</v>
      </c>
      <c r="N175" s="302">
        <f t="shared" si="21"/>
        <v>0</v>
      </c>
      <c r="O175" s="302">
        <f t="shared" si="21"/>
        <v>0</v>
      </c>
      <c r="P175" s="302">
        <f t="shared" si="21"/>
        <v>0</v>
      </c>
      <c r="Q175" s="302">
        <f t="shared" si="21"/>
        <v>0</v>
      </c>
      <c r="R175" s="302">
        <f t="shared" si="21"/>
        <v>0</v>
      </c>
      <c r="S175" s="302">
        <f t="shared" si="21"/>
        <v>0</v>
      </c>
      <c r="T175" s="302">
        <f t="shared" si="21"/>
        <v>0</v>
      </c>
      <c r="U175" s="302">
        <f t="shared" si="21"/>
        <v>0</v>
      </c>
      <c r="V175" s="302">
        <f t="shared" si="21"/>
        <v>0</v>
      </c>
      <c r="W175" s="302">
        <f t="shared" si="21"/>
        <v>0</v>
      </c>
      <c r="X175" s="302">
        <f t="shared" si="21"/>
        <v>0</v>
      </c>
      <c r="Y175" s="302">
        <f t="shared" si="21"/>
        <v>0</v>
      </c>
      <c r="Z175" s="301"/>
    </row>
    <row r="176" spans="1:26" s="291" customFormat="1" x14ac:dyDescent="0.2">
      <c r="A176" s="130">
        <v>3</v>
      </c>
      <c r="B176" s="107"/>
      <c r="C176" s="80" t="str">
        <f>B73</f>
        <v>Option 2: Provide In Meter Capabilities with Near Real-time Centralised Analytics</v>
      </c>
      <c r="D176" s="80"/>
      <c r="E176" s="302">
        <f t="shared" ref="E176:Y176" si="22">E94</f>
        <v>5831.3925387873905</v>
      </c>
      <c r="F176" s="302">
        <f t="shared" si="22"/>
        <v>4657.5326375902341</v>
      </c>
      <c r="G176" s="302">
        <f t="shared" si="22"/>
        <v>0</v>
      </c>
      <c r="H176" s="302">
        <f t="shared" si="22"/>
        <v>0</v>
      </c>
      <c r="I176" s="302">
        <f t="shared" si="22"/>
        <v>0</v>
      </c>
      <c r="J176" s="302">
        <f t="shared" si="22"/>
        <v>0</v>
      </c>
      <c r="K176" s="302">
        <f t="shared" si="22"/>
        <v>0</v>
      </c>
      <c r="L176" s="302">
        <f t="shared" si="22"/>
        <v>0</v>
      </c>
      <c r="M176" s="302">
        <f t="shared" si="22"/>
        <v>0</v>
      </c>
      <c r="N176" s="302">
        <f t="shared" si="22"/>
        <v>0</v>
      </c>
      <c r="O176" s="302">
        <f t="shared" si="22"/>
        <v>0</v>
      </c>
      <c r="P176" s="302">
        <f t="shared" si="22"/>
        <v>0</v>
      </c>
      <c r="Q176" s="302">
        <f t="shared" si="22"/>
        <v>0</v>
      </c>
      <c r="R176" s="302">
        <f t="shared" si="22"/>
        <v>0</v>
      </c>
      <c r="S176" s="302">
        <f t="shared" si="22"/>
        <v>0</v>
      </c>
      <c r="T176" s="302">
        <f t="shared" si="22"/>
        <v>0</v>
      </c>
      <c r="U176" s="302">
        <f t="shared" si="22"/>
        <v>0</v>
      </c>
      <c r="V176" s="302">
        <f t="shared" si="22"/>
        <v>0</v>
      </c>
      <c r="W176" s="302">
        <f t="shared" si="22"/>
        <v>0</v>
      </c>
      <c r="X176" s="302">
        <f t="shared" si="22"/>
        <v>0</v>
      </c>
      <c r="Y176" s="302">
        <f t="shared" si="22"/>
        <v>0</v>
      </c>
      <c r="Z176" s="301"/>
    </row>
    <row r="177" spans="1:26" s="291" customFormat="1" x14ac:dyDescent="0.2">
      <c r="A177" s="131">
        <v>4</v>
      </c>
      <c r="B177" s="107"/>
      <c r="C177" s="80" t="str">
        <f>B97</f>
        <v xml:space="preserve">Option 3: </v>
      </c>
      <c r="D177" s="80"/>
      <c r="E177" s="302">
        <f t="shared" ref="E177:Y177" si="23">E118</f>
        <v>0</v>
      </c>
      <c r="F177" s="302">
        <f t="shared" si="23"/>
        <v>0</v>
      </c>
      <c r="G177" s="302">
        <f t="shared" si="23"/>
        <v>0</v>
      </c>
      <c r="H177" s="302">
        <f t="shared" si="23"/>
        <v>0</v>
      </c>
      <c r="I177" s="302">
        <f t="shared" si="23"/>
        <v>0</v>
      </c>
      <c r="J177" s="302">
        <f t="shared" si="23"/>
        <v>0</v>
      </c>
      <c r="K177" s="302">
        <f t="shared" si="23"/>
        <v>0</v>
      </c>
      <c r="L177" s="302">
        <f t="shared" si="23"/>
        <v>0</v>
      </c>
      <c r="M177" s="302">
        <f t="shared" si="23"/>
        <v>0</v>
      </c>
      <c r="N177" s="302">
        <f t="shared" si="23"/>
        <v>0</v>
      </c>
      <c r="O177" s="302">
        <f t="shared" si="23"/>
        <v>0</v>
      </c>
      <c r="P177" s="302">
        <f t="shared" si="23"/>
        <v>0</v>
      </c>
      <c r="Q177" s="302">
        <f t="shared" si="23"/>
        <v>0</v>
      </c>
      <c r="R177" s="302">
        <f t="shared" si="23"/>
        <v>0</v>
      </c>
      <c r="S177" s="302">
        <f t="shared" si="23"/>
        <v>0</v>
      </c>
      <c r="T177" s="302">
        <f t="shared" si="23"/>
        <v>0</v>
      </c>
      <c r="U177" s="302">
        <f t="shared" si="23"/>
        <v>0</v>
      </c>
      <c r="V177" s="302">
        <f t="shared" si="23"/>
        <v>0</v>
      </c>
      <c r="W177" s="302">
        <f t="shared" si="23"/>
        <v>0</v>
      </c>
      <c r="X177" s="302">
        <f t="shared" si="23"/>
        <v>0</v>
      </c>
      <c r="Y177" s="302">
        <f t="shared" si="23"/>
        <v>0</v>
      </c>
      <c r="Z177" s="301"/>
    </row>
    <row r="178" spans="1:26" s="291" customFormat="1" x14ac:dyDescent="0.2">
      <c r="A178" s="131">
        <v>5</v>
      </c>
      <c r="B178" s="107"/>
      <c r="C178" s="80" t="str">
        <f>B121</f>
        <v xml:space="preserve">Option 4: </v>
      </c>
      <c r="D178" s="80"/>
      <c r="E178" s="302">
        <f t="shared" ref="E178:Y178" si="24">E142</f>
        <v>0</v>
      </c>
      <c r="F178" s="302">
        <f t="shared" si="24"/>
        <v>0</v>
      </c>
      <c r="G178" s="302">
        <f t="shared" si="24"/>
        <v>0</v>
      </c>
      <c r="H178" s="302">
        <f t="shared" si="24"/>
        <v>0</v>
      </c>
      <c r="I178" s="302">
        <f t="shared" si="24"/>
        <v>0</v>
      </c>
      <c r="J178" s="302">
        <f t="shared" si="24"/>
        <v>0</v>
      </c>
      <c r="K178" s="302">
        <f t="shared" si="24"/>
        <v>0</v>
      </c>
      <c r="L178" s="302">
        <f t="shared" si="24"/>
        <v>0</v>
      </c>
      <c r="M178" s="302">
        <f t="shared" si="24"/>
        <v>0</v>
      </c>
      <c r="N178" s="302">
        <f t="shared" si="24"/>
        <v>0</v>
      </c>
      <c r="O178" s="302">
        <f t="shared" si="24"/>
        <v>0</v>
      </c>
      <c r="P178" s="302">
        <f t="shared" si="24"/>
        <v>0</v>
      </c>
      <c r="Q178" s="302">
        <f t="shared" si="24"/>
        <v>0</v>
      </c>
      <c r="R178" s="302">
        <f t="shared" si="24"/>
        <v>0</v>
      </c>
      <c r="S178" s="302">
        <f t="shared" si="24"/>
        <v>0</v>
      </c>
      <c r="T178" s="302">
        <f t="shared" si="24"/>
        <v>0</v>
      </c>
      <c r="U178" s="302">
        <f t="shared" si="24"/>
        <v>0</v>
      </c>
      <c r="V178" s="302">
        <f t="shared" si="24"/>
        <v>0</v>
      </c>
      <c r="W178" s="302">
        <f t="shared" si="24"/>
        <v>0</v>
      </c>
      <c r="X178" s="302">
        <f t="shared" si="24"/>
        <v>0</v>
      </c>
      <c r="Y178" s="302">
        <f t="shared" si="24"/>
        <v>0</v>
      </c>
      <c r="Z178" s="301"/>
    </row>
    <row r="179" spans="1:26" s="291" customFormat="1" x14ac:dyDescent="0.2">
      <c r="A179" s="131">
        <v>6</v>
      </c>
      <c r="B179" s="107"/>
      <c r="C179" s="80" t="str">
        <f>B145</f>
        <v xml:space="preserve">Option 5: </v>
      </c>
      <c r="D179" s="80"/>
      <c r="E179" s="302">
        <f t="shared" ref="E179:Y179" si="25">E166</f>
        <v>0</v>
      </c>
      <c r="F179" s="302">
        <f t="shared" si="25"/>
        <v>0</v>
      </c>
      <c r="G179" s="302">
        <f t="shared" si="25"/>
        <v>0</v>
      </c>
      <c r="H179" s="302">
        <f t="shared" si="25"/>
        <v>0</v>
      </c>
      <c r="I179" s="302">
        <f t="shared" si="25"/>
        <v>0</v>
      </c>
      <c r="J179" s="302">
        <f t="shared" si="25"/>
        <v>0</v>
      </c>
      <c r="K179" s="302">
        <f t="shared" si="25"/>
        <v>0</v>
      </c>
      <c r="L179" s="302">
        <f t="shared" si="25"/>
        <v>0</v>
      </c>
      <c r="M179" s="302">
        <f t="shared" si="25"/>
        <v>0</v>
      </c>
      <c r="N179" s="302">
        <f t="shared" si="25"/>
        <v>0</v>
      </c>
      <c r="O179" s="302">
        <f t="shared" si="25"/>
        <v>0</v>
      </c>
      <c r="P179" s="302">
        <f t="shared" si="25"/>
        <v>0</v>
      </c>
      <c r="Q179" s="302">
        <f t="shared" si="25"/>
        <v>0</v>
      </c>
      <c r="R179" s="302">
        <f t="shared" si="25"/>
        <v>0</v>
      </c>
      <c r="S179" s="302">
        <f t="shared" si="25"/>
        <v>0</v>
      </c>
      <c r="T179" s="302">
        <f t="shared" si="25"/>
        <v>0</v>
      </c>
      <c r="U179" s="302">
        <f t="shared" si="25"/>
        <v>0</v>
      </c>
      <c r="V179" s="302">
        <f t="shared" si="25"/>
        <v>0</v>
      </c>
      <c r="W179" s="302">
        <f t="shared" si="25"/>
        <v>0</v>
      </c>
      <c r="X179" s="302">
        <f t="shared" si="25"/>
        <v>0</v>
      </c>
      <c r="Y179" s="302">
        <f t="shared" si="25"/>
        <v>0</v>
      </c>
      <c r="Z179" s="301"/>
    </row>
    <row r="180" spans="1:26" s="291" customFormat="1" x14ac:dyDescent="0.2">
      <c r="A180" s="85"/>
      <c r="B180" s="107"/>
      <c r="C180" s="80"/>
      <c r="D180" s="80"/>
      <c r="E180" s="80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5"/>
      <c r="X180" s="80"/>
      <c r="Y180" s="80"/>
      <c r="Z180" s="301"/>
    </row>
    <row r="181" spans="1:26" s="291" customFormat="1" x14ac:dyDescent="0.2">
      <c r="A181" s="85"/>
      <c r="B181" s="107"/>
      <c r="C181" s="79" t="s">
        <v>80</v>
      </c>
      <c r="D181" s="80"/>
      <c r="E181" s="80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5"/>
      <c r="X181" s="80"/>
      <c r="Y181" s="80"/>
      <c r="Z181" s="301"/>
    </row>
    <row r="182" spans="1:26" s="291" customFormat="1" x14ac:dyDescent="0.2">
      <c r="A182" s="85"/>
      <c r="B182" s="107"/>
      <c r="C182" s="80"/>
      <c r="D182" s="80"/>
      <c r="E182" s="80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5"/>
      <c r="X182" s="80"/>
      <c r="Y182" s="80"/>
      <c r="Z182" s="301"/>
    </row>
    <row r="183" spans="1:26" s="291" customFormat="1" x14ac:dyDescent="0.2">
      <c r="A183" s="130">
        <v>1</v>
      </c>
      <c r="B183" s="107"/>
      <c r="C183" s="80" t="str">
        <f>B25</f>
        <v>"Status Quo" Reference Case</v>
      </c>
      <c r="D183" s="80"/>
      <c r="E183" s="145">
        <f t="shared" ref="E183:Y183" si="26">E47</f>
        <v>0</v>
      </c>
      <c r="F183" s="145">
        <f t="shared" si="26"/>
        <v>85.585876644643633</v>
      </c>
      <c r="G183" s="145">
        <f t="shared" si="26"/>
        <v>162.06230640206138</v>
      </c>
      <c r="H183" s="145">
        <f t="shared" si="26"/>
        <v>153.43764757709798</v>
      </c>
      <c r="I183" s="145">
        <f t="shared" si="26"/>
        <v>145.27197728252406</v>
      </c>
      <c r="J183" s="145">
        <f t="shared" si="26"/>
        <v>137.54086899025265</v>
      </c>
      <c r="K183" s="145">
        <f t="shared" si="26"/>
        <v>130.22119610723834</v>
      </c>
      <c r="L183" s="145">
        <f t="shared" si="26"/>
        <v>123.2910627953179</v>
      </c>
      <c r="M183" s="145">
        <f t="shared" si="26"/>
        <v>116.72973847269161</v>
      </c>
      <c r="N183" s="145">
        <f t="shared" si="26"/>
        <v>110.51759580111619</v>
      </c>
      <c r="O183" s="145">
        <f t="shared" si="26"/>
        <v>104.63605197330536</v>
      </c>
      <c r="P183" s="145">
        <f t="shared" si="26"/>
        <v>99.067513124907109</v>
      </c>
      <c r="Q183" s="145">
        <f t="shared" si="26"/>
        <v>93.795321704774111</v>
      </c>
      <c r="R183" s="145">
        <f t="shared" si="26"/>
        <v>88.803706646091499</v>
      </c>
      <c r="S183" s="145">
        <f t="shared" si="26"/>
        <v>84.077736189305909</v>
      </c>
      <c r="T183" s="145">
        <f t="shared" si="26"/>
        <v>79.603273215731804</v>
      </c>
      <c r="U183" s="145">
        <f t="shared" si="26"/>
        <v>75.366932958221426</v>
      </c>
      <c r="V183" s="145">
        <f t="shared" si="26"/>
        <v>71.356042962395193</v>
      </c>
      <c r="W183" s="145">
        <f t="shared" si="26"/>
        <v>67.558605178662262</v>
      </c>
      <c r="X183" s="145">
        <f t="shared" si="26"/>
        <v>63.963260071633989</v>
      </c>
      <c r="Y183" s="145">
        <f t="shared" si="26"/>
        <v>60.559252639568768</v>
      </c>
      <c r="Z183" s="301"/>
    </row>
    <row r="184" spans="1:26" s="291" customFormat="1" x14ac:dyDescent="0.2">
      <c r="A184" s="130">
        <v>2</v>
      </c>
      <c r="B184" s="107"/>
      <c r="C184" s="80" t="str">
        <f>B49</f>
        <v>Option 1: Provide In Meter Capabilities</v>
      </c>
      <c r="D184" s="80"/>
      <c r="E184" s="145">
        <f t="shared" ref="E184:Y184" si="27">E71</f>
        <v>969.54561022260259</v>
      </c>
      <c r="F184" s="145">
        <f t="shared" si="27"/>
        <v>719.40269878525623</v>
      </c>
      <c r="G184" s="145">
        <f t="shared" si="27"/>
        <v>0</v>
      </c>
      <c r="H184" s="145">
        <f t="shared" si="27"/>
        <v>0</v>
      </c>
      <c r="I184" s="145">
        <f t="shared" si="27"/>
        <v>0</v>
      </c>
      <c r="J184" s="145">
        <f t="shared" si="27"/>
        <v>0</v>
      </c>
      <c r="K184" s="145">
        <f t="shared" si="27"/>
        <v>0</v>
      </c>
      <c r="L184" s="145">
        <f t="shared" si="27"/>
        <v>0</v>
      </c>
      <c r="M184" s="145">
        <f t="shared" si="27"/>
        <v>0</v>
      </c>
      <c r="N184" s="145">
        <f t="shared" si="27"/>
        <v>0</v>
      </c>
      <c r="O184" s="145">
        <f t="shared" si="27"/>
        <v>0</v>
      </c>
      <c r="P184" s="145">
        <f t="shared" si="27"/>
        <v>0</v>
      </c>
      <c r="Q184" s="145">
        <f t="shared" si="27"/>
        <v>0</v>
      </c>
      <c r="R184" s="145">
        <f t="shared" si="27"/>
        <v>0</v>
      </c>
      <c r="S184" s="145">
        <f t="shared" si="27"/>
        <v>0</v>
      </c>
      <c r="T184" s="145">
        <f t="shared" si="27"/>
        <v>0</v>
      </c>
      <c r="U184" s="145">
        <f t="shared" si="27"/>
        <v>0</v>
      </c>
      <c r="V184" s="145">
        <f t="shared" si="27"/>
        <v>0</v>
      </c>
      <c r="W184" s="145">
        <f t="shared" si="27"/>
        <v>0</v>
      </c>
      <c r="X184" s="145">
        <f t="shared" si="27"/>
        <v>0</v>
      </c>
      <c r="Y184" s="145">
        <f t="shared" si="27"/>
        <v>0</v>
      </c>
      <c r="Z184" s="301"/>
    </row>
    <row r="185" spans="1:26" s="291" customFormat="1" x14ac:dyDescent="0.2">
      <c r="A185" s="130">
        <v>3</v>
      </c>
      <c r="B185" s="107"/>
      <c r="C185" s="80" t="str">
        <f>B73</f>
        <v>Option 2: Provide In Meter Capabilities with Near Real-time Centralised Analytics</v>
      </c>
      <c r="D185" s="80"/>
      <c r="E185" s="145">
        <f t="shared" ref="E185:Y185" si="28">E95</f>
        <v>4339.0377108081384</v>
      </c>
      <c r="F185" s="145">
        <f t="shared" si="28"/>
        <v>3218.7136488517581</v>
      </c>
      <c r="G185" s="145">
        <f t="shared" si="28"/>
        <v>0</v>
      </c>
      <c r="H185" s="145">
        <f t="shared" si="28"/>
        <v>0</v>
      </c>
      <c r="I185" s="145">
        <f t="shared" si="28"/>
        <v>0</v>
      </c>
      <c r="J185" s="145">
        <f t="shared" si="28"/>
        <v>0</v>
      </c>
      <c r="K185" s="145">
        <f t="shared" si="28"/>
        <v>0</v>
      </c>
      <c r="L185" s="145">
        <f t="shared" si="28"/>
        <v>0</v>
      </c>
      <c r="M185" s="145">
        <f t="shared" si="28"/>
        <v>0</v>
      </c>
      <c r="N185" s="145">
        <f t="shared" si="28"/>
        <v>0</v>
      </c>
      <c r="O185" s="145">
        <f t="shared" si="28"/>
        <v>0</v>
      </c>
      <c r="P185" s="145">
        <f t="shared" si="28"/>
        <v>0</v>
      </c>
      <c r="Q185" s="145">
        <f t="shared" si="28"/>
        <v>0</v>
      </c>
      <c r="R185" s="145">
        <f t="shared" si="28"/>
        <v>0</v>
      </c>
      <c r="S185" s="145">
        <f t="shared" si="28"/>
        <v>0</v>
      </c>
      <c r="T185" s="145">
        <f t="shared" si="28"/>
        <v>0</v>
      </c>
      <c r="U185" s="145">
        <f t="shared" si="28"/>
        <v>0</v>
      </c>
      <c r="V185" s="145">
        <f t="shared" si="28"/>
        <v>0</v>
      </c>
      <c r="W185" s="145">
        <f t="shared" si="28"/>
        <v>0</v>
      </c>
      <c r="X185" s="145">
        <f t="shared" si="28"/>
        <v>0</v>
      </c>
      <c r="Y185" s="145">
        <f t="shared" si="28"/>
        <v>0</v>
      </c>
      <c r="Z185" s="301"/>
    </row>
    <row r="186" spans="1:26" s="291" customFormat="1" x14ac:dyDescent="0.2">
      <c r="A186" s="131">
        <v>4</v>
      </c>
      <c r="B186" s="107"/>
      <c r="C186" s="80" t="str">
        <f>B97</f>
        <v xml:space="preserve">Option 3: </v>
      </c>
      <c r="D186" s="80"/>
      <c r="E186" s="145">
        <f t="shared" ref="E186:Y186" si="29">E119</f>
        <v>0</v>
      </c>
      <c r="F186" s="145">
        <f t="shared" si="29"/>
        <v>0</v>
      </c>
      <c r="G186" s="145">
        <f t="shared" si="29"/>
        <v>0</v>
      </c>
      <c r="H186" s="145">
        <f t="shared" si="29"/>
        <v>0</v>
      </c>
      <c r="I186" s="145">
        <f t="shared" si="29"/>
        <v>0</v>
      </c>
      <c r="J186" s="145">
        <f t="shared" si="29"/>
        <v>0</v>
      </c>
      <c r="K186" s="145">
        <f t="shared" si="29"/>
        <v>0</v>
      </c>
      <c r="L186" s="145">
        <f t="shared" si="29"/>
        <v>0</v>
      </c>
      <c r="M186" s="145">
        <f t="shared" si="29"/>
        <v>0</v>
      </c>
      <c r="N186" s="145">
        <f t="shared" si="29"/>
        <v>0</v>
      </c>
      <c r="O186" s="145">
        <f t="shared" si="29"/>
        <v>0</v>
      </c>
      <c r="P186" s="145">
        <f t="shared" si="29"/>
        <v>0</v>
      </c>
      <c r="Q186" s="145">
        <f t="shared" si="29"/>
        <v>0</v>
      </c>
      <c r="R186" s="145">
        <f t="shared" si="29"/>
        <v>0</v>
      </c>
      <c r="S186" s="145">
        <f t="shared" si="29"/>
        <v>0</v>
      </c>
      <c r="T186" s="145">
        <f t="shared" si="29"/>
        <v>0</v>
      </c>
      <c r="U186" s="145">
        <f t="shared" si="29"/>
        <v>0</v>
      </c>
      <c r="V186" s="145">
        <f t="shared" si="29"/>
        <v>0</v>
      </c>
      <c r="W186" s="145">
        <f t="shared" si="29"/>
        <v>0</v>
      </c>
      <c r="X186" s="145">
        <f t="shared" si="29"/>
        <v>0</v>
      </c>
      <c r="Y186" s="145">
        <f t="shared" si="29"/>
        <v>0</v>
      </c>
      <c r="Z186" s="301"/>
    </row>
    <row r="187" spans="1:26" s="291" customFormat="1" x14ac:dyDescent="0.2">
      <c r="A187" s="131">
        <v>5</v>
      </c>
      <c r="B187" s="107"/>
      <c r="C187" s="80" t="str">
        <f>B121</f>
        <v xml:space="preserve">Option 4: </v>
      </c>
      <c r="D187" s="80"/>
      <c r="E187" s="145">
        <f t="shared" ref="E187:Y187" si="30">E143</f>
        <v>0</v>
      </c>
      <c r="F187" s="145">
        <f t="shared" si="30"/>
        <v>0</v>
      </c>
      <c r="G187" s="145">
        <f t="shared" si="30"/>
        <v>0</v>
      </c>
      <c r="H187" s="145">
        <f t="shared" si="30"/>
        <v>0</v>
      </c>
      <c r="I187" s="145">
        <f t="shared" si="30"/>
        <v>0</v>
      </c>
      <c r="J187" s="145">
        <f t="shared" si="30"/>
        <v>0</v>
      </c>
      <c r="K187" s="145">
        <f t="shared" si="30"/>
        <v>0</v>
      </c>
      <c r="L187" s="145">
        <f t="shared" si="30"/>
        <v>0</v>
      </c>
      <c r="M187" s="145">
        <f t="shared" si="30"/>
        <v>0</v>
      </c>
      <c r="N187" s="145">
        <f t="shared" si="30"/>
        <v>0</v>
      </c>
      <c r="O187" s="145">
        <f t="shared" si="30"/>
        <v>0</v>
      </c>
      <c r="P187" s="145">
        <f t="shared" si="30"/>
        <v>0</v>
      </c>
      <c r="Q187" s="145">
        <f t="shared" si="30"/>
        <v>0</v>
      </c>
      <c r="R187" s="145">
        <f t="shared" si="30"/>
        <v>0</v>
      </c>
      <c r="S187" s="145">
        <f t="shared" si="30"/>
        <v>0</v>
      </c>
      <c r="T187" s="145">
        <f t="shared" si="30"/>
        <v>0</v>
      </c>
      <c r="U187" s="145">
        <f t="shared" si="30"/>
        <v>0</v>
      </c>
      <c r="V187" s="145">
        <f t="shared" si="30"/>
        <v>0</v>
      </c>
      <c r="W187" s="145">
        <f t="shared" si="30"/>
        <v>0</v>
      </c>
      <c r="X187" s="145">
        <f t="shared" si="30"/>
        <v>0</v>
      </c>
      <c r="Y187" s="145">
        <f t="shared" si="30"/>
        <v>0</v>
      </c>
      <c r="Z187" s="301"/>
    </row>
    <row r="188" spans="1:26" s="291" customFormat="1" x14ac:dyDescent="0.2">
      <c r="A188" s="131">
        <v>6</v>
      </c>
      <c r="B188" s="107"/>
      <c r="C188" s="80" t="str">
        <f>B145</f>
        <v xml:space="preserve">Option 5: </v>
      </c>
      <c r="D188" s="80"/>
      <c r="E188" s="145">
        <f t="shared" ref="E188:Y188" si="31">E167</f>
        <v>0</v>
      </c>
      <c r="F188" s="145">
        <f t="shared" si="31"/>
        <v>0</v>
      </c>
      <c r="G188" s="145">
        <f t="shared" si="31"/>
        <v>0</v>
      </c>
      <c r="H188" s="145">
        <f t="shared" si="31"/>
        <v>0</v>
      </c>
      <c r="I188" s="145">
        <f t="shared" si="31"/>
        <v>0</v>
      </c>
      <c r="J188" s="145">
        <f t="shared" si="31"/>
        <v>0</v>
      </c>
      <c r="K188" s="145">
        <f t="shared" si="31"/>
        <v>0</v>
      </c>
      <c r="L188" s="145">
        <f t="shared" si="31"/>
        <v>0</v>
      </c>
      <c r="M188" s="145">
        <f t="shared" si="31"/>
        <v>0</v>
      </c>
      <c r="N188" s="145">
        <f t="shared" si="31"/>
        <v>0</v>
      </c>
      <c r="O188" s="145">
        <f t="shared" si="31"/>
        <v>0</v>
      </c>
      <c r="P188" s="145">
        <f t="shared" si="31"/>
        <v>0</v>
      </c>
      <c r="Q188" s="145">
        <f t="shared" si="31"/>
        <v>0</v>
      </c>
      <c r="R188" s="145">
        <f t="shared" si="31"/>
        <v>0</v>
      </c>
      <c r="S188" s="145">
        <f t="shared" si="31"/>
        <v>0</v>
      </c>
      <c r="T188" s="145">
        <f t="shared" si="31"/>
        <v>0</v>
      </c>
      <c r="U188" s="145">
        <f t="shared" si="31"/>
        <v>0</v>
      </c>
      <c r="V188" s="145">
        <f t="shared" si="31"/>
        <v>0</v>
      </c>
      <c r="W188" s="145">
        <f t="shared" si="31"/>
        <v>0</v>
      </c>
      <c r="X188" s="145">
        <f t="shared" si="31"/>
        <v>0</v>
      </c>
      <c r="Y188" s="145">
        <f t="shared" si="31"/>
        <v>0</v>
      </c>
      <c r="Z188" s="301"/>
    </row>
    <row r="189" spans="1:26" s="291" customFormat="1" x14ac:dyDescent="0.2">
      <c r="A189" s="85"/>
      <c r="B189" s="107"/>
      <c r="C189" s="96"/>
      <c r="D189" s="96"/>
      <c r="E189" s="96"/>
      <c r="F189" s="293"/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  <c r="X189" s="96"/>
      <c r="Y189" s="96"/>
      <c r="Z189" s="303"/>
    </row>
    <row r="190" spans="1:26" s="291" customFormat="1" x14ac:dyDescent="0.2">
      <c r="A190" s="80"/>
      <c r="B190" s="107"/>
      <c r="C190" s="80"/>
      <c r="D190" s="80"/>
      <c r="E190" s="80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80"/>
      <c r="Y190" s="80"/>
      <c r="Z190" s="301"/>
    </row>
    <row r="191" spans="1:26" s="291" customFormat="1" ht="102" x14ac:dyDescent="0.2">
      <c r="A191" s="80"/>
      <c r="B191" s="107"/>
      <c r="C191" s="385"/>
      <c r="D191" s="386" t="str">
        <f>B25</f>
        <v>"Status Quo" Reference Case</v>
      </c>
      <c r="E191" s="386" t="str">
        <f>B49</f>
        <v>Option 1: Provide In Meter Capabilities</v>
      </c>
      <c r="F191" s="387" t="str">
        <f>B73</f>
        <v>Option 2: Provide In Meter Capabilities with Near Real-time Centralised Analytics</v>
      </c>
      <c r="G191" s="388" t="str">
        <f>B97</f>
        <v xml:space="preserve">Option 3: </v>
      </c>
      <c r="H191" s="388" t="str">
        <f>B121</f>
        <v xml:space="preserve">Option 4: </v>
      </c>
      <c r="I191" s="388" t="str">
        <f>B145</f>
        <v xml:space="preserve">Option 5: </v>
      </c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80"/>
      <c r="Y191" s="80"/>
      <c r="Z191" s="301"/>
    </row>
    <row r="192" spans="1:26" s="291" customFormat="1" x14ac:dyDescent="0.2">
      <c r="A192" s="80"/>
      <c r="B192" s="107"/>
      <c r="C192" s="114"/>
      <c r="D192" s="120"/>
      <c r="E192" s="120"/>
      <c r="F192" s="124"/>
      <c r="G192" s="113"/>
      <c r="H192" s="113"/>
      <c r="I192" s="113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80"/>
      <c r="Y192" s="80"/>
      <c r="Z192" s="301"/>
    </row>
    <row r="193" spans="1:26" s="291" customFormat="1" x14ac:dyDescent="0.2">
      <c r="A193" s="80"/>
      <c r="B193" s="107"/>
      <c r="C193" s="114" t="str">
        <f>C27</f>
        <v>Capital Costs</v>
      </c>
      <c r="D193" s="304">
        <f>D27</f>
        <v>5858.5074170819698</v>
      </c>
      <c r="E193" s="304">
        <f>D51</f>
        <v>2343.9958150556986</v>
      </c>
      <c r="F193" s="305">
        <f>D75</f>
        <v>10488.925176377625</v>
      </c>
      <c r="G193" s="306">
        <f>D99</f>
        <v>0</v>
      </c>
      <c r="H193" s="306">
        <f>D123</f>
        <v>0</v>
      </c>
      <c r="I193" s="306">
        <f>D147</f>
        <v>0</v>
      </c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80"/>
      <c r="Y193" s="80"/>
      <c r="Z193" s="301"/>
    </row>
    <row r="194" spans="1:26" s="291" customFormat="1" x14ac:dyDescent="0.2">
      <c r="A194" s="80"/>
      <c r="B194" s="107"/>
      <c r="C194" s="114" t="str">
        <f>C28</f>
        <v>Maintenance Costs</v>
      </c>
      <c r="D194" s="304">
        <f>D28</f>
        <v>0</v>
      </c>
      <c r="E194" s="304">
        <f>D52</f>
        <v>0</v>
      </c>
      <c r="F194" s="305">
        <f>D76</f>
        <v>0</v>
      </c>
      <c r="G194" s="306">
        <f>D100</f>
        <v>0</v>
      </c>
      <c r="H194" s="306">
        <f>D124</f>
        <v>0</v>
      </c>
      <c r="I194" s="306">
        <f>D148</f>
        <v>0</v>
      </c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5"/>
      <c r="X194" s="80"/>
      <c r="Y194" s="80"/>
      <c r="Z194" s="301"/>
    </row>
    <row r="195" spans="1:26" s="291" customFormat="1" x14ac:dyDescent="0.2">
      <c r="A195" s="80"/>
      <c r="B195" s="107"/>
      <c r="C195" s="114" t="str">
        <f>C29</f>
        <v>Negative Impact on Revenue (STPIS)</v>
      </c>
      <c r="D195" s="304">
        <f>SUM(D30:D33)</f>
        <v>0</v>
      </c>
      <c r="E195" s="304">
        <f>SUM(D54:D57)</f>
        <v>0</v>
      </c>
      <c r="F195" s="305">
        <f>SUM(D78:D81)</f>
        <v>0</v>
      </c>
      <c r="G195" s="306">
        <f>SUM(D102:D105)</f>
        <v>0</v>
      </c>
      <c r="H195" s="306">
        <f>SUM(D126:D129)</f>
        <v>0</v>
      </c>
      <c r="I195" s="306">
        <f>SUM(D150:D153)</f>
        <v>0</v>
      </c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80"/>
      <c r="Y195" s="80"/>
      <c r="Z195" s="301"/>
    </row>
    <row r="196" spans="1:26" s="291" customFormat="1" x14ac:dyDescent="0.2">
      <c r="A196" s="80"/>
      <c r="B196" s="107"/>
      <c r="C196" s="114" t="str">
        <f>C34</f>
        <v>Network Outage Costs</v>
      </c>
      <c r="D196" s="304">
        <f>D34</f>
        <v>0</v>
      </c>
      <c r="E196" s="304">
        <f t="shared" ref="E196:E202" si="32">D58</f>
        <v>0</v>
      </c>
      <c r="F196" s="305">
        <f t="shared" ref="F196:F202" si="33">D82</f>
        <v>0</v>
      </c>
      <c r="G196" s="306">
        <f t="shared" ref="G196:G202" si="34">D106</f>
        <v>0</v>
      </c>
      <c r="H196" s="306">
        <f t="shared" ref="H196:H202" si="35">D130</f>
        <v>0</v>
      </c>
      <c r="I196" s="306">
        <f t="shared" ref="I196:I202" si="36">D154</f>
        <v>0</v>
      </c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5"/>
      <c r="X196" s="80"/>
      <c r="Y196" s="80"/>
      <c r="Z196" s="301"/>
    </row>
    <row r="197" spans="1:26" s="291" customFormat="1" x14ac:dyDescent="0.2">
      <c r="A197" s="80"/>
      <c r="B197" s="107"/>
      <c r="C197" s="114" t="str">
        <f>C35</f>
        <v>Loss of F Factor Benefit</v>
      </c>
      <c r="D197" s="304">
        <f>D35</f>
        <v>0</v>
      </c>
      <c r="E197" s="304">
        <f t="shared" si="32"/>
        <v>0</v>
      </c>
      <c r="F197" s="305">
        <f t="shared" si="33"/>
        <v>0</v>
      </c>
      <c r="G197" s="306">
        <f t="shared" si="34"/>
        <v>0</v>
      </c>
      <c r="H197" s="306">
        <f t="shared" si="35"/>
        <v>0</v>
      </c>
      <c r="I197" s="306">
        <f t="shared" si="36"/>
        <v>0</v>
      </c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5"/>
      <c r="X197" s="80"/>
      <c r="Y197" s="80"/>
      <c r="Z197" s="301"/>
    </row>
    <row r="198" spans="1:26" s="291" customFormat="1" x14ac:dyDescent="0.2">
      <c r="A198" s="80"/>
      <c r="B198" s="107"/>
      <c r="C198" s="114" t="str">
        <f t="shared" ref="C198:D202" si="37">C36</f>
        <v>Cost 1</v>
      </c>
      <c r="D198" s="304">
        <f t="shared" si="37"/>
        <v>0</v>
      </c>
      <c r="E198" s="304">
        <f t="shared" si="32"/>
        <v>0</v>
      </c>
      <c r="F198" s="305">
        <f t="shared" si="33"/>
        <v>0</v>
      </c>
      <c r="G198" s="306">
        <f t="shared" si="34"/>
        <v>0</v>
      </c>
      <c r="H198" s="306">
        <f t="shared" si="35"/>
        <v>0</v>
      </c>
      <c r="I198" s="306">
        <f t="shared" si="36"/>
        <v>0</v>
      </c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80"/>
      <c r="Y198" s="80"/>
      <c r="Z198" s="301"/>
    </row>
    <row r="199" spans="1:26" s="291" customFormat="1" x14ac:dyDescent="0.2">
      <c r="A199" s="80"/>
      <c r="B199" s="107"/>
      <c r="C199" s="114" t="str">
        <f t="shared" si="37"/>
        <v>Cost 2</v>
      </c>
      <c r="D199" s="304">
        <f t="shared" si="37"/>
        <v>0</v>
      </c>
      <c r="E199" s="304">
        <f t="shared" si="32"/>
        <v>0</v>
      </c>
      <c r="F199" s="305">
        <f t="shared" si="33"/>
        <v>0</v>
      </c>
      <c r="G199" s="306">
        <f t="shared" si="34"/>
        <v>0</v>
      </c>
      <c r="H199" s="306">
        <f t="shared" si="35"/>
        <v>0</v>
      </c>
      <c r="I199" s="306">
        <f t="shared" si="36"/>
        <v>0</v>
      </c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80"/>
      <c r="Y199" s="80"/>
      <c r="Z199" s="301"/>
    </row>
    <row r="200" spans="1:26" s="291" customFormat="1" x14ac:dyDescent="0.2">
      <c r="A200" s="80"/>
      <c r="B200" s="107"/>
      <c r="C200" s="114" t="str">
        <f t="shared" si="37"/>
        <v>Cost 3</v>
      </c>
      <c r="D200" s="304">
        <f t="shared" si="37"/>
        <v>0</v>
      </c>
      <c r="E200" s="304">
        <f t="shared" si="32"/>
        <v>0</v>
      </c>
      <c r="F200" s="305">
        <f t="shared" si="33"/>
        <v>0</v>
      </c>
      <c r="G200" s="306">
        <f t="shared" si="34"/>
        <v>0</v>
      </c>
      <c r="H200" s="306">
        <f t="shared" si="35"/>
        <v>0</v>
      </c>
      <c r="I200" s="306">
        <f t="shared" si="36"/>
        <v>0</v>
      </c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5"/>
      <c r="X200" s="80"/>
      <c r="Y200" s="80"/>
      <c r="Z200" s="301"/>
    </row>
    <row r="201" spans="1:26" s="291" customFormat="1" x14ac:dyDescent="0.2">
      <c r="A201" s="80"/>
      <c r="B201" s="107"/>
      <c r="C201" s="114" t="str">
        <f t="shared" si="37"/>
        <v>Cost 4</v>
      </c>
      <c r="D201" s="304">
        <f t="shared" si="37"/>
        <v>0</v>
      </c>
      <c r="E201" s="304">
        <f t="shared" si="32"/>
        <v>0</v>
      </c>
      <c r="F201" s="305">
        <f t="shared" si="33"/>
        <v>0</v>
      </c>
      <c r="G201" s="306">
        <f t="shared" si="34"/>
        <v>0</v>
      </c>
      <c r="H201" s="306">
        <f t="shared" si="35"/>
        <v>0</v>
      </c>
      <c r="I201" s="306">
        <f t="shared" si="36"/>
        <v>0</v>
      </c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5"/>
      <c r="X201" s="80"/>
      <c r="Y201" s="80"/>
      <c r="Z201" s="301"/>
    </row>
    <row r="202" spans="1:26" s="291" customFormat="1" x14ac:dyDescent="0.2">
      <c r="A202" s="80"/>
      <c r="B202" s="107"/>
      <c r="C202" s="114" t="str">
        <f t="shared" si="37"/>
        <v>Cost 5</v>
      </c>
      <c r="D202" s="304">
        <f t="shared" si="37"/>
        <v>0</v>
      </c>
      <c r="E202" s="304">
        <f t="shared" si="32"/>
        <v>0</v>
      </c>
      <c r="F202" s="305">
        <f t="shared" si="33"/>
        <v>0</v>
      </c>
      <c r="G202" s="306">
        <f t="shared" si="34"/>
        <v>0</v>
      </c>
      <c r="H202" s="306">
        <f t="shared" si="35"/>
        <v>0</v>
      </c>
      <c r="I202" s="306">
        <f t="shared" si="36"/>
        <v>0</v>
      </c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5"/>
      <c r="X202" s="80"/>
      <c r="Y202" s="80"/>
      <c r="Z202" s="301"/>
    </row>
    <row r="203" spans="1:26" s="291" customFormat="1" x14ac:dyDescent="0.2">
      <c r="A203" s="80"/>
      <c r="B203" s="107"/>
      <c r="C203" s="114" t="s">
        <v>190</v>
      </c>
      <c r="D203" s="304">
        <f>SUM(D41:D45)</f>
        <v>0</v>
      </c>
      <c r="E203" s="304">
        <f>SUM(D65:D69)</f>
        <v>0</v>
      </c>
      <c r="F203" s="305">
        <f>SUM(D89:D93)</f>
        <v>0</v>
      </c>
      <c r="G203" s="306">
        <f>SUM(D113:D117)</f>
        <v>0</v>
      </c>
      <c r="H203" s="306">
        <f>SUM(D137:D141)</f>
        <v>0</v>
      </c>
      <c r="I203" s="306">
        <f>SUM(D161:D165)</f>
        <v>0</v>
      </c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80"/>
      <c r="Y203" s="80"/>
      <c r="Z203" s="301"/>
    </row>
    <row r="204" spans="1:26" s="291" customFormat="1" x14ac:dyDescent="0.2">
      <c r="A204" s="80"/>
      <c r="B204" s="107"/>
      <c r="C204" s="116" t="str">
        <f>C46</f>
        <v>Total Costs</v>
      </c>
      <c r="D204" s="122">
        <f t="shared" ref="D204:I204" si="38">SUM(D193:D203)</f>
        <v>5858.5074170819698</v>
      </c>
      <c r="E204" s="122">
        <f t="shared" si="38"/>
        <v>2343.9958150556986</v>
      </c>
      <c r="F204" s="122">
        <f t="shared" si="38"/>
        <v>10488.925176377625</v>
      </c>
      <c r="G204" s="122">
        <f t="shared" si="38"/>
        <v>0</v>
      </c>
      <c r="H204" s="122">
        <f t="shared" si="38"/>
        <v>0</v>
      </c>
      <c r="I204" s="126">
        <f t="shared" si="38"/>
        <v>0</v>
      </c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5"/>
      <c r="X204" s="80"/>
      <c r="Y204" s="80"/>
      <c r="Z204" s="301"/>
    </row>
    <row r="205" spans="1:26" s="291" customFormat="1" x14ac:dyDescent="0.2">
      <c r="A205" s="80"/>
      <c r="B205" s="107"/>
      <c r="C205" s="114"/>
      <c r="D205" s="114"/>
      <c r="E205" s="114"/>
      <c r="F205" s="307"/>
      <c r="G205" s="308"/>
      <c r="H205" s="308"/>
      <c r="I205" s="308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80"/>
      <c r="Y205" s="80"/>
      <c r="Z205" s="301"/>
    </row>
    <row r="206" spans="1:26" s="291" customFormat="1" x14ac:dyDescent="0.2">
      <c r="A206" s="80"/>
      <c r="B206" s="107"/>
      <c r="C206" s="118" t="s">
        <v>80</v>
      </c>
      <c r="D206" s="123">
        <f>IF(D204=0," ",D47)</f>
        <v>2053.4459667375409</v>
      </c>
      <c r="E206" s="123">
        <f>IF(E204=0," ",D71)</f>
        <v>1688.9483090078588</v>
      </c>
      <c r="F206" s="128">
        <f>IF(F204=0," ",D95)</f>
        <v>7557.7513596598965</v>
      </c>
      <c r="G206" s="119" t="str">
        <f>IF(G204=0," ",D119)</f>
        <v xml:space="preserve"> </v>
      </c>
      <c r="H206" s="119" t="str">
        <f>IF(H204=0," ",D143)</f>
        <v xml:space="preserve"> </v>
      </c>
      <c r="I206" s="119" t="str">
        <f>IF(I204=0," ",D167)</f>
        <v xml:space="preserve"> </v>
      </c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80"/>
      <c r="Y206" s="80"/>
      <c r="Z206" s="301"/>
    </row>
    <row r="207" spans="1:26" s="291" customFormat="1" x14ac:dyDescent="0.2">
      <c r="A207" s="80"/>
      <c r="B207" s="107"/>
      <c r="C207" s="80"/>
      <c r="D207" s="80"/>
      <c r="E207" s="80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80"/>
      <c r="Y207" s="80"/>
      <c r="Z207" s="301"/>
    </row>
    <row r="208" spans="1:26" s="291" customFormat="1" x14ac:dyDescent="0.2">
      <c r="A208" s="80"/>
      <c r="B208" s="107"/>
      <c r="C208" s="6" t="s">
        <v>92</v>
      </c>
      <c r="D208" s="83">
        <f>MIN(D206:I206)</f>
        <v>1688.9483090078588</v>
      </c>
      <c r="E208" s="80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80"/>
      <c r="Y208" s="80"/>
      <c r="Z208" s="301"/>
    </row>
    <row r="209" spans="1:26" s="291" customFormat="1" x14ac:dyDescent="0.2">
      <c r="A209" s="80"/>
      <c r="B209" s="107"/>
      <c r="C209" s="6" t="s">
        <v>81</v>
      </c>
      <c r="D209" s="6" t="str">
        <f>IF(D208=D206,D191,IF(D208=E206,E191,IF(D208=F206,F191,IF(D208=G206,G191,IF(D208=H206,H191,IF(D208=I206,I191,"N/A"))))))</f>
        <v>Option 1: Provide In Meter Capabilities</v>
      </c>
      <c r="E209" s="80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5"/>
      <c r="X209" s="80"/>
      <c r="Y209" s="80"/>
      <c r="Z209" s="301"/>
    </row>
    <row r="210" spans="1:26" s="291" customFormat="1" ht="13.5" thickBot="1" x14ac:dyDescent="0.25">
      <c r="A210" s="80"/>
      <c r="B210" s="108"/>
      <c r="C210" s="309"/>
      <c r="D210" s="309"/>
      <c r="E210" s="309"/>
      <c r="F210" s="299"/>
      <c r="G210" s="299"/>
      <c r="H210" s="299"/>
      <c r="I210" s="299"/>
      <c r="J210" s="299"/>
      <c r="K210" s="299"/>
      <c r="L210" s="299"/>
      <c r="M210" s="29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309"/>
      <c r="Y210" s="309"/>
      <c r="Z210" s="310"/>
    </row>
    <row r="211" spans="1:26" s="291" customFormat="1" x14ac:dyDescent="0.2">
      <c r="A211" s="80"/>
      <c r="B211" s="80"/>
      <c r="C211" s="80"/>
      <c r="D211" s="80"/>
      <c r="E211" s="80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5"/>
      <c r="X211" s="80"/>
      <c r="Y211" s="80"/>
    </row>
    <row r="212" spans="1:26" s="291" customFormat="1" x14ac:dyDescent="0.2">
      <c r="A212" s="80"/>
      <c r="B212" s="80"/>
      <c r="C212" s="80"/>
      <c r="D212" s="80"/>
      <c r="E212" s="80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80"/>
      <c r="Y212" s="80"/>
    </row>
    <row r="213" spans="1:26" s="311" customFormat="1" hidden="1" x14ac:dyDescent="0.2">
      <c r="B213" s="314" t="s">
        <v>103</v>
      </c>
      <c r="C213" s="315"/>
      <c r="D213" s="315"/>
      <c r="E213" s="315"/>
      <c r="F213" s="316"/>
      <c r="G213" s="316"/>
      <c r="H213" s="316"/>
      <c r="I213" s="316"/>
      <c r="J213" s="316"/>
      <c r="K213" s="316"/>
      <c r="L213" s="316"/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  <c r="X213" s="315"/>
      <c r="Y213" s="315"/>
      <c r="Z213" s="317"/>
    </row>
    <row r="214" spans="1:26" s="311" customFormat="1" hidden="1" x14ac:dyDescent="0.2">
      <c r="B214" s="318"/>
      <c r="C214" s="319"/>
      <c r="D214" s="319"/>
      <c r="E214" s="319"/>
      <c r="F214" s="320"/>
      <c r="G214" s="320"/>
      <c r="H214" s="320"/>
      <c r="I214" s="320"/>
      <c r="J214" s="320"/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19"/>
      <c r="Y214" s="319"/>
      <c r="Z214" s="321"/>
    </row>
    <row r="215" spans="1:26" s="311" customFormat="1" hidden="1" x14ac:dyDescent="0.2">
      <c r="B215" s="318"/>
      <c r="C215" s="319"/>
      <c r="E215" s="311">
        <f t="shared" ref="E215:O215" si="39">E9</f>
        <v>2019</v>
      </c>
      <c r="F215" s="311">
        <f t="shared" si="39"/>
        <v>2020</v>
      </c>
      <c r="G215" s="311">
        <f t="shared" si="39"/>
        <v>2021</v>
      </c>
      <c r="H215" s="311">
        <f t="shared" si="39"/>
        <v>2022</v>
      </c>
      <c r="I215" s="311">
        <f t="shared" si="39"/>
        <v>2023</v>
      </c>
      <c r="J215" s="311">
        <f t="shared" si="39"/>
        <v>2024</v>
      </c>
      <c r="K215" s="311">
        <f t="shared" si="39"/>
        <v>2025</v>
      </c>
      <c r="L215" s="311">
        <f t="shared" si="39"/>
        <v>2026</v>
      </c>
      <c r="M215" s="311">
        <f t="shared" si="39"/>
        <v>2027</v>
      </c>
      <c r="N215" s="311">
        <f t="shared" si="39"/>
        <v>2028</v>
      </c>
      <c r="O215" s="311">
        <f t="shared" si="39"/>
        <v>2029</v>
      </c>
      <c r="P215" s="312"/>
      <c r="Q215" s="312"/>
      <c r="R215" s="312"/>
      <c r="S215" s="312"/>
      <c r="T215" s="312"/>
      <c r="U215" s="312"/>
      <c r="V215" s="312"/>
      <c r="W215" s="312"/>
      <c r="Z215" s="321"/>
    </row>
    <row r="216" spans="1:26" s="311" customFormat="1" hidden="1" x14ac:dyDescent="0.2">
      <c r="B216" s="318"/>
      <c r="C216" s="319"/>
      <c r="D216" s="322" t="s">
        <v>164</v>
      </c>
      <c r="E216" s="313">
        <f t="shared" ref="E216:Y216" si="40">E223</f>
        <v>0</v>
      </c>
      <c r="F216" s="313">
        <f t="shared" si="40"/>
        <v>10.737292056984506</v>
      </c>
      <c r="G216" s="313">
        <f t="shared" si="40"/>
        <v>32.62848310276452</v>
      </c>
      <c r="H216" s="313">
        <f t="shared" si="40"/>
        <v>54.944363254832666</v>
      </c>
      <c r="I216" s="313">
        <f t="shared" si="40"/>
        <v>77.693171481850925</v>
      </c>
      <c r="J216" s="313">
        <f t="shared" si="40"/>
        <v>100.88330658847335</v>
      </c>
      <c r="K216" s="313">
        <f t="shared" si="40"/>
        <v>124.52333031616423</v>
      </c>
      <c r="L216" s="313">
        <f t="shared" si="40"/>
        <v>148.62197050417231</v>
      </c>
      <c r="M216" s="313">
        <f t="shared" si="40"/>
        <v>173.18812431182778</v>
      </c>
      <c r="N216" s="313">
        <f t="shared" si="40"/>
        <v>198.23086150335178</v>
      </c>
      <c r="O216" s="313">
        <f t="shared" si="40"/>
        <v>223.75942779639132</v>
      </c>
      <c r="P216" s="313">
        <f t="shared" si="40"/>
        <v>249.7832482755158</v>
      </c>
      <c r="Q216" s="313">
        <f t="shared" si="40"/>
        <v>276.31193087193532</v>
      </c>
      <c r="R216" s="313">
        <f t="shared" si="40"/>
        <v>303.35526991072538</v>
      </c>
      <c r="S216" s="313">
        <f t="shared" si="40"/>
        <v>330.92324972686799</v>
      </c>
      <c r="T216" s="313">
        <f t="shared" si="40"/>
        <v>359.02604835144371</v>
      </c>
      <c r="U216" s="313">
        <f t="shared" si="40"/>
        <v>387.67404126933621</v>
      </c>
      <c r="V216" s="313">
        <f t="shared" si="40"/>
        <v>416.87780524983583</v>
      </c>
      <c r="W216" s="313">
        <f t="shared" si="40"/>
        <v>446.6481222515572</v>
      </c>
      <c r="X216" s="313">
        <f t="shared" si="40"/>
        <v>476.99598340311189</v>
      </c>
      <c r="Y216" s="313">
        <f t="shared" si="40"/>
        <v>507.9325930610068</v>
      </c>
      <c r="Z216" s="321"/>
    </row>
    <row r="217" spans="1:26" s="311" customFormat="1" hidden="1" x14ac:dyDescent="0.2">
      <c r="B217" s="323"/>
      <c r="C217" s="319"/>
      <c r="D217" s="322" t="str">
        <f>D209&amp;+" annual carrying costs"</f>
        <v>Option 1: Provide In Meter Capabilities annual carrying costs</v>
      </c>
      <c r="E217" s="313">
        <f t="shared" ref="E217:Y217" si="41">E228</f>
        <v>112.97079735613069</v>
      </c>
      <c r="F217" s="313">
        <f t="shared" si="41"/>
        <v>203.22443716532908</v>
      </c>
      <c r="G217" s="313">
        <f t="shared" si="41"/>
        <v>203.22443716532908</v>
      </c>
      <c r="H217" s="313">
        <f t="shared" si="41"/>
        <v>203.22443716532908</v>
      </c>
      <c r="I217" s="313">
        <f t="shared" si="41"/>
        <v>203.22443716532908</v>
      </c>
      <c r="J217" s="313">
        <f t="shared" si="41"/>
        <v>203.22443716532908</v>
      </c>
      <c r="K217" s="313">
        <f t="shared" si="41"/>
        <v>203.22443716532908</v>
      </c>
      <c r="L217" s="313">
        <f t="shared" si="41"/>
        <v>203.22443716532908</v>
      </c>
      <c r="M217" s="313">
        <f t="shared" si="41"/>
        <v>203.22443716532908</v>
      </c>
      <c r="N217" s="313">
        <f t="shared" si="41"/>
        <v>203.22443716532908</v>
      </c>
      <c r="O217" s="313">
        <f t="shared" si="41"/>
        <v>203.22443716532908</v>
      </c>
      <c r="P217" s="313">
        <f t="shared" si="41"/>
        <v>203.22443716532908</v>
      </c>
      <c r="Q217" s="313">
        <f t="shared" si="41"/>
        <v>203.22443716532908</v>
      </c>
      <c r="R217" s="313">
        <f t="shared" si="41"/>
        <v>203.22443716532908</v>
      </c>
      <c r="S217" s="313">
        <f t="shared" si="41"/>
        <v>203.22443716532908</v>
      </c>
      <c r="T217" s="313">
        <f t="shared" si="41"/>
        <v>203.22443716532908</v>
      </c>
      <c r="U217" s="313">
        <f t="shared" si="41"/>
        <v>203.22443716532908</v>
      </c>
      <c r="V217" s="313">
        <f t="shared" si="41"/>
        <v>203.22443716532908</v>
      </c>
      <c r="W217" s="313">
        <f t="shared" si="41"/>
        <v>203.22443716532908</v>
      </c>
      <c r="X217" s="313">
        <f t="shared" si="41"/>
        <v>203.22443716532908</v>
      </c>
      <c r="Y217" s="313">
        <f t="shared" si="41"/>
        <v>203.22443716532908</v>
      </c>
      <c r="Z217" s="321"/>
    </row>
    <row r="218" spans="1:26" s="311" customFormat="1" hidden="1" x14ac:dyDescent="0.2">
      <c r="B218" s="318"/>
      <c r="C218" s="319"/>
      <c r="D218" s="322" t="str">
        <f>D209&amp;+" PV of costs"</f>
        <v>Option 1: Provide In Meter Capabilities PV of costs</v>
      </c>
      <c r="E218" s="313">
        <f>VLOOKUP($B$225,$A$183:$Y$188,5)</f>
        <v>969.54561022260259</v>
      </c>
      <c r="F218" s="313">
        <f>VLOOKUP($B$225,$A$183:$Y$188,6)</f>
        <v>719.40269878525623</v>
      </c>
      <c r="G218" s="313">
        <f>VLOOKUP($B$225,$A$183:$Y$188,7)</f>
        <v>0</v>
      </c>
      <c r="H218" s="313">
        <f>VLOOKUP($B$225,$A$183:$Y$188,8)</f>
        <v>0</v>
      </c>
      <c r="I218" s="313">
        <f>VLOOKUP($B$225,$A$183:$Y$188,9)</f>
        <v>0</v>
      </c>
      <c r="J218" s="313">
        <f>VLOOKUP($B$225,$A$183:$Y$188,10)</f>
        <v>0</v>
      </c>
      <c r="K218" s="313">
        <f>VLOOKUP($B$225,$A$183:$Y$188,11)</f>
        <v>0</v>
      </c>
      <c r="L218" s="313">
        <f>VLOOKUP($B$225,$A$183:$Y$188,12)</f>
        <v>0</v>
      </c>
      <c r="M218" s="313">
        <f>VLOOKUP($B$225,$A$183:$Y$188,13)</f>
        <v>0</v>
      </c>
      <c r="N218" s="313">
        <f>VLOOKUP($B$225,$A$183:$Y$188,14)</f>
        <v>0</v>
      </c>
      <c r="O218" s="313">
        <f>VLOOKUP($B$225,$A$183:$Y$188,15)</f>
        <v>0</v>
      </c>
      <c r="P218" s="313">
        <f>VLOOKUP($B$225,$A$183:$Y$188,16)</f>
        <v>0</v>
      </c>
      <c r="Q218" s="313">
        <f>VLOOKUP($B$225,$A$183:$Y$188,17)</f>
        <v>0</v>
      </c>
      <c r="R218" s="313">
        <f>VLOOKUP($B$225,$A$183:$Y$188,18)</f>
        <v>0</v>
      </c>
      <c r="S218" s="313">
        <f>VLOOKUP($B$225,$A$183:$Y$188,19)</f>
        <v>0</v>
      </c>
      <c r="T218" s="313">
        <f>VLOOKUP($B$225,$A$183:$Y$188,20)</f>
        <v>0</v>
      </c>
      <c r="U218" s="313">
        <f>VLOOKUP($B$225,$A$183:$Y$188,21)</f>
        <v>0</v>
      </c>
      <c r="V218" s="313">
        <f>VLOOKUP($B$225,$A$183:$Y$188,22)</f>
        <v>0</v>
      </c>
      <c r="W218" s="313">
        <f>VLOOKUP($B$225,$A$183:$Y$188,23)</f>
        <v>0</v>
      </c>
      <c r="X218" s="313">
        <f>VLOOKUP($B$225,$A$183:$Y$188,24)</f>
        <v>0</v>
      </c>
      <c r="Y218" s="313">
        <f>VLOOKUP($B$225,$A$183:$Y$188,25)</f>
        <v>0</v>
      </c>
      <c r="Z218" s="321"/>
    </row>
    <row r="219" spans="1:26" s="311" customFormat="1" hidden="1" x14ac:dyDescent="0.2">
      <c r="B219" s="323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  <c r="Q219" s="312"/>
      <c r="R219" s="312"/>
      <c r="S219" s="312"/>
      <c r="T219" s="312"/>
      <c r="U219" s="312"/>
      <c r="V219" s="312"/>
      <c r="W219" s="312"/>
      <c r="Z219" s="321"/>
    </row>
    <row r="220" spans="1:26" s="324" customFormat="1" hidden="1" x14ac:dyDescent="0.2">
      <c r="B220" s="323"/>
      <c r="C220" s="311"/>
      <c r="D220" s="325" t="str">
        <f>B25</f>
        <v>"Status Quo" Reference Case</v>
      </c>
      <c r="E220" s="311"/>
      <c r="F220" s="311"/>
      <c r="G220" s="311"/>
      <c r="H220" s="311"/>
      <c r="I220" s="311"/>
      <c r="J220" s="311"/>
      <c r="K220" s="311"/>
      <c r="L220" s="311"/>
      <c r="M220" s="311"/>
      <c r="N220" s="311"/>
      <c r="O220" s="311"/>
      <c r="P220" s="311"/>
      <c r="Q220" s="311"/>
      <c r="R220" s="311"/>
      <c r="S220" s="311"/>
      <c r="T220" s="311"/>
      <c r="U220" s="311"/>
      <c r="V220" s="311"/>
      <c r="W220" s="311"/>
      <c r="X220" s="311"/>
      <c r="Y220" s="311"/>
      <c r="Z220" s="321"/>
    </row>
    <row r="221" spans="1:26" s="324" customFormat="1" hidden="1" x14ac:dyDescent="0.2">
      <c r="B221" s="323"/>
      <c r="C221" s="311"/>
      <c r="D221" s="322" t="s">
        <v>158</v>
      </c>
      <c r="E221" s="313">
        <f t="shared" ref="E221:Y221" si="42">E46</f>
        <v>0</v>
      </c>
      <c r="F221" s="313">
        <f t="shared" si="42"/>
        <v>123.84419904249718</v>
      </c>
      <c r="G221" s="313">
        <f t="shared" si="42"/>
        <v>252.4935530078433</v>
      </c>
      <c r="H221" s="313">
        <f t="shared" si="42"/>
        <v>257.39192793619549</v>
      </c>
      <c r="I221" s="313">
        <f t="shared" si="42"/>
        <v>262.38533133815764</v>
      </c>
      <c r="J221" s="313">
        <f t="shared" si="42"/>
        <v>267.47560676611789</v>
      </c>
      <c r="K221" s="313">
        <f t="shared" si="42"/>
        <v>272.66463353738055</v>
      </c>
      <c r="L221" s="313">
        <f t="shared" si="42"/>
        <v>277.95432742800574</v>
      </c>
      <c r="M221" s="313">
        <f t="shared" si="42"/>
        <v>283.34664138010908</v>
      </c>
      <c r="N221" s="313">
        <f t="shared" si="42"/>
        <v>288.84356622288317</v>
      </c>
      <c r="O221" s="313">
        <f t="shared" si="42"/>
        <v>294.44713140760717</v>
      </c>
      <c r="P221" s="313">
        <f t="shared" si="42"/>
        <v>300.15940575691474</v>
      </c>
      <c r="Q221" s="313">
        <f t="shared" si="42"/>
        <v>305.98249822859884</v>
      </c>
      <c r="R221" s="313">
        <f t="shared" si="42"/>
        <v>311.91855869423364</v>
      </c>
      <c r="S221" s="313">
        <f t="shared" si="42"/>
        <v>317.96977873290177</v>
      </c>
      <c r="T221" s="313">
        <f t="shared" si="42"/>
        <v>324.13839244032005</v>
      </c>
      <c r="U221" s="313">
        <f t="shared" si="42"/>
        <v>330.42667725366226</v>
      </c>
      <c r="V221" s="313">
        <f t="shared" si="42"/>
        <v>336.83695479238327</v>
      </c>
      <c r="W221" s="313">
        <f t="shared" si="42"/>
        <v>343.37159171535552</v>
      </c>
      <c r="X221" s="313">
        <f t="shared" si="42"/>
        <v>350.03300059463339</v>
      </c>
      <c r="Y221" s="313">
        <f t="shared" si="42"/>
        <v>356.82364080616935</v>
      </c>
      <c r="Z221" s="321"/>
    </row>
    <row r="222" spans="1:26" s="324" customFormat="1" hidden="1" x14ac:dyDescent="0.2">
      <c r="B222" s="323"/>
      <c r="C222" s="311"/>
      <c r="D222" s="322" t="s">
        <v>159</v>
      </c>
      <c r="E222" s="313">
        <f>E221</f>
        <v>0</v>
      </c>
      <c r="F222" s="313">
        <f t="shared" ref="F222:Y222" si="43">F221+E222</f>
        <v>123.84419904249718</v>
      </c>
      <c r="G222" s="313">
        <f t="shared" si="43"/>
        <v>376.3377520503405</v>
      </c>
      <c r="H222" s="313">
        <f t="shared" si="43"/>
        <v>633.72967998653598</v>
      </c>
      <c r="I222" s="313">
        <f t="shared" si="43"/>
        <v>896.11501132469357</v>
      </c>
      <c r="J222" s="313">
        <f t="shared" si="43"/>
        <v>1163.5906180908114</v>
      </c>
      <c r="K222" s="313">
        <f t="shared" si="43"/>
        <v>1436.2552516281919</v>
      </c>
      <c r="L222" s="313">
        <f t="shared" si="43"/>
        <v>1714.2095790561975</v>
      </c>
      <c r="M222" s="313">
        <f t="shared" si="43"/>
        <v>1997.5562204363066</v>
      </c>
      <c r="N222" s="313">
        <f t="shared" si="43"/>
        <v>2286.3997866591899</v>
      </c>
      <c r="O222" s="313">
        <f t="shared" si="43"/>
        <v>2580.8469180667971</v>
      </c>
      <c r="P222" s="313">
        <f t="shared" si="43"/>
        <v>2881.0063238237117</v>
      </c>
      <c r="Q222" s="313">
        <f t="shared" si="43"/>
        <v>3186.9888220523108</v>
      </c>
      <c r="R222" s="313">
        <f t="shared" si="43"/>
        <v>3498.9073807465443</v>
      </c>
      <c r="S222" s="313">
        <f t="shared" si="43"/>
        <v>3816.8771594794462</v>
      </c>
      <c r="T222" s="313">
        <f t="shared" si="43"/>
        <v>4141.015551919766</v>
      </c>
      <c r="U222" s="313">
        <f t="shared" si="43"/>
        <v>4471.4422291734281</v>
      </c>
      <c r="V222" s="313">
        <f t="shared" si="43"/>
        <v>4808.2791839658112</v>
      </c>
      <c r="W222" s="313">
        <f t="shared" si="43"/>
        <v>5151.650775681167</v>
      </c>
      <c r="X222" s="313">
        <f t="shared" si="43"/>
        <v>5501.6837762758005</v>
      </c>
      <c r="Y222" s="313">
        <f t="shared" si="43"/>
        <v>5858.5074170819698</v>
      </c>
      <c r="Z222" s="321"/>
    </row>
    <row r="223" spans="1:26" s="324" customFormat="1" hidden="1" x14ac:dyDescent="0.2">
      <c r="B223" s="323"/>
      <c r="C223" s="311"/>
      <c r="D223" s="322" t="s">
        <v>160</v>
      </c>
      <c r="E223" s="326">
        <f>E222*'Administrator Input'!$F$22</f>
        <v>0</v>
      </c>
      <c r="F223" s="326">
        <f>F222*'Administrator Input'!$F$22</f>
        <v>10.737292056984506</v>
      </c>
      <c r="G223" s="326">
        <f>G222*'Administrator Input'!$F$22</f>
        <v>32.62848310276452</v>
      </c>
      <c r="H223" s="326">
        <f>H222*'Administrator Input'!$F$22</f>
        <v>54.944363254832666</v>
      </c>
      <c r="I223" s="326">
        <f>I222*'Administrator Input'!$F$22</f>
        <v>77.693171481850925</v>
      </c>
      <c r="J223" s="326">
        <f>J222*'Administrator Input'!$F$22</f>
        <v>100.88330658847335</v>
      </c>
      <c r="K223" s="326">
        <f>K222*'Administrator Input'!$F$22</f>
        <v>124.52333031616423</v>
      </c>
      <c r="L223" s="326">
        <f>L222*'Administrator Input'!$F$22</f>
        <v>148.62197050417231</v>
      </c>
      <c r="M223" s="326">
        <f>M222*'Administrator Input'!$F$22</f>
        <v>173.18812431182778</v>
      </c>
      <c r="N223" s="326">
        <f>N222*'Administrator Input'!$F$22</f>
        <v>198.23086150335178</v>
      </c>
      <c r="O223" s="326">
        <f>O222*'Administrator Input'!$F$22</f>
        <v>223.75942779639132</v>
      </c>
      <c r="P223" s="326">
        <f>P222*'Administrator Input'!$F$22</f>
        <v>249.7832482755158</v>
      </c>
      <c r="Q223" s="326">
        <f>Q222*'Administrator Input'!$F$22</f>
        <v>276.31193087193532</v>
      </c>
      <c r="R223" s="326">
        <f>R222*'Administrator Input'!$F$22</f>
        <v>303.35526991072538</v>
      </c>
      <c r="S223" s="326">
        <f>S222*'Administrator Input'!$F$22</f>
        <v>330.92324972686799</v>
      </c>
      <c r="T223" s="326">
        <f>T222*'Administrator Input'!$F$22</f>
        <v>359.02604835144371</v>
      </c>
      <c r="U223" s="326">
        <f>U222*'Administrator Input'!$F$22</f>
        <v>387.67404126933621</v>
      </c>
      <c r="V223" s="326">
        <f>V222*'Administrator Input'!$F$22</f>
        <v>416.87780524983583</v>
      </c>
      <c r="W223" s="326">
        <f>W222*'Administrator Input'!$F$22</f>
        <v>446.6481222515572</v>
      </c>
      <c r="X223" s="326">
        <f>X222*'Administrator Input'!$F$22</f>
        <v>476.99598340311189</v>
      </c>
      <c r="Y223" s="326">
        <f>Y222*'Administrator Input'!$F$22</f>
        <v>507.9325930610068</v>
      </c>
      <c r="Z223" s="321"/>
    </row>
    <row r="224" spans="1:26" s="324" customFormat="1" hidden="1" x14ac:dyDescent="0.2">
      <c r="B224" s="323"/>
      <c r="C224" s="311"/>
      <c r="D224" s="311"/>
      <c r="E224" s="311"/>
      <c r="F224" s="311"/>
      <c r="G224" s="311"/>
      <c r="H224" s="311"/>
      <c r="I224" s="311"/>
      <c r="J224" s="311"/>
      <c r="K224" s="311"/>
      <c r="L224" s="311"/>
      <c r="M224" s="311"/>
      <c r="N224" s="311"/>
      <c r="O224" s="311"/>
      <c r="P224" s="311"/>
      <c r="Q224" s="311"/>
      <c r="R224" s="311"/>
      <c r="S224" s="311"/>
      <c r="T224" s="311"/>
      <c r="U224" s="311"/>
      <c r="V224" s="311"/>
      <c r="W224" s="311"/>
      <c r="X224" s="311"/>
      <c r="Y224" s="311"/>
      <c r="Z224" s="321"/>
    </row>
    <row r="225" spans="1:26" s="324" customFormat="1" hidden="1" x14ac:dyDescent="0.2">
      <c r="B225" s="318">
        <f>IF(D209=D191,1,IF(D209=E191,2,IF(D209=F191,3,IF(D209=G191,4,IF(D209=H191,5,IF(D209=I191,6,"N/A"))))))</f>
        <v>2</v>
      </c>
      <c r="C225" s="311"/>
      <c r="D225" s="325" t="str">
        <f>"Recommended Case: "&amp;+D209</f>
        <v>Recommended Case: Option 1: Provide In Meter Capabilities</v>
      </c>
      <c r="E225" s="311"/>
      <c r="F225" s="311"/>
      <c r="G225" s="311"/>
      <c r="H225" s="311"/>
      <c r="I225" s="311"/>
      <c r="J225" s="311"/>
      <c r="K225" s="311"/>
      <c r="L225" s="311"/>
      <c r="M225" s="311"/>
      <c r="N225" s="311"/>
      <c r="O225" s="311"/>
      <c r="P225" s="311"/>
      <c r="Q225" s="311"/>
      <c r="R225" s="311"/>
      <c r="S225" s="311"/>
      <c r="T225" s="311"/>
      <c r="U225" s="311"/>
      <c r="V225" s="311"/>
      <c r="W225" s="311"/>
      <c r="X225" s="311"/>
      <c r="Y225" s="311"/>
      <c r="Z225" s="321"/>
    </row>
    <row r="226" spans="1:26" s="324" customFormat="1" hidden="1" x14ac:dyDescent="0.2">
      <c r="B226" s="323"/>
      <c r="C226" s="311"/>
      <c r="D226" s="322" t="s">
        <v>158</v>
      </c>
      <c r="E226" s="313">
        <f>VLOOKUP($B$225,$A$174:$Y$179,5)</f>
        <v>1303.0080433233068</v>
      </c>
      <c r="F226" s="313">
        <f>VLOOKUP($B$225,$A$174:$Y$179,6)</f>
        <v>1040.9877717323916</v>
      </c>
      <c r="G226" s="313">
        <f>VLOOKUP($B$225,$A$174:$Y$179,7)</f>
        <v>0</v>
      </c>
      <c r="H226" s="313">
        <f>VLOOKUP($B$225,$A$174:$Y$179,8)</f>
        <v>0</v>
      </c>
      <c r="I226" s="313">
        <f>VLOOKUP($B$225,$A$174:$Y$179,9)</f>
        <v>0</v>
      </c>
      <c r="J226" s="313">
        <f>VLOOKUP($B$225,$A$174:$Y$179,10)</f>
        <v>0</v>
      </c>
      <c r="K226" s="313">
        <f>VLOOKUP($B$225,$A$174:$Y$179,11)</f>
        <v>0</v>
      </c>
      <c r="L226" s="313">
        <f>VLOOKUP($B$225,$A$174:$Y$179,12)</f>
        <v>0</v>
      </c>
      <c r="M226" s="313">
        <f>VLOOKUP($B$225,$A$174:$Y$179,13)</f>
        <v>0</v>
      </c>
      <c r="N226" s="313">
        <f>VLOOKUP($B$225,$A$174:$Y$179,14)</f>
        <v>0</v>
      </c>
      <c r="O226" s="313">
        <f>VLOOKUP($B$225,$A$174:$Y$179,15)</f>
        <v>0</v>
      </c>
      <c r="P226" s="313">
        <f>VLOOKUP($B$225,$A$174:$Y$179,16)</f>
        <v>0</v>
      </c>
      <c r="Q226" s="313">
        <f>VLOOKUP($B$225,$A$174:$Y$179,17)</f>
        <v>0</v>
      </c>
      <c r="R226" s="313">
        <f>VLOOKUP($B$225,$A$174:$Y$179,18)</f>
        <v>0</v>
      </c>
      <c r="S226" s="313">
        <f>VLOOKUP($B$225,$A$174:$Y$179,19)</f>
        <v>0</v>
      </c>
      <c r="T226" s="313">
        <f>VLOOKUP($B$225,$A$174:$Y$179,20)</f>
        <v>0</v>
      </c>
      <c r="U226" s="313">
        <f>VLOOKUP($B$225,$A$174:$Y$179,21)</f>
        <v>0</v>
      </c>
      <c r="V226" s="313">
        <f>VLOOKUP($B$225,$A$174:$Y$179,22)</f>
        <v>0</v>
      </c>
      <c r="W226" s="313">
        <f>VLOOKUP($B$225,$A$174:$Y$179,23)</f>
        <v>0</v>
      </c>
      <c r="X226" s="313">
        <f>VLOOKUP($B$225,$A$174:$Y$179,24)</f>
        <v>0</v>
      </c>
      <c r="Y226" s="313">
        <f>VLOOKUP($B$225,$A$174:$Y$179,25)</f>
        <v>0</v>
      </c>
      <c r="Z226" s="321"/>
    </row>
    <row r="227" spans="1:26" s="324" customFormat="1" hidden="1" x14ac:dyDescent="0.2">
      <c r="B227" s="323"/>
      <c r="C227" s="311"/>
      <c r="D227" s="322" t="s">
        <v>159</v>
      </c>
      <c r="E227" s="313">
        <f>E226</f>
        <v>1303.0080433233068</v>
      </c>
      <c r="F227" s="313">
        <f t="shared" ref="F227:Y227" si="44">E227+F226</f>
        <v>2343.9958150556986</v>
      </c>
      <c r="G227" s="313">
        <f t="shared" si="44"/>
        <v>2343.9958150556986</v>
      </c>
      <c r="H227" s="313">
        <f t="shared" si="44"/>
        <v>2343.9958150556986</v>
      </c>
      <c r="I227" s="313">
        <f t="shared" si="44"/>
        <v>2343.9958150556986</v>
      </c>
      <c r="J227" s="313">
        <f t="shared" si="44"/>
        <v>2343.9958150556986</v>
      </c>
      <c r="K227" s="313">
        <f t="shared" si="44"/>
        <v>2343.9958150556986</v>
      </c>
      <c r="L227" s="313">
        <f t="shared" si="44"/>
        <v>2343.9958150556986</v>
      </c>
      <c r="M227" s="313">
        <f t="shared" si="44"/>
        <v>2343.9958150556986</v>
      </c>
      <c r="N227" s="313">
        <f t="shared" si="44"/>
        <v>2343.9958150556986</v>
      </c>
      <c r="O227" s="313">
        <f t="shared" si="44"/>
        <v>2343.9958150556986</v>
      </c>
      <c r="P227" s="313">
        <f t="shared" si="44"/>
        <v>2343.9958150556986</v>
      </c>
      <c r="Q227" s="313">
        <f t="shared" si="44"/>
        <v>2343.9958150556986</v>
      </c>
      <c r="R227" s="313">
        <f t="shared" si="44"/>
        <v>2343.9958150556986</v>
      </c>
      <c r="S227" s="313">
        <f t="shared" si="44"/>
        <v>2343.9958150556986</v>
      </c>
      <c r="T227" s="313">
        <f t="shared" si="44"/>
        <v>2343.9958150556986</v>
      </c>
      <c r="U227" s="313">
        <f t="shared" si="44"/>
        <v>2343.9958150556986</v>
      </c>
      <c r="V227" s="313">
        <f t="shared" si="44"/>
        <v>2343.9958150556986</v>
      </c>
      <c r="W227" s="313">
        <f t="shared" si="44"/>
        <v>2343.9958150556986</v>
      </c>
      <c r="X227" s="313">
        <f t="shared" si="44"/>
        <v>2343.9958150556986</v>
      </c>
      <c r="Y227" s="313">
        <f t="shared" si="44"/>
        <v>2343.9958150556986</v>
      </c>
      <c r="Z227" s="321"/>
    </row>
    <row r="228" spans="1:26" s="324" customFormat="1" hidden="1" x14ac:dyDescent="0.2">
      <c r="B228" s="323"/>
      <c r="C228" s="311"/>
      <c r="D228" s="322" t="s">
        <v>160</v>
      </c>
      <c r="E228" s="326">
        <f>E227*'Administrator Input'!$F$22</f>
        <v>112.97079735613069</v>
      </c>
      <c r="F228" s="326">
        <f>F227*'Administrator Input'!$F$22</f>
        <v>203.22443716532908</v>
      </c>
      <c r="G228" s="326">
        <f>G227*'Administrator Input'!$F$22</f>
        <v>203.22443716532908</v>
      </c>
      <c r="H228" s="326">
        <f>H227*'Administrator Input'!$F$22</f>
        <v>203.22443716532908</v>
      </c>
      <c r="I228" s="326">
        <f>I227*'Administrator Input'!$F$22</f>
        <v>203.22443716532908</v>
      </c>
      <c r="J228" s="326">
        <f>J227*'Administrator Input'!$F$22</f>
        <v>203.22443716532908</v>
      </c>
      <c r="K228" s="326">
        <f>K227*'Administrator Input'!$F$22</f>
        <v>203.22443716532908</v>
      </c>
      <c r="L228" s="326">
        <f>L227*'Administrator Input'!$F$22</f>
        <v>203.22443716532908</v>
      </c>
      <c r="M228" s="326">
        <f>M227*'Administrator Input'!$F$22</f>
        <v>203.22443716532908</v>
      </c>
      <c r="N228" s="326">
        <f>N227*'Administrator Input'!$F$22</f>
        <v>203.22443716532908</v>
      </c>
      <c r="O228" s="326">
        <f>O227*'Administrator Input'!$F$22</f>
        <v>203.22443716532908</v>
      </c>
      <c r="P228" s="326">
        <f>P227*'Administrator Input'!$F$22</f>
        <v>203.22443716532908</v>
      </c>
      <c r="Q228" s="326">
        <f>Q227*'Administrator Input'!$F$22</f>
        <v>203.22443716532908</v>
      </c>
      <c r="R228" s="326">
        <f>R227*'Administrator Input'!$F$22</f>
        <v>203.22443716532908</v>
      </c>
      <c r="S228" s="326">
        <f>S227*'Administrator Input'!$F$22</f>
        <v>203.22443716532908</v>
      </c>
      <c r="T228" s="326">
        <f>T227*'Administrator Input'!$F$22</f>
        <v>203.22443716532908</v>
      </c>
      <c r="U228" s="326">
        <f>U227*'Administrator Input'!$F$22</f>
        <v>203.22443716532908</v>
      </c>
      <c r="V228" s="326">
        <f>V227*'Administrator Input'!$F$22</f>
        <v>203.22443716532908</v>
      </c>
      <c r="W228" s="326">
        <f>W227*'Administrator Input'!$F$22</f>
        <v>203.22443716532908</v>
      </c>
      <c r="X228" s="326">
        <f>X227*'Administrator Input'!$F$22</f>
        <v>203.22443716532908</v>
      </c>
      <c r="Y228" s="326">
        <f>Y227*'Administrator Input'!$F$22</f>
        <v>203.22443716532908</v>
      </c>
      <c r="Z228" s="321"/>
    </row>
    <row r="229" spans="1:26" s="324" customFormat="1" hidden="1" x14ac:dyDescent="0.2">
      <c r="B229" s="327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9"/>
    </row>
    <row r="230" spans="1:26" s="324" customFormat="1" hidden="1" x14ac:dyDescent="0.2"/>
    <row r="233" spans="1:26" ht="18" customHeight="1" x14ac:dyDescent="0.25">
      <c r="B233" s="179" t="s">
        <v>105</v>
      </c>
      <c r="C233" s="178"/>
      <c r="D233" s="178"/>
      <c r="E233" s="180" t="s">
        <v>15</v>
      </c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282"/>
    </row>
    <row r="234" spans="1:26" ht="12.75" customHeight="1" x14ac:dyDescent="0.2">
      <c r="C234" s="182"/>
      <c r="D234" s="182"/>
      <c r="E234" s="183" t="str">
        <f>'User Input'!E4</f>
        <v>In meter capability</v>
      </c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282"/>
    </row>
    <row r="235" spans="1:26" ht="12.75" customHeight="1" thickBot="1" x14ac:dyDescent="0.25">
      <c r="B235" s="101"/>
      <c r="C235" s="102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283"/>
    </row>
    <row r="236" spans="1:26" ht="13.5" thickBot="1" x14ac:dyDescent="0.25">
      <c r="A236" s="333"/>
      <c r="B236" s="332"/>
      <c r="C236" s="332"/>
      <c r="E236" s="132">
        <f>'User Input'!E6</f>
        <v>2019</v>
      </c>
      <c r="F236" s="133">
        <f t="shared" ref="F236:Y236" si="45">E236+1</f>
        <v>2020</v>
      </c>
      <c r="G236" s="133">
        <f t="shared" si="45"/>
        <v>2021</v>
      </c>
      <c r="H236" s="133">
        <f t="shared" si="45"/>
        <v>2022</v>
      </c>
      <c r="I236" s="133">
        <f t="shared" si="45"/>
        <v>2023</v>
      </c>
      <c r="J236" s="133">
        <f t="shared" si="45"/>
        <v>2024</v>
      </c>
      <c r="K236" s="133">
        <f t="shared" si="45"/>
        <v>2025</v>
      </c>
      <c r="L236" s="133">
        <f t="shared" si="45"/>
        <v>2026</v>
      </c>
      <c r="M236" s="133">
        <f t="shared" si="45"/>
        <v>2027</v>
      </c>
      <c r="N236" s="133">
        <f t="shared" si="45"/>
        <v>2028</v>
      </c>
      <c r="O236" s="133">
        <f t="shared" si="45"/>
        <v>2029</v>
      </c>
      <c r="P236" s="133">
        <f t="shared" si="45"/>
        <v>2030</v>
      </c>
      <c r="Q236" s="133">
        <f t="shared" si="45"/>
        <v>2031</v>
      </c>
      <c r="R236" s="133">
        <f t="shared" si="45"/>
        <v>2032</v>
      </c>
      <c r="S236" s="133">
        <f t="shared" si="45"/>
        <v>2033</v>
      </c>
      <c r="T236" s="133">
        <f t="shared" si="45"/>
        <v>2034</v>
      </c>
      <c r="U236" s="133">
        <f t="shared" si="45"/>
        <v>2035</v>
      </c>
      <c r="V236" s="133">
        <f t="shared" si="45"/>
        <v>2036</v>
      </c>
      <c r="W236" s="133">
        <f t="shared" si="45"/>
        <v>2037</v>
      </c>
      <c r="X236" s="133">
        <f t="shared" si="45"/>
        <v>2038</v>
      </c>
      <c r="Y236" s="133">
        <f t="shared" si="45"/>
        <v>2039</v>
      </c>
      <c r="Z236" s="284"/>
    </row>
    <row r="237" spans="1:26" x14ac:dyDescent="0.2">
      <c r="B237" s="78"/>
      <c r="C237" s="285"/>
      <c r="D237" s="285"/>
      <c r="E237" s="8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7"/>
    </row>
    <row r="238" spans="1:26" x14ac:dyDescent="0.2">
      <c r="B238" s="107"/>
      <c r="C238" s="80"/>
      <c r="D238" s="162" t="s">
        <v>47</v>
      </c>
      <c r="E238" s="288">
        <v>0</v>
      </c>
      <c r="F238" s="288">
        <v>1</v>
      </c>
      <c r="G238" s="288">
        <v>2</v>
      </c>
      <c r="H238" s="288">
        <v>3</v>
      </c>
      <c r="I238" s="288">
        <v>4</v>
      </c>
      <c r="J238" s="288">
        <v>5</v>
      </c>
      <c r="K238" s="288">
        <v>6</v>
      </c>
      <c r="L238" s="288">
        <v>7</v>
      </c>
      <c r="M238" s="288">
        <v>8</v>
      </c>
      <c r="N238" s="288">
        <v>9</v>
      </c>
      <c r="O238" s="288">
        <v>10</v>
      </c>
      <c r="P238" s="288">
        <v>11</v>
      </c>
      <c r="Q238" s="288">
        <v>12</v>
      </c>
      <c r="R238" s="288">
        <v>13</v>
      </c>
      <c r="S238" s="288">
        <v>14</v>
      </c>
      <c r="T238" s="288">
        <v>15</v>
      </c>
      <c r="U238" s="288">
        <v>16</v>
      </c>
      <c r="V238" s="288">
        <v>17</v>
      </c>
      <c r="W238" s="288">
        <v>18</v>
      </c>
      <c r="X238" s="288">
        <v>19</v>
      </c>
      <c r="Y238" s="288">
        <v>20</v>
      </c>
      <c r="Z238" s="287"/>
    </row>
    <row r="239" spans="1:26" hidden="1" x14ac:dyDescent="0.2">
      <c r="B239" s="107" t="s">
        <v>16</v>
      </c>
      <c r="E239" s="226"/>
      <c r="F239" s="226">
        <f>'Administrator Input'!F35</f>
        <v>1.9400000000000001E-2</v>
      </c>
      <c r="G239" s="226">
        <f t="shared" ref="G239:Y239" si="46">+$F$239</f>
        <v>1.9400000000000001E-2</v>
      </c>
      <c r="H239" s="226">
        <f t="shared" si="46"/>
        <v>1.9400000000000001E-2</v>
      </c>
      <c r="I239" s="226">
        <f t="shared" si="46"/>
        <v>1.9400000000000001E-2</v>
      </c>
      <c r="J239" s="226">
        <f t="shared" si="46"/>
        <v>1.9400000000000001E-2</v>
      </c>
      <c r="K239" s="226">
        <f t="shared" si="46"/>
        <v>1.9400000000000001E-2</v>
      </c>
      <c r="L239" s="226">
        <f t="shared" si="46"/>
        <v>1.9400000000000001E-2</v>
      </c>
      <c r="M239" s="226">
        <f t="shared" si="46"/>
        <v>1.9400000000000001E-2</v>
      </c>
      <c r="N239" s="226">
        <f t="shared" si="46"/>
        <v>1.9400000000000001E-2</v>
      </c>
      <c r="O239" s="226">
        <f t="shared" si="46"/>
        <v>1.9400000000000001E-2</v>
      </c>
      <c r="P239" s="226">
        <f t="shared" si="46"/>
        <v>1.9400000000000001E-2</v>
      </c>
      <c r="Q239" s="226">
        <f t="shared" si="46"/>
        <v>1.9400000000000001E-2</v>
      </c>
      <c r="R239" s="226">
        <f t="shared" si="46"/>
        <v>1.9400000000000001E-2</v>
      </c>
      <c r="S239" s="226">
        <f t="shared" si="46"/>
        <v>1.9400000000000001E-2</v>
      </c>
      <c r="T239" s="226">
        <f t="shared" si="46"/>
        <v>1.9400000000000001E-2</v>
      </c>
      <c r="U239" s="226">
        <f t="shared" si="46"/>
        <v>1.9400000000000001E-2</v>
      </c>
      <c r="V239" s="226">
        <f t="shared" si="46"/>
        <v>1.9400000000000001E-2</v>
      </c>
      <c r="W239" s="226">
        <f t="shared" si="46"/>
        <v>1.9400000000000001E-2</v>
      </c>
      <c r="X239" s="226">
        <f t="shared" si="46"/>
        <v>1.9400000000000001E-2</v>
      </c>
      <c r="Y239" s="226">
        <f t="shared" si="46"/>
        <v>1.9400000000000001E-2</v>
      </c>
      <c r="Z239" s="287"/>
    </row>
    <row r="240" spans="1:26" hidden="1" x14ac:dyDescent="0.2">
      <c r="B240" s="227" t="s">
        <v>17</v>
      </c>
      <c r="C240" s="96"/>
      <c r="D240" s="96"/>
      <c r="E240" s="228">
        <v>1</v>
      </c>
      <c r="F240" s="228">
        <f t="shared" ref="F240:Y240" si="47">E240+(+E240*F239)</f>
        <v>1.0194000000000001</v>
      </c>
      <c r="G240" s="228">
        <f t="shared" si="47"/>
        <v>1.0391763600000001</v>
      </c>
      <c r="H240" s="228">
        <f t="shared" si="47"/>
        <v>1.0593363813840002</v>
      </c>
      <c r="I240" s="228">
        <f t="shared" si="47"/>
        <v>1.0798875071828498</v>
      </c>
      <c r="J240" s="228">
        <f t="shared" si="47"/>
        <v>1.100837324822197</v>
      </c>
      <c r="K240" s="228">
        <f t="shared" si="47"/>
        <v>1.1221935689237477</v>
      </c>
      <c r="L240" s="228">
        <f t="shared" si="47"/>
        <v>1.1439641241608685</v>
      </c>
      <c r="M240" s="228">
        <f t="shared" si="47"/>
        <v>1.1661570281695892</v>
      </c>
      <c r="N240" s="228">
        <f t="shared" si="47"/>
        <v>1.1887804745160793</v>
      </c>
      <c r="O240" s="228">
        <f t="shared" si="47"/>
        <v>1.2118428157216912</v>
      </c>
      <c r="P240" s="228">
        <f t="shared" si="47"/>
        <v>1.235352566346692</v>
      </c>
      <c r="Q240" s="228">
        <f t="shared" si="47"/>
        <v>1.2593184061338178</v>
      </c>
      <c r="R240" s="228">
        <f t="shared" si="47"/>
        <v>1.2837491832128138</v>
      </c>
      <c r="S240" s="228">
        <f t="shared" si="47"/>
        <v>1.3086539173671423</v>
      </c>
      <c r="T240" s="228">
        <f t="shared" si="47"/>
        <v>1.3340418033640649</v>
      </c>
      <c r="U240" s="228">
        <f t="shared" si="47"/>
        <v>1.3599222143493277</v>
      </c>
      <c r="V240" s="228">
        <f t="shared" si="47"/>
        <v>1.3863047053077047</v>
      </c>
      <c r="W240" s="228">
        <f t="shared" si="47"/>
        <v>1.413199016590674</v>
      </c>
      <c r="X240" s="228">
        <f t="shared" si="47"/>
        <v>1.440615077512533</v>
      </c>
      <c r="Y240" s="228">
        <f t="shared" si="47"/>
        <v>1.4685630100162761</v>
      </c>
      <c r="Z240" s="287"/>
    </row>
    <row r="241" spans="2:26" x14ac:dyDescent="0.2">
      <c r="B241" s="227"/>
      <c r="C241" s="96"/>
      <c r="D241" s="96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  <c r="X241" s="289"/>
      <c r="Y241" s="289"/>
      <c r="Z241" s="290"/>
    </row>
    <row r="242" spans="2:26" x14ac:dyDescent="0.2">
      <c r="B242" s="389" t="s">
        <v>204</v>
      </c>
      <c r="C242" s="390"/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1"/>
    </row>
    <row r="243" spans="2:26" x14ac:dyDescent="0.2">
      <c r="B243" s="107"/>
      <c r="C243" s="80"/>
      <c r="D243" s="80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87"/>
    </row>
    <row r="244" spans="2:26" x14ac:dyDescent="0.2">
      <c r="B244" s="107" t="s">
        <v>1</v>
      </c>
      <c r="C244" s="80"/>
      <c r="D244" s="336">
        <f>Calculations!D4+'User Input'!I352</f>
        <v>9.6699999999999994E-2</v>
      </c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87"/>
    </row>
    <row r="245" spans="2:26" x14ac:dyDescent="0.2">
      <c r="B245" s="107" t="s">
        <v>199</v>
      </c>
      <c r="C245" s="80"/>
      <c r="D245" s="335">
        <f>'User Input'!G352</f>
        <v>0.1</v>
      </c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87"/>
    </row>
    <row r="246" spans="2:26" x14ac:dyDescent="0.2">
      <c r="B246" s="107" t="s">
        <v>200</v>
      </c>
      <c r="C246" s="80"/>
      <c r="D246" s="335">
        <f>'User Input'!H352</f>
        <v>0.1</v>
      </c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87"/>
    </row>
    <row r="247" spans="2:26" x14ac:dyDescent="0.2">
      <c r="B247" s="107" t="s">
        <v>284</v>
      </c>
      <c r="C247" s="107"/>
      <c r="D247" s="335">
        <f>'User Input'!J352</f>
        <v>-0.1</v>
      </c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87"/>
    </row>
    <row r="248" spans="2:26" x14ac:dyDescent="0.2">
      <c r="B248" s="107" t="s">
        <v>285</v>
      </c>
      <c r="C248" s="80"/>
      <c r="D248" s="335">
        <f>'User Input'!K352</f>
        <v>-0.1</v>
      </c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87"/>
    </row>
    <row r="249" spans="2:26" x14ac:dyDescent="0.2">
      <c r="B249" s="107" t="s">
        <v>286</v>
      </c>
      <c r="C249" s="80"/>
      <c r="D249" s="335">
        <f>'User Input'!L352</f>
        <v>-0.1</v>
      </c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87"/>
    </row>
    <row r="250" spans="2:26" x14ac:dyDescent="0.2">
      <c r="B250" s="107"/>
      <c r="C250" s="80"/>
      <c r="D250" s="80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87"/>
    </row>
    <row r="251" spans="2:26" x14ac:dyDescent="0.2">
      <c r="B251" s="366" t="str">
        <f>'User Input'!D24</f>
        <v>"Status Quo" Reference Case</v>
      </c>
      <c r="C251" s="367"/>
      <c r="D251" s="368"/>
      <c r="E251" s="369"/>
      <c r="F251" s="369"/>
      <c r="G251" s="369"/>
      <c r="H251" s="369"/>
      <c r="I251" s="369"/>
      <c r="J251" s="369"/>
      <c r="K251" s="369"/>
      <c r="L251" s="369"/>
      <c r="M251" s="369"/>
      <c r="N251" s="369"/>
      <c r="O251" s="369"/>
      <c r="P251" s="369"/>
      <c r="Q251" s="369"/>
      <c r="R251" s="369"/>
      <c r="S251" s="369"/>
      <c r="T251" s="369"/>
      <c r="U251" s="369"/>
      <c r="V251" s="369"/>
      <c r="W251" s="369"/>
      <c r="X251" s="369"/>
      <c r="Y251" s="369"/>
      <c r="Z251" s="370"/>
    </row>
    <row r="252" spans="2:26" ht="13.5" thickBot="1" x14ac:dyDescent="0.25">
      <c r="B252" s="52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87"/>
    </row>
    <row r="253" spans="2:26" ht="13.5" thickBot="1" x14ac:dyDescent="0.25">
      <c r="B253" s="52"/>
      <c r="C253" s="29" t="s">
        <v>76</v>
      </c>
      <c r="D253" s="67">
        <f>SUM(E253:Y253)</f>
        <v>7160.3979542112966</v>
      </c>
      <c r="E253" s="141">
        <f>Calculations!E14*(1+$D$245)</f>
        <v>0</v>
      </c>
      <c r="F253" s="141">
        <f>Calculations!F14*(1+$D$245)</f>
        <v>151.36513216305212</v>
      </c>
      <c r="G253" s="141">
        <f>Calculations!G14*(1+$D$245)</f>
        <v>308.60323145403072</v>
      </c>
      <c r="H253" s="141">
        <f>Calculations!H14*(1+$D$245)</f>
        <v>314.59013414423896</v>
      </c>
      <c r="I253" s="141">
        <f>Calculations!I14*(1+$D$245)</f>
        <v>320.69318274663715</v>
      </c>
      <c r="J253" s="141">
        <f>Calculations!J14*(1+$D$245)</f>
        <v>326.91463049192191</v>
      </c>
      <c r="K253" s="141">
        <f>Calculations!K14*(1+$D$245)</f>
        <v>333.25677432346515</v>
      </c>
      <c r="L253" s="141">
        <f>Calculations!L14*(1+$D$245)</f>
        <v>339.72195574534038</v>
      </c>
      <c r="M253" s="141">
        <f>Calculations!M14*(1+$D$245)</f>
        <v>346.3125616868</v>
      </c>
      <c r="N253" s="141">
        <f>Calculations!N14*(1+$D$245)</f>
        <v>353.03102538352391</v>
      </c>
      <c r="O253" s="141">
        <f>Calculations!O14*(1+$D$245)</f>
        <v>359.87982727596432</v>
      </c>
      <c r="P253" s="141">
        <f>Calculations!P14*(1+$D$245)</f>
        <v>366.86149592511799</v>
      </c>
      <c r="Q253" s="141">
        <f>Calculations!Q14*(1+$D$245)</f>
        <v>373.97860894606526</v>
      </c>
      <c r="R253" s="141">
        <f>Calculations!R14*(1+$D$245)</f>
        <v>381.23379395961894</v>
      </c>
      <c r="S253" s="141">
        <f>Calculations!S14*(1+$D$245)</f>
        <v>388.62972956243556</v>
      </c>
      <c r="T253" s="141">
        <f>Calculations!T14*(1+$D$245)</f>
        <v>396.1691463159467</v>
      </c>
      <c r="U253" s="141">
        <f>Calculations!U14*(1+$D$245)</f>
        <v>403.8548277544761</v>
      </c>
      <c r="V253" s="141">
        <f>Calculations!V14*(1+$D$245)</f>
        <v>411.68961141291294</v>
      </c>
      <c r="W253" s="141">
        <f>Calculations!W14*(1+$D$245)</f>
        <v>419.67638987432343</v>
      </c>
      <c r="X253" s="141">
        <f>Calculations!X14*(1+$D$245)</f>
        <v>427.81811183788528</v>
      </c>
      <c r="Y253" s="141">
        <f>Calculations!Y14*(1+$D$245)</f>
        <v>436.1177832075403</v>
      </c>
      <c r="Z253" s="287"/>
    </row>
    <row r="254" spans="2:26" ht="13.5" thickBot="1" x14ac:dyDescent="0.25">
      <c r="B254" s="107"/>
      <c r="C254" s="137" t="str">
        <f>'User Input'!D27</f>
        <v>Maintenance Costs</v>
      </c>
      <c r="D254" s="67">
        <f>SUM(E254:Y254)</f>
        <v>0</v>
      </c>
      <c r="E254" s="141">
        <f>Calculations!E15*(1+$D$246)</f>
        <v>0</v>
      </c>
      <c r="F254" s="141">
        <f>Calculations!F15*(1+$D$246)</f>
        <v>0</v>
      </c>
      <c r="G254" s="141">
        <f>Calculations!G15*(1+$D$246)</f>
        <v>0</v>
      </c>
      <c r="H254" s="141">
        <f>Calculations!H15*(1+$D$246)</f>
        <v>0</v>
      </c>
      <c r="I254" s="141">
        <f>Calculations!I15*(1+$D$246)</f>
        <v>0</v>
      </c>
      <c r="J254" s="141">
        <f>Calculations!J15*(1+$D$246)</f>
        <v>0</v>
      </c>
      <c r="K254" s="141">
        <f>Calculations!K15*(1+$D$246)</f>
        <v>0</v>
      </c>
      <c r="L254" s="141">
        <f>Calculations!L15*(1+$D$246)</f>
        <v>0</v>
      </c>
      <c r="M254" s="141">
        <f>Calculations!M15*(1+$D$246)</f>
        <v>0</v>
      </c>
      <c r="N254" s="141">
        <f>Calculations!N15*(1+$D$246)</f>
        <v>0</v>
      </c>
      <c r="O254" s="141">
        <f>Calculations!O15*(1+$D$246)</f>
        <v>0</v>
      </c>
      <c r="P254" s="141">
        <f>Calculations!P15*(1+$D$246)</f>
        <v>0</v>
      </c>
      <c r="Q254" s="141">
        <f>Calculations!Q15*(1+$D$246)</f>
        <v>0</v>
      </c>
      <c r="R254" s="141">
        <f>Calculations!R15*(1+$D$246)</f>
        <v>0</v>
      </c>
      <c r="S254" s="141">
        <f>Calculations!S15*(1+$D$246)</f>
        <v>0</v>
      </c>
      <c r="T254" s="141">
        <f>Calculations!T15*(1+$D$246)</f>
        <v>0</v>
      </c>
      <c r="U254" s="141">
        <f>Calculations!U15*(1+$D$246)</f>
        <v>0</v>
      </c>
      <c r="V254" s="141">
        <f>Calculations!V15*(1+$D$246)</f>
        <v>0</v>
      </c>
      <c r="W254" s="141">
        <f>Calculations!W15*(1+$D$246)</f>
        <v>0</v>
      </c>
      <c r="X254" s="141">
        <f>Calculations!X15*(1+$D$246)</f>
        <v>0</v>
      </c>
      <c r="Y254" s="141">
        <f>Calculations!Y15*(1+$D$246)</f>
        <v>0</v>
      </c>
      <c r="Z254" s="287"/>
    </row>
    <row r="255" spans="2:26" ht="13.5" thickBot="1" x14ac:dyDescent="0.25">
      <c r="B255" s="107"/>
      <c r="C255" s="137" t="str">
        <f>'User Input'!D29</f>
        <v>Negative Impact on Revenue (STPIS)</v>
      </c>
      <c r="D255" s="195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147"/>
      <c r="Z255" s="287"/>
    </row>
    <row r="256" spans="2:26" ht="13.5" thickBot="1" x14ac:dyDescent="0.25">
      <c r="B256" s="107"/>
      <c r="C256" s="136" t="s">
        <v>128</v>
      </c>
      <c r="D256" s="67">
        <f t="shared" ref="D256:D273" si="48">SUM(E256:Y256)</f>
        <v>0</v>
      </c>
      <c r="E256" s="259">
        <v>0</v>
      </c>
      <c r="F256" s="259">
        <v>0</v>
      </c>
      <c r="G256" s="141">
        <f>Calculations!G17*(1+$D$248)</f>
        <v>0</v>
      </c>
      <c r="H256" s="141">
        <f>Calculations!H17*(1+$D$248)</f>
        <v>0</v>
      </c>
      <c r="I256" s="141">
        <f>Calculations!I17*(1+$D$248)</f>
        <v>0</v>
      </c>
      <c r="J256" s="141">
        <f>Calculations!J17*(1+$D$248)</f>
        <v>0</v>
      </c>
      <c r="K256" s="141">
        <f>Calculations!K17*(1+$D$248)</f>
        <v>0</v>
      </c>
      <c r="L256" s="141">
        <f>Calculations!L17*(1+$D$248)</f>
        <v>0</v>
      </c>
      <c r="M256" s="141">
        <f>Calculations!M17*(1+$D$248)</f>
        <v>0</v>
      </c>
      <c r="N256" s="141">
        <f>Calculations!N17*(1+$D$248)</f>
        <v>0</v>
      </c>
      <c r="O256" s="141">
        <f>Calculations!O17*(1+$D$248)</f>
        <v>0</v>
      </c>
      <c r="P256" s="141">
        <f>Calculations!P17*(1+$D$248)</f>
        <v>0</v>
      </c>
      <c r="Q256" s="141">
        <f>Calculations!Q17*(1+$D$248)</f>
        <v>0</v>
      </c>
      <c r="R256" s="141">
        <f>Calculations!R17*(1+$D$248)</f>
        <v>0</v>
      </c>
      <c r="S256" s="141">
        <f>Calculations!S17*(1+$D$248)</f>
        <v>0</v>
      </c>
      <c r="T256" s="141">
        <f>Calculations!T17*(1+$D$248)</f>
        <v>0</v>
      </c>
      <c r="U256" s="141">
        <f>Calculations!U17*(1+$D$248)</f>
        <v>0</v>
      </c>
      <c r="V256" s="141">
        <f>Calculations!V17*(1+$D$248)</f>
        <v>0</v>
      </c>
      <c r="W256" s="141">
        <f>Calculations!W17*(1+$D$248)</f>
        <v>0</v>
      </c>
      <c r="X256" s="141">
        <f>Calculations!X17*(1+$D$248)</f>
        <v>0</v>
      </c>
      <c r="Y256" s="141">
        <f>Calculations!Y17*(1+$D$248)</f>
        <v>0</v>
      </c>
      <c r="Z256" s="287"/>
    </row>
    <row r="257" spans="2:26" ht="13.5" thickBot="1" x14ac:dyDescent="0.25">
      <c r="B257" s="107"/>
      <c r="C257" s="136" t="s">
        <v>129</v>
      </c>
      <c r="D257" s="67">
        <f t="shared" si="48"/>
        <v>0</v>
      </c>
      <c r="E257" s="259">
        <v>0</v>
      </c>
      <c r="F257" s="259">
        <v>0</v>
      </c>
      <c r="G257" s="141">
        <f>Calculations!G18*(1+$D$247)</f>
        <v>0</v>
      </c>
      <c r="H257" s="141">
        <f>Calculations!H18*(1+$D$247)</f>
        <v>0</v>
      </c>
      <c r="I257" s="141">
        <f>Calculations!I18*(1+$D$247)</f>
        <v>0</v>
      </c>
      <c r="J257" s="141">
        <f>Calculations!J18*(1+$D$247)</f>
        <v>0</v>
      </c>
      <c r="K257" s="141">
        <f>Calculations!K18*(1+$D$247)</f>
        <v>0</v>
      </c>
      <c r="L257" s="141">
        <f>Calculations!L18*(1+$D$247)</f>
        <v>0</v>
      </c>
      <c r="M257" s="141">
        <f>Calculations!M18*(1+$D$247)</f>
        <v>0</v>
      </c>
      <c r="N257" s="141">
        <f>Calculations!N18*(1+$D$247)</f>
        <v>0</v>
      </c>
      <c r="O257" s="141">
        <f>Calculations!O18*(1+$D$247)</f>
        <v>0</v>
      </c>
      <c r="P257" s="141">
        <f>Calculations!P18*(1+$D$247)</f>
        <v>0</v>
      </c>
      <c r="Q257" s="141">
        <f>Calculations!Q18*(1+$D$247)</f>
        <v>0</v>
      </c>
      <c r="R257" s="141">
        <f>Calculations!R18*(1+$D$247)</f>
        <v>0</v>
      </c>
      <c r="S257" s="141">
        <f>Calculations!S18*(1+$D$247)</f>
        <v>0</v>
      </c>
      <c r="T257" s="141">
        <f>Calculations!T18*(1+$D$247)</f>
        <v>0</v>
      </c>
      <c r="U257" s="141">
        <f>Calculations!U18*(1+$D$247)</f>
        <v>0</v>
      </c>
      <c r="V257" s="141">
        <f>Calculations!V18*(1+$D$247)</f>
        <v>0</v>
      </c>
      <c r="W257" s="141">
        <f>Calculations!W18*(1+$D$247)</f>
        <v>0</v>
      </c>
      <c r="X257" s="141">
        <f>Calculations!X18*(1+$D$247)</f>
        <v>0</v>
      </c>
      <c r="Y257" s="141">
        <f>Calculations!Y18*(1+$D$247)</f>
        <v>0</v>
      </c>
      <c r="Z257" s="287"/>
    </row>
    <row r="258" spans="2:26" ht="13.5" thickBot="1" x14ac:dyDescent="0.25">
      <c r="B258" s="107"/>
      <c r="C258" s="136" t="s">
        <v>130</v>
      </c>
      <c r="D258" s="67">
        <f t="shared" si="48"/>
        <v>0</v>
      </c>
      <c r="E258" s="259">
        <v>0</v>
      </c>
      <c r="F258" s="259">
        <v>0</v>
      </c>
      <c r="G258" s="141">
        <f>Calculations!G19*(1+$D$249)</f>
        <v>0</v>
      </c>
      <c r="H258" s="141">
        <f>Calculations!H19*(1+$D$249)</f>
        <v>0</v>
      </c>
      <c r="I258" s="141">
        <f>Calculations!I19*(1+$D$249)</f>
        <v>0</v>
      </c>
      <c r="J258" s="141">
        <f>Calculations!J19*(1+$D$249)</f>
        <v>0</v>
      </c>
      <c r="K258" s="141">
        <f>Calculations!K19*(1+$D$249)</f>
        <v>0</v>
      </c>
      <c r="L258" s="141">
        <f>Calculations!L19*(1+$D$249)</f>
        <v>0</v>
      </c>
      <c r="M258" s="141">
        <f>Calculations!M19*(1+$D$249)</f>
        <v>0</v>
      </c>
      <c r="N258" s="141">
        <f>Calculations!N19*(1+$D$249)</f>
        <v>0</v>
      </c>
      <c r="O258" s="141">
        <f>Calculations!O19*(1+$D$249)</f>
        <v>0</v>
      </c>
      <c r="P258" s="141">
        <f>Calculations!P19*(1+$D$249)</f>
        <v>0</v>
      </c>
      <c r="Q258" s="141">
        <f>Calculations!Q19*(1+$D$249)</f>
        <v>0</v>
      </c>
      <c r="R258" s="141">
        <f>Calculations!R19*(1+$D$249)</f>
        <v>0</v>
      </c>
      <c r="S258" s="141">
        <f>Calculations!S19*(1+$D$249)</f>
        <v>0</v>
      </c>
      <c r="T258" s="141">
        <f>Calculations!T19*(1+$D$249)</f>
        <v>0</v>
      </c>
      <c r="U258" s="141">
        <f>Calculations!U19*(1+$D$249)</f>
        <v>0</v>
      </c>
      <c r="V258" s="141">
        <f>Calculations!V19*(1+$D$249)</f>
        <v>0</v>
      </c>
      <c r="W258" s="141">
        <f>Calculations!W19*(1+$D$249)</f>
        <v>0</v>
      </c>
      <c r="X258" s="141">
        <f>Calculations!X19*(1+$D$249)</f>
        <v>0</v>
      </c>
      <c r="Y258" s="141">
        <f>Calculations!Y19*(1+$D$249)</f>
        <v>0</v>
      </c>
      <c r="Z258" s="287"/>
    </row>
    <row r="259" spans="2:26" ht="13.5" thickBot="1" x14ac:dyDescent="0.25">
      <c r="B259" s="107"/>
      <c r="C259" s="136" t="s">
        <v>131</v>
      </c>
      <c r="D259" s="67">
        <f t="shared" si="48"/>
        <v>0</v>
      </c>
      <c r="E259" s="259">
        <v>0</v>
      </c>
      <c r="F259" s="259">
        <v>0</v>
      </c>
      <c r="G259" s="141">
        <f>Calculations!G20*(1+$D$246)</f>
        <v>0</v>
      </c>
      <c r="H259" s="141">
        <f>Calculations!H20*(1+$D$246)</f>
        <v>0</v>
      </c>
      <c r="I259" s="141">
        <f>Calculations!I20*(1+$D$246)</f>
        <v>0</v>
      </c>
      <c r="J259" s="141">
        <f>Calculations!J20*(1+$D$246)</f>
        <v>0</v>
      </c>
      <c r="K259" s="141">
        <f>Calculations!K20*(1+$D$246)</f>
        <v>0</v>
      </c>
      <c r="L259" s="141">
        <f>Calculations!L20*(1+$D$246)</f>
        <v>0</v>
      </c>
      <c r="M259" s="141">
        <f>Calculations!M20*(1+$D$246)</f>
        <v>0</v>
      </c>
      <c r="N259" s="141">
        <f>Calculations!N20*(1+$D$246)</f>
        <v>0</v>
      </c>
      <c r="O259" s="141">
        <f>Calculations!O20*(1+$D$246)</f>
        <v>0</v>
      </c>
      <c r="P259" s="141">
        <f>Calculations!P20*(1+$D$246)</f>
        <v>0</v>
      </c>
      <c r="Q259" s="141">
        <f>Calculations!Q20*(1+$D$246)</f>
        <v>0</v>
      </c>
      <c r="R259" s="141">
        <f>Calculations!R20*(1+$D$246)</f>
        <v>0</v>
      </c>
      <c r="S259" s="141">
        <f>Calculations!S20*(1+$D$246)</f>
        <v>0</v>
      </c>
      <c r="T259" s="141">
        <f>Calculations!T20*(1+$D$246)</f>
        <v>0</v>
      </c>
      <c r="U259" s="141">
        <f>Calculations!U20*(1+$D$246)</f>
        <v>0</v>
      </c>
      <c r="V259" s="141">
        <f>Calculations!V20*(1+$D$246)</f>
        <v>0</v>
      </c>
      <c r="W259" s="141">
        <f>Calculations!W20*(1+$D$246)</f>
        <v>0</v>
      </c>
      <c r="X259" s="141">
        <f>Calculations!X20*(1+$D$246)</f>
        <v>0</v>
      </c>
      <c r="Y259" s="141">
        <f>Calculations!Y20*(1+$D$246)</f>
        <v>0</v>
      </c>
      <c r="Z259" s="287"/>
    </row>
    <row r="260" spans="2:26" ht="13.5" thickBot="1" x14ac:dyDescent="0.25">
      <c r="B260" s="107"/>
      <c r="C260" s="137" t="str">
        <f>'User Input'!D35</f>
        <v>Network Outage Costs</v>
      </c>
      <c r="D260" s="67">
        <f t="shared" si="48"/>
        <v>0</v>
      </c>
      <c r="E260" s="141">
        <f>Calculations!E21*(1+$D$246)</f>
        <v>0</v>
      </c>
      <c r="F260" s="141">
        <f>Calculations!F21*(1+$D$246)</f>
        <v>0</v>
      </c>
      <c r="G260" s="141">
        <f>Calculations!G21*(1+$D$246)</f>
        <v>0</v>
      </c>
      <c r="H260" s="141">
        <f>Calculations!H21*(1+$D$246)</f>
        <v>0</v>
      </c>
      <c r="I260" s="141">
        <f>Calculations!I21*(1+$D$246)</f>
        <v>0</v>
      </c>
      <c r="J260" s="141">
        <f>Calculations!J21*(1+$D$246)</f>
        <v>0</v>
      </c>
      <c r="K260" s="141">
        <f>Calculations!K21*(1+$D$246)</f>
        <v>0</v>
      </c>
      <c r="L260" s="141">
        <f>Calculations!L21*(1+$D$246)</f>
        <v>0</v>
      </c>
      <c r="M260" s="141">
        <f>Calculations!M21*(1+$D$246)</f>
        <v>0</v>
      </c>
      <c r="N260" s="141">
        <f>Calculations!N21*(1+$D$246)</f>
        <v>0</v>
      </c>
      <c r="O260" s="141">
        <f>Calculations!O21*(1+$D$246)</f>
        <v>0</v>
      </c>
      <c r="P260" s="141">
        <f>Calculations!P21*(1+$D$246)</f>
        <v>0</v>
      </c>
      <c r="Q260" s="141">
        <f>Calculations!Q21*(1+$D$246)</f>
        <v>0</v>
      </c>
      <c r="R260" s="141">
        <f>Calculations!R21*(1+$D$246)</f>
        <v>0</v>
      </c>
      <c r="S260" s="141">
        <f>Calculations!S21*(1+$D$246)</f>
        <v>0</v>
      </c>
      <c r="T260" s="141">
        <f>Calculations!T21*(1+$D$246)</f>
        <v>0</v>
      </c>
      <c r="U260" s="141">
        <f>Calculations!U21*(1+$D$246)</f>
        <v>0</v>
      </c>
      <c r="V260" s="141">
        <f>Calculations!V21*(1+$D$246)</f>
        <v>0</v>
      </c>
      <c r="W260" s="141">
        <f>Calculations!W21*(1+$D$246)</f>
        <v>0</v>
      </c>
      <c r="X260" s="141">
        <f>Calculations!X21*(1+$D$246)</f>
        <v>0</v>
      </c>
      <c r="Y260" s="141">
        <f>Calculations!Y21*(1+$D$246)</f>
        <v>0</v>
      </c>
      <c r="Z260" s="287"/>
    </row>
    <row r="261" spans="2:26" ht="13.5" thickBot="1" x14ac:dyDescent="0.25">
      <c r="B261" s="107"/>
      <c r="C261" s="137" t="str">
        <f>'User Input'!D39</f>
        <v>Loss of F Factor Benefit</v>
      </c>
      <c r="D261" s="67">
        <f t="shared" si="48"/>
        <v>0</v>
      </c>
      <c r="E261" s="141">
        <f>Calculations!E22*(1+$D$246)</f>
        <v>0</v>
      </c>
      <c r="F261" s="141">
        <f>Calculations!F22*(1+$D$246)</f>
        <v>0</v>
      </c>
      <c r="G261" s="141">
        <f>Calculations!G22*(1+$D$246)</f>
        <v>0</v>
      </c>
      <c r="H261" s="141">
        <f>Calculations!H22*(1+$D$246)</f>
        <v>0</v>
      </c>
      <c r="I261" s="141">
        <f>Calculations!I22*(1+$D$246)</f>
        <v>0</v>
      </c>
      <c r="J261" s="141">
        <f>Calculations!J22*(1+$D$246)</f>
        <v>0</v>
      </c>
      <c r="K261" s="141">
        <f>Calculations!K22*(1+$D$246)</f>
        <v>0</v>
      </c>
      <c r="L261" s="141">
        <f>Calculations!L22*(1+$D$246)</f>
        <v>0</v>
      </c>
      <c r="M261" s="141">
        <f>Calculations!M22*(1+$D$246)</f>
        <v>0</v>
      </c>
      <c r="N261" s="141">
        <f>Calculations!N22*(1+$D$246)</f>
        <v>0</v>
      </c>
      <c r="O261" s="141">
        <f>Calculations!O22*(1+$D$246)</f>
        <v>0</v>
      </c>
      <c r="P261" s="141">
        <f>Calculations!P22*(1+$D$246)</f>
        <v>0</v>
      </c>
      <c r="Q261" s="141">
        <f>Calculations!Q22*(1+$D$246)</f>
        <v>0</v>
      </c>
      <c r="R261" s="141">
        <f>Calculations!R22*(1+$D$246)</f>
        <v>0</v>
      </c>
      <c r="S261" s="141">
        <f>Calculations!S22*(1+$D$246)</f>
        <v>0</v>
      </c>
      <c r="T261" s="141">
        <f>Calculations!T22*(1+$D$246)</f>
        <v>0</v>
      </c>
      <c r="U261" s="141">
        <f>Calculations!U22*(1+$D$246)</f>
        <v>0</v>
      </c>
      <c r="V261" s="141">
        <f>Calculations!V22*(1+$D$246)</f>
        <v>0</v>
      </c>
      <c r="W261" s="141">
        <f>Calculations!W22*(1+$D$246)</f>
        <v>0</v>
      </c>
      <c r="X261" s="141">
        <f>Calculations!X22*(1+$D$246)</f>
        <v>0</v>
      </c>
      <c r="Y261" s="141">
        <f>Calculations!Y22*(1+$D$246)</f>
        <v>0</v>
      </c>
      <c r="Z261" s="287"/>
    </row>
    <row r="262" spans="2:26" ht="13.5" thickBot="1" x14ac:dyDescent="0.25">
      <c r="B262" s="107"/>
      <c r="C262" s="137" t="str">
        <f>'User Input'!D42</f>
        <v>Cost 1</v>
      </c>
      <c r="D262" s="67">
        <f t="shared" si="48"/>
        <v>0</v>
      </c>
      <c r="E262" s="141">
        <f>Calculations!E23*(1+$D$246)</f>
        <v>0</v>
      </c>
      <c r="F262" s="141">
        <f>Calculations!F23*(1+$D$246)</f>
        <v>0</v>
      </c>
      <c r="G262" s="141">
        <f>Calculations!G23*(1+$D$246)</f>
        <v>0</v>
      </c>
      <c r="H262" s="141">
        <f>Calculations!H23*(1+$D$246)</f>
        <v>0</v>
      </c>
      <c r="I262" s="141">
        <f>Calculations!I23*(1+$D$246)</f>
        <v>0</v>
      </c>
      <c r="J262" s="141">
        <f>Calculations!J23*(1+$D$246)</f>
        <v>0</v>
      </c>
      <c r="K262" s="141">
        <f>Calculations!K23*(1+$D$246)</f>
        <v>0</v>
      </c>
      <c r="L262" s="141">
        <f>Calculations!L23*(1+$D$246)</f>
        <v>0</v>
      </c>
      <c r="M262" s="141">
        <f>Calculations!M23*(1+$D$246)</f>
        <v>0</v>
      </c>
      <c r="N262" s="141">
        <f>Calculations!N23*(1+$D$246)</f>
        <v>0</v>
      </c>
      <c r="O262" s="141">
        <f>Calculations!O23*(1+$D$246)</f>
        <v>0</v>
      </c>
      <c r="P262" s="141">
        <f>Calculations!P23*(1+$D$246)</f>
        <v>0</v>
      </c>
      <c r="Q262" s="141">
        <f>Calculations!Q23*(1+$D$246)</f>
        <v>0</v>
      </c>
      <c r="R262" s="141">
        <f>Calculations!R23*(1+$D$246)</f>
        <v>0</v>
      </c>
      <c r="S262" s="141">
        <f>Calculations!S23*(1+$D$246)</f>
        <v>0</v>
      </c>
      <c r="T262" s="141">
        <f>Calculations!T23*(1+$D$246)</f>
        <v>0</v>
      </c>
      <c r="U262" s="141">
        <f>Calculations!U23*(1+$D$246)</f>
        <v>0</v>
      </c>
      <c r="V262" s="141">
        <f>Calculations!V23*(1+$D$246)</f>
        <v>0</v>
      </c>
      <c r="W262" s="141">
        <f>Calculations!W23*(1+$D$246)</f>
        <v>0</v>
      </c>
      <c r="X262" s="141">
        <f>Calculations!X23*(1+$D$246)</f>
        <v>0</v>
      </c>
      <c r="Y262" s="141">
        <f>Calculations!Y23*(1+$D$246)</f>
        <v>0</v>
      </c>
      <c r="Z262" s="287"/>
    </row>
    <row r="263" spans="2:26" ht="13.5" thickBot="1" x14ac:dyDescent="0.25">
      <c r="B263" s="107"/>
      <c r="C263" s="137" t="str">
        <f>'User Input'!D43</f>
        <v>Cost 2</v>
      </c>
      <c r="D263" s="67">
        <f t="shared" si="48"/>
        <v>0</v>
      </c>
      <c r="E263" s="141">
        <f>Calculations!E24*(1+$D$246)</f>
        <v>0</v>
      </c>
      <c r="F263" s="141">
        <f>Calculations!F24*(1+$D$246)</f>
        <v>0</v>
      </c>
      <c r="G263" s="141">
        <f>Calculations!G24*(1+$D$246)</f>
        <v>0</v>
      </c>
      <c r="H263" s="141">
        <f>Calculations!H24*(1+$D$246)</f>
        <v>0</v>
      </c>
      <c r="I263" s="141">
        <f>Calculations!I24*(1+$D$246)</f>
        <v>0</v>
      </c>
      <c r="J263" s="141">
        <f>Calculations!J24*(1+$D$246)</f>
        <v>0</v>
      </c>
      <c r="K263" s="141">
        <f>Calculations!K24*(1+$D$246)</f>
        <v>0</v>
      </c>
      <c r="L263" s="141">
        <f>Calculations!L24*(1+$D$246)</f>
        <v>0</v>
      </c>
      <c r="M263" s="141">
        <f>Calculations!M24*(1+$D$246)</f>
        <v>0</v>
      </c>
      <c r="N263" s="141">
        <f>Calculations!N24*(1+$D$246)</f>
        <v>0</v>
      </c>
      <c r="O263" s="141">
        <f>Calculations!O24*(1+$D$246)</f>
        <v>0</v>
      </c>
      <c r="P263" s="141">
        <f>Calculations!P24*(1+$D$246)</f>
        <v>0</v>
      </c>
      <c r="Q263" s="141">
        <f>Calculations!Q24*(1+$D$246)</f>
        <v>0</v>
      </c>
      <c r="R263" s="141">
        <f>Calculations!R24*(1+$D$246)</f>
        <v>0</v>
      </c>
      <c r="S263" s="141">
        <f>Calculations!S24*(1+$D$246)</f>
        <v>0</v>
      </c>
      <c r="T263" s="141">
        <f>Calculations!T24*(1+$D$246)</f>
        <v>0</v>
      </c>
      <c r="U263" s="141">
        <f>Calculations!U24*(1+$D$246)</f>
        <v>0</v>
      </c>
      <c r="V263" s="141">
        <f>Calculations!V24*(1+$D$246)</f>
        <v>0</v>
      </c>
      <c r="W263" s="141">
        <f>Calculations!W24*(1+$D$246)</f>
        <v>0</v>
      </c>
      <c r="X263" s="141">
        <f>Calculations!X24*(1+$D$246)</f>
        <v>0</v>
      </c>
      <c r="Y263" s="141">
        <f>Calculations!Y24*(1+$D$246)</f>
        <v>0</v>
      </c>
      <c r="Z263" s="287"/>
    </row>
    <row r="264" spans="2:26" ht="13.5" thickBot="1" x14ac:dyDescent="0.25">
      <c r="B264" s="107"/>
      <c r="C264" s="137" t="str">
        <f>'User Input'!D44</f>
        <v>Cost 3</v>
      </c>
      <c r="D264" s="67">
        <f t="shared" si="48"/>
        <v>0</v>
      </c>
      <c r="E264" s="141">
        <f>Calculations!E25*(1+$D$246)</f>
        <v>0</v>
      </c>
      <c r="F264" s="141">
        <f>Calculations!F25*(1+$D$246)</f>
        <v>0</v>
      </c>
      <c r="G264" s="141">
        <f>Calculations!G25*(1+$D$246)</f>
        <v>0</v>
      </c>
      <c r="H264" s="141">
        <f>Calculations!H25*(1+$D$246)</f>
        <v>0</v>
      </c>
      <c r="I264" s="141">
        <f>Calculations!I25*(1+$D$246)</f>
        <v>0</v>
      </c>
      <c r="J264" s="141">
        <f>Calculations!J25*(1+$D$246)</f>
        <v>0</v>
      </c>
      <c r="K264" s="141">
        <f>Calculations!K25*(1+$D$246)</f>
        <v>0</v>
      </c>
      <c r="L264" s="141">
        <f>Calculations!L25*(1+$D$246)</f>
        <v>0</v>
      </c>
      <c r="M264" s="141">
        <f>Calculations!M25*(1+$D$246)</f>
        <v>0</v>
      </c>
      <c r="N264" s="141">
        <f>Calculations!N25*(1+$D$246)</f>
        <v>0</v>
      </c>
      <c r="O264" s="141">
        <f>Calculations!O25*(1+$D$246)</f>
        <v>0</v>
      </c>
      <c r="P264" s="141">
        <f>Calculations!P25*(1+$D$246)</f>
        <v>0</v>
      </c>
      <c r="Q264" s="141">
        <f>Calculations!Q25*(1+$D$246)</f>
        <v>0</v>
      </c>
      <c r="R264" s="141">
        <f>Calculations!R25*(1+$D$246)</f>
        <v>0</v>
      </c>
      <c r="S264" s="141">
        <f>Calculations!S25*(1+$D$246)</f>
        <v>0</v>
      </c>
      <c r="T264" s="141">
        <f>Calculations!T25*(1+$D$246)</f>
        <v>0</v>
      </c>
      <c r="U264" s="141">
        <f>Calculations!U25*(1+$D$246)</f>
        <v>0</v>
      </c>
      <c r="V264" s="141">
        <f>Calculations!V25*(1+$D$246)</f>
        <v>0</v>
      </c>
      <c r="W264" s="141">
        <f>Calculations!W25*(1+$D$246)</f>
        <v>0</v>
      </c>
      <c r="X264" s="141">
        <f>Calculations!X25*(1+$D$246)</f>
        <v>0</v>
      </c>
      <c r="Y264" s="141">
        <f>Calculations!Y25*(1+$D$246)</f>
        <v>0</v>
      </c>
      <c r="Z264" s="287"/>
    </row>
    <row r="265" spans="2:26" ht="13.5" thickBot="1" x14ac:dyDescent="0.25">
      <c r="B265" s="107"/>
      <c r="C265" s="137" t="str">
        <f>'User Input'!D45</f>
        <v>Cost 4</v>
      </c>
      <c r="D265" s="67">
        <f t="shared" si="48"/>
        <v>0</v>
      </c>
      <c r="E265" s="141">
        <f>Calculations!E26*(1+$D$246)</f>
        <v>0</v>
      </c>
      <c r="F265" s="141">
        <f>Calculations!F26*(1+$D$246)</f>
        <v>0</v>
      </c>
      <c r="G265" s="141">
        <f>Calculations!G26*(1+$D$246)</f>
        <v>0</v>
      </c>
      <c r="H265" s="141">
        <f>Calculations!H26*(1+$D$246)</f>
        <v>0</v>
      </c>
      <c r="I265" s="141">
        <f>Calculations!I26*(1+$D$246)</f>
        <v>0</v>
      </c>
      <c r="J265" s="141">
        <f>Calculations!J26*(1+$D$246)</f>
        <v>0</v>
      </c>
      <c r="K265" s="141">
        <f>Calculations!K26*(1+$D$246)</f>
        <v>0</v>
      </c>
      <c r="L265" s="141">
        <f>Calculations!L26*(1+$D$246)</f>
        <v>0</v>
      </c>
      <c r="M265" s="141">
        <f>Calculations!M26*(1+$D$246)</f>
        <v>0</v>
      </c>
      <c r="N265" s="141">
        <f>Calculations!N26*(1+$D$246)</f>
        <v>0</v>
      </c>
      <c r="O265" s="141">
        <f>Calculations!O26*(1+$D$246)</f>
        <v>0</v>
      </c>
      <c r="P265" s="141">
        <f>Calculations!P26*(1+$D$246)</f>
        <v>0</v>
      </c>
      <c r="Q265" s="141">
        <f>Calculations!Q26*(1+$D$246)</f>
        <v>0</v>
      </c>
      <c r="R265" s="141">
        <f>Calculations!R26*(1+$D$246)</f>
        <v>0</v>
      </c>
      <c r="S265" s="141">
        <f>Calculations!S26*(1+$D$246)</f>
        <v>0</v>
      </c>
      <c r="T265" s="141">
        <f>Calculations!T26*(1+$D$246)</f>
        <v>0</v>
      </c>
      <c r="U265" s="141">
        <f>Calculations!U26*(1+$D$246)</f>
        <v>0</v>
      </c>
      <c r="V265" s="141">
        <f>Calculations!V26*(1+$D$246)</f>
        <v>0</v>
      </c>
      <c r="W265" s="141">
        <f>Calculations!W26*(1+$D$246)</f>
        <v>0</v>
      </c>
      <c r="X265" s="141">
        <f>Calculations!X26*(1+$D$246)</f>
        <v>0</v>
      </c>
      <c r="Y265" s="141">
        <f>Calculations!Y26*(1+$D$246)</f>
        <v>0</v>
      </c>
      <c r="Z265" s="287"/>
    </row>
    <row r="266" spans="2:26" ht="13.5" thickBot="1" x14ac:dyDescent="0.25">
      <c r="B266" s="107"/>
      <c r="C266" s="137" t="str">
        <f>'User Input'!D46</f>
        <v>Cost 5</v>
      </c>
      <c r="D266" s="67">
        <f t="shared" si="48"/>
        <v>0</v>
      </c>
      <c r="E266" s="141">
        <f>Calculations!E27*(1+$D$246)</f>
        <v>0</v>
      </c>
      <c r="F266" s="141">
        <f>Calculations!F27*(1+$D$246)</f>
        <v>0</v>
      </c>
      <c r="G266" s="141">
        <f>Calculations!G27*(1+$D$246)</f>
        <v>0</v>
      </c>
      <c r="H266" s="141">
        <f>Calculations!H27*(1+$D$246)</f>
        <v>0</v>
      </c>
      <c r="I266" s="141">
        <f>Calculations!I27*(1+$D$246)</f>
        <v>0</v>
      </c>
      <c r="J266" s="141">
        <f>Calculations!J27*(1+$D$246)</f>
        <v>0</v>
      </c>
      <c r="K266" s="141">
        <f>Calculations!K27*(1+$D$246)</f>
        <v>0</v>
      </c>
      <c r="L266" s="141">
        <f>Calculations!L27*(1+$D$246)</f>
        <v>0</v>
      </c>
      <c r="M266" s="141">
        <f>Calculations!M27*(1+$D$246)</f>
        <v>0</v>
      </c>
      <c r="N266" s="141">
        <f>Calculations!N27*(1+$D$246)</f>
        <v>0</v>
      </c>
      <c r="O266" s="141">
        <f>Calculations!O27*(1+$D$246)</f>
        <v>0</v>
      </c>
      <c r="P266" s="141">
        <f>Calculations!P27*(1+$D$246)</f>
        <v>0</v>
      </c>
      <c r="Q266" s="141">
        <f>Calculations!Q27*(1+$D$246)</f>
        <v>0</v>
      </c>
      <c r="R266" s="141">
        <f>Calculations!R27*(1+$D$246)</f>
        <v>0</v>
      </c>
      <c r="S266" s="141">
        <f>Calculations!S27*(1+$D$246)</f>
        <v>0</v>
      </c>
      <c r="T266" s="141">
        <f>Calculations!T27*(1+$D$246)</f>
        <v>0</v>
      </c>
      <c r="U266" s="141">
        <f>Calculations!U27*(1+$D$246)</f>
        <v>0</v>
      </c>
      <c r="V266" s="141">
        <f>Calculations!V27*(1+$D$246)</f>
        <v>0</v>
      </c>
      <c r="W266" s="141">
        <f>Calculations!W27*(1+$D$246)</f>
        <v>0</v>
      </c>
      <c r="X266" s="141">
        <f>Calculations!X27*(1+$D$246)</f>
        <v>0</v>
      </c>
      <c r="Y266" s="141">
        <f>Calculations!Y27*(1+$D$246)</f>
        <v>0</v>
      </c>
      <c r="Z266" s="287"/>
    </row>
    <row r="267" spans="2:26" ht="13.5" thickBot="1" x14ac:dyDescent="0.25">
      <c r="B267" s="107"/>
      <c r="C267" s="137" t="str">
        <f>'User Input'!D47</f>
        <v>Risk 1</v>
      </c>
      <c r="D267" s="67">
        <f>SUM(E267:Y267)</f>
        <v>0</v>
      </c>
      <c r="E267" s="141">
        <f>Calculations!E28*(1+$D$246)</f>
        <v>0</v>
      </c>
      <c r="F267" s="141">
        <f>Calculations!F28*(1+$D$246)</f>
        <v>0</v>
      </c>
      <c r="G267" s="141">
        <f>Calculations!G28*(1+$D$246)</f>
        <v>0</v>
      </c>
      <c r="H267" s="141">
        <f>Calculations!H28*(1+$D$246)</f>
        <v>0</v>
      </c>
      <c r="I267" s="141">
        <f>Calculations!I28*(1+$D$246)</f>
        <v>0</v>
      </c>
      <c r="J267" s="141">
        <f>Calculations!J28*(1+$D$246)</f>
        <v>0</v>
      </c>
      <c r="K267" s="141">
        <f>Calculations!K28*(1+$D$246)</f>
        <v>0</v>
      </c>
      <c r="L267" s="141">
        <f>Calculations!L28*(1+$D$246)</f>
        <v>0</v>
      </c>
      <c r="M267" s="141">
        <f>Calculations!M28*(1+$D$246)</f>
        <v>0</v>
      </c>
      <c r="N267" s="141">
        <f>Calculations!N28*(1+$D$246)</f>
        <v>0</v>
      </c>
      <c r="O267" s="141">
        <f>Calculations!O28*(1+$D$246)</f>
        <v>0</v>
      </c>
      <c r="P267" s="141">
        <f>Calculations!P28*(1+$D$246)</f>
        <v>0</v>
      </c>
      <c r="Q267" s="141">
        <f>Calculations!Q28*(1+$D$246)</f>
        <v>0</v>
      </c>
      <c r="R267" s="141">
        <f>Calculations!R28*(1+$D$246)</f>
        <v>0</v>
      </c>
      <c r="S267" s="141">
        <f>Calculations!S28*(1+$D$246)</f>
        <v>0</v>
      </c>
      <c r="T267" s="141">
        <f>Calculations!T28*(1+$D$246)</f>
        <v>0</v>
      </c>
      <c r="U267" s="141">
        <f>Calculations!U28*(1+$D$246)</f>
        <v>0</v>
      </c>
      <c r="V267" s="141">
        <f>Calculations!V28*(1+$D$246)</f>
        <v>0</v>
      </c>
      <c r="W267" s="141">
        <f>Calculations!W28*(1+$D$246)</f>
        <v>0</v>
      </c>
      <c r="X267" s="141">
        <f>Calculations!X28*(1+$D$246)</f>
        <v>0</v>
      </c>
      <c r="Y267" s="141">
        <f>Calculations!Y28*(1+$D$246)</f>
        <v>0</v>
      </c>
      <c r="Z267" s="287"/>
    </row>
    <row r="268" spans="2:26" ht="13.5" thickBot="1" x14ac:dyDescent="0.25">
      <c r="B268" s="107"/>
      <c r="C268" s="137" t="str">
        <f>'User Input'!D48</f>
        <v>Risk 2</v>
      </c>
      <c r="D268" s="67">
        <f>SUM(E268:Y268)</f>
        <v>0</v>
      </c>
      <c r="E268" s="141">
        <f>Calculations!E29*(1+$D$246)</f>
        <v>0</v>
      </c>
      <c r="F268" s="141">
        <f>Calculations!F29*(1+$D$246)</f>
        <v>0</v>
      </c>
      <c r="G268" s="141">
        <f>Calculations!G29*(1+$D$246)</f>
        <v>0</v>
      </c>
      <c r="H268" s="141">
        <f>Calculations!H29*(1+$D$246)</f>
        <v>0</v>
      </c>
      <c r="I268" s="141">
        <f>Calculations!I29*(1+$D$246)</f>
        <v>0</v>
      </c>
      <c r="J268" s="141">
        <f>Calculations!J29*(1+$D$246)</f>
        <v>0</v>
      </c>
      <c r="K268" s="141">
        <f>Calculations!K29*(1+$D$246)</f>
        <v>0</v>
      </c>
      <c r="L268" s="141">
        <f>Calculations!L29*(1+$D$246)</f>
        <v>0</v>
      </c>
      <c r="M268" s="141">
        <f>Calculations!M29*(1+$D$246)</f>
        <v>0</v>
      </c>
      <c r="N268" s="141">
        <f>Calculations!N29*(1+$D$246)</f>
        <v>0</v>
      </c>
      <c r="O268" s="141">
        <f>Calculations!O29*(1+$D$246)</f>
        <v>0</v>
      </c>
      <c r="P268" s="141">
        <f>Calculations!P29*(1+$D$246)</f>
        <v>0</v>
      </c>
      <c r="Q268" s="141">
        <f>Calculations!Q29*(1+$D$246)</f>
        <v>0</v>
      </c>
      <c r="R268" s="141">
        <f>Calculations!R29*(1+$D$246)</f>
        <v>0</v>
      </c>
      <c r="S268" s="141">
        <f>Calculations!S29*(1+$D$246)</f>
        <v>0</v>
      </c>
      <c r="T268" s="141">
        <f>Calculations!T29*(1+$D$246)</f>
        <v>0</v>
      </c>
      <c r="U268" s="141">
        <f>Calculations!U29*(1+$D$246)</f>
        <v>0</v>
      </c>
      <c r="V268" s="141">
        <f>Calculations!V29*(1+$D$246)</f>
        <v>0</v>
      </c>
      <c r="W268" s="141">
        <f>Calculations!W29*(1+$D$246)</f>
        <v>0</v>
      </c>
      <c r="X268" s="141">
        <f>Calculations!X29*(1+$D$246)</f>
        <v>0</v>
      </c>
      <c r="Y268" s="141">
        <f>Calculations!Y29*(1+$D$246)</f>
        <v>0</v>
      </c>
      <c r="Z268" s="287"/>
    </row>
    <row r="269" spans="2:26" ht="13.5" thickBot="1" x14ac:dyDescent="0.25">
      <c r="B269" s="107"/>
      <c r="C269" s="137" t="str">
        <f>'User Input'!D49</f>
        <v>Risk 3</v>
      </c>
      <c r="D269" s="67">
        <f>SUM(E269:Y269)</f>
        <v>0</v>
      </c>
      <c r="E269" s="141">
        <f>Calculations!E30*(1+$D$246)</f>
        <v>0</v>
      </c>
      <c r="F269" s="141">
        <f>Calculations!F30*(1+$D$246)</f>
        <v>0</v>
      </c>
      <c r="G269" s="141">
        <f>Calculations!G30*(1+$D$246)</f>
        <v>0</v>
      </c>
      <c r="H269" s="141">
        <f>Calculations!H30*(1+$D$246)</f>
        <v>0</v>
      </c>
      <c r="I269" s="141">
        <f>Calculations!I30*(1+$D$246)</f>
        <v>0</v>
      </c>
      <c r="J269" s="141">
        <f>Calculations!J30*(1+$D$246)</f>
        <v>0</v>
      </c>
      <c r="K269" s="141">
        <f>Calculations!K30*(1+$D$246)</f>
        <v>0</v>
      </c>
      <c r="L269" s="141">
        <f>Calculations!L30*(1+$D$246)</f>
        <v>0</v>
      </c>
      <c r="M269" s="141">
        <f>Calculations!M30*(1+$D$246)</f>
        <v>0</v>
      </c>
      <c r="N269" s="141">
        <f>Calculations!N30*(1+$D$246)</f>
        <v>0</v>
      </c>
      <c r="O269" s="141">
        <f>Calculations!O30*(1+$D$246)</f>
        <v>0</v>
      </c>
      <c r="P269" s="141">
        <f>Calculations!P30*(1+$D$246)</f>
        <v>0</v>
      </c>
      <c r="Q269" s="141">
        <f>Calculations!Q30*(1+$D$246)</f>
        <v>0</v>
      </c>
      <c r="R269" s="141">
        <f>Calculations!R30*(1+$D$246)</f>
        <v>0</v>
      </c>
      <c r="S269" s="141">
        <f>Calculations!S30*(1+$D$246)</f>
        <v>0</v>
      </c>
      <c r="T269" s="141">
        <f>Calculations!T30*(1+$D$246)</f>
        <v>0</v>
      </c>
      <c r="U269" s="141">
        <f>Calculations!U30*(1+$D$246)</f>
        <v>0</v>
      </c>
      <c r="V269" s="141">
        <f>Calculations!V30*(1+$D$246)</f>
        <v>0</v>
      </c>
      <c r="W269" s="141">
        <f>Calculations!W30*(1+$D$246)</f>
        <v>0</v>
      </c>
      <c r="X269" s="141">
        <f>Calculations!X30*(1+$D$246)</f>
        <v>0</v>
      </c>
      <c r="Y269" s="141">
        <f>Calculations!Y30*(1+$D$246)</f>
        <v>0</v>
      </c>
      <c r="Z269" s="287"/>
    </row>
    <row r="270" spans="2:26" ht="13.5" thickBot="1" x14ac:dyDescent="0.25">
      <c r="B270" s="107"/>
      <c r="C270" s="137" t="str">
        <f>'User Input'!D50</f>
        <v>Risk 4</v>
      </c>
      <c r="D270" s="67">
        <f>SUM(E270:Y270)</f>
        <v>0</v>
      </c>
      <c r="E270" s="141">
        <f>Calculations!E31*(1+$D$246)</f>
        <v>0</v>
      </c>
      <c r="F270" s="141">
        <f>Calculations!F31*(1+$D$246)</f>
        <v>0</v>
      </c>
      <c r="G270" s="141">
        <f>Calculations!G31*(1+$D$246)</f>
        <v>0</v>
      </c>
      <c r="H270" s="141">
        <f>Calculations!H31*(1+$D$246)</f>
        <v>0</v>
      </c>
      <c r="I270" s="141">
        <f>Calculations!I31*(1+$D$246)</f>
        <v>0</v>
      </c>
      <c r="J270" s="141">
        <f>Calculations!J31*(1+$D$246)</f>
        <v>0</v>
      </c>
      <c r="K270" s="141">
        <f>Calculations!K31*(1+$D$246)</f>
        <v>0</v>
      </c>
      <c r="L270" s="141">
        <f>Calculations!L31*(1+$D$246)</f>
        <v>0</v>
      </c>
      <c r="M270" s="141">
        <f>Calculations!M31*(1+$D$246)</f>
        <v>0</v>
      </c>
      <c r="N270" s="141">
        <f>Calculations!N31*(1+$D$246)</f>
        <v>0</v>
      </c>
      <c r="O270" s="141">
        <f>Calculations!O31*(1+$D$246)</f>
        <v>0</v>
      </c>
      <c r="P270" s="141">
        <f>Calculations!P31*(1+$D$246)</f>
        <v>0</v>
      </c>
      <c r="Q270" s="141">
        <f>Calculations!Q31*(1+$D$246)</f>
        <v>0</v>
      </c>
      <c r="R270" s="141">
        <f>Calculations!R31*(1+$D$246)</f>
        <v>0</v>
      </c>
      <c r="S270" s="141">
        <f>Calculations!S31*(1+$D$246)</f>
        <v>0</v>
      </c>
      <c r="T270" s="141">
        <f>Calculations!T31*(1+$D$246)</f>
        <v>0</v>
      </c>
      <c r="U270" s="141">
        <f>Calculations!U31*(1+$D$246)</f>
        <v>0</v>
      </c>
      <c r="V270" s="141">
        <f>Calculations!V31*(1+$D$246)</f>
        <v>0</v>
      </c>
      <c r="W270" s="141">
        <f>Calculations!W31*(1+$D$246)</f>
        <v>0</v>
      </c>
      <c r="X270" s="141">
        <f>Calculations!X31*(1+$D$246)</f>
        <v>0</v>
      </c>
      <c r="Y270" s="141">
        <f>Calculations!Y31*(1+$D$246)</f>
        <v>0</v>
      </c>
      <c r="Z270" s="287"/>
    </row>
    <row r="271" spans="2:26" ht="13.5" thickBot="1" x14ac:dyDescent="0.25">
      <c r="B271" s="107"/>
      <c r="C271" s="137" t="str">
        <f>'User Input'!D51</f>
        <v>Risk 5</v>
      </c>
      <c r="D271" s="67">
        <f>SUM(E271:Y271)</f>
        <v>0</v>
      </c>
      <c r="E271" s="141">
        <f>Calculations!E32*(1+$D$246)</f>
        <v>0</v>
      </c>
      <c r="F271" s="141">
        <f>Calculations!F32*(1+$D$246)</f>
        <v>0</v>
      </c>
      <c r="G271" s="141">
        <f>Calculations!G32*(1+$D$246)</f>
        <v>0</v>
      </c>
      <c r="H271" s="141">
        <f>Calculations!H32*(1+$D$246)</f>
        <v>0</v>
      </c>
      <c r="I271" s="141">
        <f>Calculations!I32*(1+$D$246)</f>
        <v>0</v>
      </c>
      <c r="J271" s="141">
        <f>Calculations!J32*(1+$D$246)</f>
        <v>0</v>
      </c>
      <c r="K271" s="141">
        <f>Calculations!K32*(1+$D$246)</f>
        <v>0</v>
      </c>
      <c r="L271" s="141">
        <f>Calculations!L32*(1+$D$246)</f>
        <v>0</v>
      </c>
      <c r="M271" s="141">
        <f>Calculations!M32*(1+$D$246)</f>
        <v>0</v>
      </c>
      <c r="N271" s="141">
        <f>Calculations!N32*(1+$D$246)</f>
        <v>0</v>
      </c>
      <c r="O271" s="141">
        <f>Calculations!O32*(1+$D$246)</f>
        <v>0</v>
      </c>
      <c r="P271" s="141">
        <f>Calculations!P32*(1+$D$246)</f>
        <v>0</v>
      </c>
      <c r="Q271" s="141">
        <f>Calculations!Q32*(1+$D$246)</f>
        <v>0</v>
      </c>
      <c r="R271" s="141">
        <f>Calculations!R32*(1+$D$246)</f>
        <v>0</v>
      </c>
      <c r="S271" s="141">
        <f>Calculations!S32*(1+$D$246)</f>
        <v>0</v>
      </c>
      <c r="T271" s="141">
        <f>Calculations!T32*(1+$D$246)</f>
        <v>0</v>
      </c>
      <c r="U271" s="141">
        <f>Calculations!U32*(1+$D$246)</f>
        <v>0</v>
      </c>
      <c r="V271" s="141">
        <f>Calculations!V32*(1+$D$246)</f>
        <v>0</v>
      </c>
      <c r="W271" s="141">
        <f>Calculations!W32*(1+$D$246)</f>
        <v>0</v>
      </c>
      <c r="X271" s="141">
        <f>Calculations!X32*(1+$D$246)</f>
        <v>0</v>
      </c>
      <c r="Y271" s="141">
        <f>Calculations!Y32*(1+$D$246)</f>
        <v>0</v>
      </c>
      <c r="Z271" s="287"/>
    </row>
    <row r="272" spans="2:26" ht="13.5" thickBot="1" x14ac:dyDescent="0.25">
      <c r="B272" s="107"/>
      <c r="C272" s="53" t="s">
        <v>2</v>
      </c>
      <c r="D272" s="67">
        <f t="shared" si="48"/>
        <v>7160.3979542112966</v>
      </c>
      <c r="E272" s="65">
        <f>SUM(E253:E271)</f>
        <v>0</v>
      </c>
      <c r="F272" s="66">
        <f t="shared" ref="F272:Y272" si="49">SUM(F253:F271)</f>
        <v>151.36513216305212</v>
      </c>
      <c r="G272" s="66">
        <f t="shared" si="49"/>
        <v>308.60323145403072</v>
      </c>
      <c r="H272" s="66">
        <f t="shared" si="49"/>
        <v>314.59013414423896</v>
      </c>
      <c r="I272" s="66">
        <f t="shared" si="49"/>
        <v>320.69318274663715</v>
      </c>
      <c r="J272" s="66">
        <f t="shared" si="49"/>
        <v>326.91463049192191</v>
      </c>
      <c r="K272" s="66">
        <f t="shared" si="49"/>
        <v>333.25677432346515</v>
      </c>
      <c r="L272" s="66">
        <f t="shared" si="49"/>
        <v>339.72195574534038</v>
      </c>
      <c r="M272" s="66">
        <f t="shared" si="49"/>
        <v>346.3125616868</v>
      </c>
      <c r="N272" s="66">
        <f t="shared" si="49"/>
        <v>353.03102538352391</v>
      </c>
      <c r="O272" s="66">
        <f t="shared" si="49"/>
        <v>359.87982727596432</v>
      </c>
      <c r="P272" s="66">
        <f t="shared" si="49"/>
        <v>366.86149592511799</v>
      </c>
      <c r="Q272" s="66">
        <f t="shared" si="49"/>
        <v>373.97860894606526</v>
      </c>
      <c r="R272" s="66">
        <f t="shared" si="49"/>
        <v>381.23379395961894</v>
      </c>
      <c r="S272" s="66">
        <f t="shared" si="49"/>
        <v>388.62972956243556</v>
      </c>
      <c r="T272" s="66">
        <f t="shared" si="49"/>
        <v>396.1691463159467</v>
      </c>
      <c r="U272" s="66">
        <f t="shared" si="49"/>
        <v>403.8548277544761</v>
      </c>
      <c r="V272" s="66">
        <f t="shared" si="49"/>
        <v>411.68961141291294</v>
      </c>
      <c r="W272" s="66">
        <f t="shared" si="49"/>
        <v>419.67638987432343</v>
      </c>
      <c r="X272" s="66">
        <f t="shared" si="49"/>
        <v>427.81811183788528</v>
      </c>
      <c r="Y272" s="148">
        <f t="shared" si="49"/>
        <v>436.1177832075403</v>
      </c>
      <c r="Z272" s="287"/>
    </row>
    <row r="273" spans="1:26" ht="13.5" thickBot="1" x14ac:dyDescent="0.25">
      <c r="B273" s="107"/>
      <c r="C273" s="54" t="s">
        <v>50</v>
      </c>
      <c r="D273" s="67">
        <f t="shared" si="48"/>
        <v>2870.4390832967542</v>
      </c>
      <c r="E273" s="77">
        <f t="shared" ref="E273:Y273" si="50">E272/(1+$D$244)^E$238</f>
        <v>0</v>
      </c>
      <c r="F273" s="77">
        <f t="shared" si="50"/>
        <v>138.0187217680789</v>
      </c>
      <c r="G273" s="77">
        <f t="shared" si="50"/>
        <v>256.58117073106524</v>
      </c>
      <c r="H273" s="77">
        <f t="shared" si="50"/>
        <v>238.49625735684137</v>
      </c>
      <c r="I273" s="77">
        <f t="shared" si="50"/>
        <v>221.68604426877366</v>
      </c>
      <c r="J273" s="77">
        <f t="shared" si="50"/>
        <v>206.06068526268612</v>
      </c>
      <c r="K273" s="77">
        <f t="shared" si="50"/>
        <v>191.53666687041323</v>
      </c>
      <c r="L273" s="77">
        <f t="shared" si="50"/>
        <v>178.0363620020965</v>
      </c>
      <c r="M273" s="77">
        <f t="shared" si="50"/>
        <v>165.48761504963724</v>
      </c>
      <c r="N273" s="77">
        <f t="shared" si="50"/>
        <v>153.82335623379248</v>
      </c>
      <c r="O273" s="77">
        <f t="shared" si="50"/>
        <v>142.98124313369934</v>
      </c>
      <c r="P273" s="77">
        <f t="shared" si="50"/>
        <v>132.90332748289694</v>
      </c>
      <c r="Q273" s="77">
        <f t="shared" si="50"/>
        <v>123.53574545095755</v>
      </c>
      <c r="R273" s="77">
        <f t="shared" si="50"/>
        <v>114.82842975536256</v>
      </c>
      <c r="S273" s="77">
        <f t="shared" si="50"/>
        <v>106.73484206493715</v>
      </c>
      <c r="T273" s="77">
        <f t="shared" si="50"/>
        <v>99.211724264609202</v>
      </c>
      <c r="U273" s="77">
        <f t="shared" si="50"/>
        <v>92.218867252067696</v>
      </c>
      <c r="V273" s="77">
        <f t="shared" si="50"/>
        <v>85.718896030598884</v>
      </c>
      <c r="W273" s="77">
        <f t="shared" si="50"/>
        <v>79.677069949477982</v>
      </c>
      <c r="X273" s="77">
        <f t="shared" si="50"/>
        <v>74.061097024252618</v>
      </c>
      <c r="Y273" s="149">
        <f t="shared" si="50"/>
        <v>68.840961344509083</v>
      </c>
      <c r="Z273" s="287"/>
    </row>
    <row r="274" spans="1:26" x14ac:dyDescent="0.2">
      <c r="B274" s="227"/>
      <c r="C274" s="292"/>
      <c r="D274" s="292"/>
      <c r="E274" s="289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  <c r="X274" s="293"/>
      <c r="Y274" s="293"/>
      <c r="Z274" s="290"/>
    </row>
    <row r="275" spans="1:26" x14ac:dyDescent="0.2">
      <c r="B275" s="371" t="str">
        <f>'User Input'!D53</f>
        <v>Option 1: Provide In Meter Capabilities</v>
      </c>
      <c r="C275" s="367"/>
      <c r="D275" s="372"/>
      <c r="E275" s="369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0"/>
    </row>
    <row r="276" spans="1:26" ht="13.5" thickBot="1" x14ac:dyDescent="0.25">
      <c r="B276" s="20"/>
      <c r="C276" s="5"/>
      <c r="D276" s="5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185"/>
      <c r="Z276" s="287"/>
    </row>
    <row r="277" spans="1:26" ht="13.5" thickBot="1" x14ac:dyDescent="0.25">
      <c r="B277" s="52"/>
      <c r="C277" s="29" t="s">
        <v>76</v>
      </c>
      <c r="D277" s="67">
        <f>SUM(E277:Y277)</f>
        <v>2864.8837739569649</v>
      </c>
      <c r="E277" s="141">
        <f>Calculations!E38*(1+$D$245)</f>
        <v>1592.5653862840418</v>
      </c>
      <c r="F277" s="141">
        <f>Calculations!F38*(1+$D$245)</f>
        <v>1272.3183876729231</v>
      </c>
      <c r="G277" s="141">
        <f>Calculations!G38*(1+$D$245)</f>
        <v>0</v>
      </c>
      <c r="H277" s="141">
        <f>Calculations!H38*(1+$D$245)</f>
        <v>0</v>
      </c>
      <c r="I277" s="141">
        <f>Calculations!I38*(1+$D$245)</f>
        <v>0</v>
      </c>
      <c r="J277" s="141">
        <f>Calculations!J38*(1+$D$245)</f>
        <v>0</v>
      </c>
      <c r="K277" s="141">
        <f>Calculations!K38*(1+$D$245)</f>
        <v>0</v>
      </c>
      <c r="L277" s="141">
        <f>Calculations!L38*(1+$D$245)</f>
        <v>0</v>
      </c>
      <c r="M277" s="141">
        <f>Calculations!M38*(1+$D$245)</f>
        <v>0</v>
      </c>
      <c r="N277" s="141">
        <f>Calculations!N38*(1+$D$245)</f>
        <v>0</v>
      </c>
      <c r="O277" s="141">
        <f>Calculations!O38*(1+$D$245)</f>
        <v>0</v>
      </c>
      <c r="P277" s="141">
        <f>Calculations!P38*(1+$D$245)</f>
        <v>0</v>
      </c>
      <c r="Q277" s="141">
        <f>Calculations!Q38*(1+$D$245)</f>
        <v>0</v>
      </c>
      <c r="R277" s="141">
        <f>Calculations!R38*(1+$D$245)</f>
        <v>0</v>
      </c>
      <c r="S277" s="141">
        <f>Calculations!S38*(1+$D$245)</f>
        <v>0</v>
      </c>
      <c r="T277" s="141">
        <f>Calculations!T38*(1+$D$245)</f>
        <v>0</v>
      </c>
      <c r="U277" s="141">
        <f>Calculations!U38*(1+$D$245)</f>
        <v>0</v>
      </c>
      <c r="V277" s="141">
        <f>Calculations!V38*(1+$D$245)</f>
        <v>0</v>
      </c>
      <c r="W277" s="141">
        <f>Calculations!W38*(1+$D$245)</f>
        <v>0</v>
      </c>
      <c r="X277" s="141">
        <f>Calculations!X38*(1+$D$245)</f>
        <v>0</v>
      </c>
      <c r="Y277" s="141">
        <f>Calculations!Y38*(1+$D$245)</f>
        <v>0</v>
      </c>
      <c r="Z277" s="287"/>
    </row>
    <row r="278" spans="1:26" ht="13.5" thickBot="1" x14ac:dyDescent="0.25">
      <c r="B278" s="107"/>
      <c r="C278" s="137" t="str">
        <f>'User Input'!D56</f>
        <v>Maintenance Costs</v>
      </c>
      <c r="D278" s="67">
        <f>SUM(E278:Y278)</f>
        <v>0</v>
      </c>
      <c r="E278" s="141">
        <f>Calculations!E39*(1+$D$246)</f>
        <v>0</v>
      </c>
      <c r="F278" s="141">
        <f>Calculations!F39*(1+$D$246)</f>
        <v>0</v>
      </c>
      <c r="G278" s="141">
        <f>Calculations!G39*(1+$D$246)</f>
        <v>0</v>
      </c>
      <c r="H278" s="141">
        <f>Calculations!H39*(1+$D$246)</f>
        <v>0</v>
      </c>
      <c r="I278" s="141">
        <f>Calculations!I39*(1+$D$246)</f>
        <v>0</v>
      </c>
      <c r="J278" s="141">
        <f>Calculations!J39*(1+$D$246)</f>
        <v>0</v>
      </c>
      <c r="K278" s="141">
        <f>Calculations!K39*(1+$D$246)</f>
        <v>0</v>
      </c>
      <c r="L278" s="141">
        <f>Calculations!L39*(1+$D$246)</f>
        <v>0</v>
      </c>
      <c r="M278" s="141">
        <f>Calculations!M39*(1+$D$246)</f>
        <v>0</v>
      </c>
      <c r="N278" s="141">
        <f>Calculations!N39*(1+$D$246)</f>
        <v>0</v>
      </c>
      <c r="O278" s="141">
        <f>Calculations!O39*(1+$D$246)</f>
        <v>0</v>
      </c>
      <c r="P278" s="141">
        <f>Calculations!P39*(1+$D$246)</f>
        <v>0</v>
      </c>
      <c r="Q278" s="141">
        <f>Calculations!Q39*(1+$D$246)</f>
        <v>0</v>
      </c>
      <c r="R278" s="141">
        <f>Calculations!R39*(1+$D$246)</f>
        <v>0</v>
      </c>
      <c r="S278" s="141">
        <f>Calculations!S39*(1+$D$246)</f>
        <v>0</v>
      </c>
      <c r="T278" s="141">
        <f>Calculations!T39*(1+$D$246)</f>
        <v>0</v>
      </c>
      <c r="U278" s="141">
        <f>Calculations!U39*(1+$D$246)</f>
        <v>0</v>
      </c>
      <c r="V278" s="141">
        <f>Calculations!V39*(1+$D$246)</f>
        <v>0</v>
      </c>
      <c r="W278" s="141">
        <f>Calculations!W39*(1+$D$246)</f>
        <v>0</v>
      </c>
      <c r="X278" s="141">
        <f>Calculations!X39*(1+$D$246)</f>
        <v>0</v>
      </c>
      <c r="Y278" s="141">
        <f>Calculations!Y39*(1+$D$246)</f>
        <v>0</v>
      </c>
      <c r="Z278" s="287"/>
    </row>
    <row r="279" spans="1:26" ht="13.5" thickBot="1" x14ac:dyDescent="0.25">
      <c r="B279" s="107"/>
      <c r="C279" s="137" t="str">
        <f>'User Input'!D58</f>
        <v>Negative Impact on Revenue (STPIS)</v>
      </c>
      <c r="D279" s="195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46"/>
      <c r="Z279" s="287"/>
    </row>
    <row r="280" spans="1:26" ht="13.5" thickBot="1" x14ac:dyDescent="0.25">
      <c r="B280" s="107"/>
      <c r="C280" s="136" t="str">
        <f>'User Input'!D59</f>
        <v>SAIFI sustained</v>
      </c>
      <c r="D280" s="67">
        <f t="shared" ref="D280:D297" si="51">SUM(E280:Y280)</f>
        <v>0</v>
      </c>
      <c r="E280" s="259">
        <v>0</v>
      </c>
      <c r="F280" s="259">
        <v>0</v>
      </c>
      <c r="G280" s="141">
        <f>Calculations!G41*(1+$D$248)</f>
        <v>0</v>
      </c>
      <c r="H280" s="141">
        <f>Calculations!H41*(1+$D$248)</f>
        <v>0</v>
      </c>
      <c r="I280" s="141">
        <f>Calculations!I41*(1+$D$248)</f>
        <v>0</v>
      </c>
      <c r="J280" s="141">
        <f>Calculations!J41*(1+$D$248)</f>
        <v>0</v>
      </c>
      <c r="K280" s="141">
        <f>Calculations!K41*(1+$D$248)</f>
        <v>0</v>
      </c>
      <c r="L280" s="141">
        <f>Calculations!L41*(1+$D$248)</f>
        <v>0</v>
      </c>
      <c r="M280" s="141">
        <f>Calculations!M41*(1+$D$248)</f>
        <v>0</v>
      </c>
      <c r="N280" s="141">
        <f>Calculations!N41*(1+$D$248)</f>
        <v>0</v>
      </c>
      <c r="O280" s="141">
        <f>Calculations!O41*(1+$D$248)</f>
        <v>0</v>
      </c>
      <c r="P280" s="141">
        <f>Calculations!P41*(1+$D$248)</f>
        <v>0</v>
      </c>
      <c r="Q280" s="141">
        <f>Calculations!Q41*(1+$D$248)</f>
        <v>0</v>
      </c>
      <c r="R280" s="141">
        <f>Calculations!R41*(1+$D$248)</f>
        <v>0</v>
      </c>
      <c r="S280" s="141">
        <f>Calculations!S41*(1+$D$248)</f>
        <v>0</v>
      </c>
      <c r="T280" s="141">
        <f>Calculations!T41*(1+$D$248)</f>
        <v>0</v>
      </c>
      <c r="U280" s="141">
        <f>Calculations!U41*(1+$D$248)</f>
        <v>0</v>
      </c>
      <c r="V280" s="141">
        <f>Calculations!V41*(1+$D$248)</f>
        <v>0</v>
      </c>
      <c r="W280" s="141">
        <f>Calculations!W41*(1+$D$248)</f>
        <v>0</v>
      </c>
      <c r="X280" s="141">
        <f>Calculations!X41*(1+$D$248)</f>
        <v>0</v>
      </c>
      <c r="Y280" s="141">
        <f>Calculations!Y41*(1+$D$248)</f>
        <v>0</v>
      </c>
      <c r="Z280" s="287"/>
    </row>
    <row r="281" spans="1:26" ht="13.5" thickBot="1" x14ac:dyDescent="0.25">
      <c r="B281" s="107"/>
      <c r="C281" s="136" t="str">
        <f>'User Input'!D60</f>
        <v>SAIDI accidental</v>
      </c>
      <c r="D281" s="67">
        <f t="shared" si="51"/>
        <v>0</v>
      </c>
      <c r="E281" s="259">
        <v>0</v>
      </c>
      <c r="F281" s="259">
        <v>0</v>
      </c>
      <c r="G281" s="141">
        <f>Calculations!G42*(1+$D$247)</f>
        <v>0</v>
      </c>
      <c r="H281" s="141">
        <f>Calculations!H42*(1+$D$247)</f>
        <v>0</v>
      </c>
      <c r="I281" s="141">
        <f>Calculations!I42*(1+$D$247)</f>
        <v>0</v>
      </c>
      <c r="J281" s="141">
        <f>Calculations!J42*(1+$D$247)</f>
        <v>0</v>
      </c>
      <c r="K281" s="141">
        <f>Calculations!K42*(1+$D$247)</f>
        <v>0</v>
      </c>
      <c r="L281" s="141">
        <f>Calculations!L42*(1+$D$247)</f>
        <v>0</v>
      </c>
      <c r="M281" s="141">
        <f>Calculations!M42*(1+$D$247)</f>
        <v>0</v>
      </c>
      <c r="N281" s="141">
        <f>Calculations!N42*(1+$D$247)</f>
        <v>0</v>
      </c>
      <c r="O281" s="141">
        <f>Calculations!O42*(1+$D$247)</f>
        <v>0</v>
      </c>
      <c r="P281" s="141">
        <f>Calculations!P42*(1+$D$247)</f>
        <v>0</v>
      </c>
      <c r="Q281" s="141">
        <f>Calculations!Q42*(1+$D$247)</f>
        <v>0</v>
      </c>
      <c r="R281" s="141">
        <f>Calculations!R42*(1+$D$247)</f>
        <v>0</v>
      </c>
      <c r="S281" s="141">
        <f>Calculations!S42*(1+$D$247)</f>
        <v>0</v>
      </c>
      <c r="T281" s="141">
        <f>Calculations!T42*(1+$D$247)</f>
        <v>0</v>
      </c>
      <c r="U281" s="141">
        <f>Calculations!U42*(1+$D$247)</f>
        <v>0</v>
      </c>
      <c r="V281" s="141">
        <f>Calculations!V42*(1+$D$247)</f>
        <v>0</v>
      </c>
      <c r="W281" s="141">
        <f>Calculations!W42*(1+$D$247)</f>
        <v>0</v>
      </c>
      <c r="X281" s="141">
        <f>Calculations!X42*(1+$D$247)</f>
        <v>0</v>
      </c>
      <c r="Y281" s="141">
        <f>Calculations!Y42*(1+$D$247)</f>
        <v>0</v>
      </c>
      <c r="Z281" s="287"/>
    </row>
    <row r="282" spans="1:26" ht="13.5" thickBot="1" x14ac:dyDescent="0.25">
      <c r="B282" s="107"/>
      <c r="C282" s="136" t="str">
        <f>'User Input'!D61</f>
        <v>MAIFI momentary</v>
      </c>
      <c r="D282" s="67">
        <f t="shared" si="51"/>
        <v>0</v>
      </c>
      <c r="E282" s="259">
        <v>0</v>
      </c>
      <c r="F282" s="259">
        <v>0</v>
      </c>
      <c r="G282" s="141">
        <f>Calculations!G43*(1+$D$249)</f>
        <v>0</v>
      </c>
      <c r="H282" s="141">
        <f>Calculations!H43*(1+$D$249)</f>
        <v>0</v>
      </c>
      <c r="I282" s="141">
        <f>Calculations!I43*(1+$D$249)</f>
        <v>0</v>
      </c>
      <c r="J282" s="141">
        <f>Calculations!J43*(1+$D$249)</f>
        <v>0</v>
      </c>
      <c r="K282" s="141">
        <f>Calculations!K43*(1+$D$249)</f>
        <v>0</v>
      </c>
      <c r="L282" s="141">
        <f>Calculations!L43*(1+$D$249)</f>
        <v>0</v>
      </c>
      <c r="M282" s="141">
        <f>Calculations!M43*(1+$D$249)</f>
        <v>0</v>
      </c>
      <c r="N282" s="141">
        <f>Calculations!N43*(1+$D$249)</f>
        <v>0</v>
      </c>
      <c r="O282" s="141">
        <f>Calculations!O43*(1+$D$249)</f>
        <v>0</v>
      </c>
      <c r="P282" s="141">
        <f>Calculations!P43*(1+$D$249)</f>
        <v>0</v>
      </c>
      <c r="Q282" s="141">
        <f>Calculations!Q43*(1+$D$249)</f>
        <v>0</v>
      </c>
      <c r="R282" s="141">
        <f>Calculations!R43*(1+$D$249)</f>
        <v>0</v>
      </c>
      <c r="S282" s="141">
        <f>Calculations!S43*(1+$D$249)</f>
        <v>0</v>
      </c>
      <c r="T282" s="141">
        <f>Calculations!T43*(1+$D$249)</f>
        <v>0</v>
      </c>
      <c r="U282" s="141">
        <f>Calculations!U43*(1+$D$249)</f>
        <v>0</v>
      </c>
      <c r="V282" s="141">
        <f>Calculations!V43*(1+$D$249)</f>
        <v>0</v>
      </c>
      <c r="W282" s="141">
        <f>Calculations!W43*(1+$D$249)</f>
        <v>0</v>
      </c>
      <c r="X282" s="141">
        <f>Calculations!X43*(1+$D$249)</f>
        <v>0</v>
      </c>
      <c r="Y282" s="141">
        <f>Calculations!Y43*(1+$D$249)</f>
        <v>0</v>
      </c>
      <c r="Z282" s="287"/>
    </row>
    <row r="283" spans="1:26" ht="13.5" thickBot="1" x14ac:dyDescent="0.25">
      <c r="B283" s="107"/>
      <c r="C283" s="136" t="str">
        <f>'User Input'!D62</f>
        <v>Call centre response</v>
      </c>
      <c r="D283" s="67">
        <f t="shared" si="51"/>
        <v>0</v>
      </c>
      <c r="E283" s="259">
        <v>0</v>
      </c>
      <c r="F283" s="259">
        <v>0</v>
      </c>
      <c r="G283" s="141">
        <f>Calculations!G44*(1+$D$246)</f>
        <v>0</v>
      </c>
      <c r="H283" s="141">
        <f>Calculations!H44*(1+$D$246)</f>
        <v>0</v>
      </c>
      <c r="I283" s="141">
        <f>Calculations!I44*(1+$D$246)</f>
        <v>0</v>
      </c>
      <c r="J283" s="141">
        <f>Calculations!J44*(1+$D$246)</f>
        <v>0</v>
      </c>
      <c r="K283" s="141">
        <f>Calculations!K44*(1+$D$246)</f>
        <v>0</v>
      </c>
      <c r="L283" s="141">
        <f>Calculations!L44*(1+$D$246)</f>
        <v>0</v>
      </c>
      <c r="M283" s="141">
        <f>Calculations!M44*(1+$D$246)</f>
        <v>0</v>
      </c>
      <c r="N283" s="141">
        <f>Calculations!N44*(1+$D$246)</f>
        <v>0</v>
      </c>
      <c r="O283" s="141">
        <f>Calculations!O44*(1+$D$246)</f>
        <v>0</v>
      </c>
      <c r="P283" s="141">
        <f>Calculations!P44*(1+$D$246)</f>
        <v>0</v>
      </c>
      <c r="Q283" s="141">
        <f>Calculations!Q44*(1+$D$246)</f>
        <v>0</v>
      </c>
      <c r="R283" s="141">
        <f>Calculations!R44*(1+$D$246)</f>
        <v>0</v>
      </c>
      <c r="S283" s="141">
        <f>Calculations!S44*(1+$D$246)</f>
        <v>0</v>
      </c>
      <c r="T283" s="141">
        <f>Calculations!T44*(1+$D$246)</f>
        <v>0</v>
      </c>
      <c r="U283" s="141">
        <f>Calculations!U44*(1+$D$246)</f>
        <v>0</v>
      </c>
      <c r="V283" s="141">
        <f>Calculations!V44*(1+$D$246)</f>
        <v>0</v>
      </c>
      <c r="W283" s="141">
        <f>Calculations!W44*(1+$D$246)</f>
        <v>0</v>
      </c>
      <c r="X283" s="141">
        <f>Calculations!X44*(1+$D$246)</f>
        <v>0</v>
      </c>
      <c r="Y283" s="141">
        <f>Calculations!Y44*(1+$D$246)</f>
        <v>0</v>
      </c>
      <c r="Z283" s="287"/>
    </row>
    <row r="284" spans="1:26" ht="13.5" thickBot="1" x14ac:dyDescent="0.25">
      <c r="A284" s="143"/>
      <c r="B284" s="144"/>
      <c r="C284" s="137" t="str">
        <f>'User Input'!D64</f>
        <v>Network Outage Costs</v>
      </c>
      <c r="D284" s="67">
        <f t="shared" si="51"/>
        <v>0</v>
      </c>
      <c r="E284" s="141">
        <f>Calculations!E45*(1+$D$246)</f>
        <v>0</v>
      </c>
      <c r="F284" s="141">
        <f>Calculations!F45*(1+$D$246)</f>
        <v>0</v>
      </c>
      <c r="G284" s="141">
        <f>Calculations!G45*(1+$D$246)</f>
        <v>0</v>
      </c>
      <c r="H284" s="141">
        <f>Calculations!H45*(1+$D$246)</f>
        <v>0</v>
      </c>
      <c r="I284" s="141">
        <f>Calculations!I45*(1+$D$246)</f>
        <v>0</v>
      </c>
      <c r="J284" s="141">
        <f>Calculations!J45*(1+$D$246)</f>
        <v>0</v>
      </c>
      <c r="K284" s="141">
        <f>Calculations!K45*(1+$D$246)</f>
        <v>0</v>
      </c>
      <c r="L284" s="141">
        <f>Calculations!L45*(1+$D$246)</f>
        <v>0</v>
      </c>
      <c r="M284" s="141">
        <f>Calculations!M45*(1+$D$246)</f>
        <v>0</v>
      </c>
      <c r="N284" s="141">
        <f>Calculations!N45*(1+$D$246)</f>
        <v>0</v>
      </c>
      <c r="O284" s="141">
        <f>Calculations!O45*(1+$D$246)</f>
        <v>0</v>
      </c>
      <c r="P284" s="141">
        <f>Calculations!P45*(1+$D$246)</f>
        <v>0</v>
      </c>
      <c r="Q284" s="141">
        <f>Calculations!Q45*(1+$D$246)</f>
        <v>0</v>
      </c>
      <c r="R284" s="141">
        <f>Calculations!R45*(1+$D$246)</f>
        <v>0</v>
      </c>
      <c r="S284" s="141">
        <f>Calculations!S45*(1+$D$246)</f>
        <v>0</v>
      </c>
      <c r="T284" s="141">
        <f>Calculations!T45*(1+$D$246)</f>
        <v>0</v>
      </c>
      <c r="U284" s="141">
        <f>Calculations!U45*(1+$D$246)</f>
        <v>0</v>
      </c>
      <c r="V284" s="141">
        <f>Calculations!V45*(1+$D$246)</f>
        <v>0</v>
      </c>
      <c r="W284" s="141">
        <f>Calculations!W45*(1+$D$246)</f>
        <v>0</v>
      </c>
      <c r="X284" s="141">
        <f>Calculations!X45*(1+$D$246)</f>
        <v>0</v>
      </c>
      <c r="Y284" s="141">
        <f>Calculations!Y45*(1+$D$246)</f>
        <v>0</v>
      </c>
      <c r="Z284" s="287"/>
    </row>
    <row r="285" spans="1:26" ht="13.5" thickBot="1" x14ac:dyDescent="0.25">
      <c r="A285" s="143"/>
      <c r="B285" s="144"/>
      <c r="C285" s="137" t="str">
        <f>'User Input'!D68</f>
        <v>Loss of F Factor Benefit</v>
      </c>
      <c r="D285" s="67">
        <f t="shared" si="51"/>
        <v>0</v>
      </c>
      <c r="E285" s="141">
        <f>Calculations!E46*(1+$D$246)</f>
        <v>0</v>
      </c>
      <c r="F285" s="141">
        <f>Calculations!F46*(1+$D$246)</f>
        <v>0</v>
      </c>
      <c r="G285" s="141">
        <f>Calculations!G46*(1+$D$246)</f>
        <v>0</v>
      </c>
      <c r="H285" s="141">
        <f>Calculations!H46*(1+$D$246)</f>
        <v>0</v>
      </c>
      <c r="I285" s="141">
        <f>Calculations!I46*(1+$D$246)</f>
        <v>0</v>
      </c>
      <c r="J285" s="141">
        <f>Calculations!J46*(1+$D$246)</f>
        <v>0</v>
      </c>
      <c r="K285" s="141">
        <f>Calculations!K46*(1+$D$246)</f>
        <v>0</v>
      </c>
      <c r="L285" s="141">
        <f>Calculations!L46*(1+$D$246)</f>
        <v>0</v>
      </c>
      <c r="M285" s="141">
        <f>Calculations!M46*(1+$D$246)</f>
        <v>0</v>
      </c>
      <c r="N285" s="141">
        <f>Calculations!N46*(1+$D$246)</f>
        <v>0</v>
      </c>
      <c r="O285" s="141">
        <f>Calculations!O46*(1+$D$246)</f>
        <v>0</v>
      </c>
      <c r="P285" s="141">
        <f>Calculations!P46*(1+$D$246)</f>
        <v>0</v>
      </c>
      <c r="Q285" s="141">
        <f>Calculations!Q46*(1+$D$246)</f>
        <v>0</v>
      </c>
      <c r="R285" s="141">
        <f>Calculations!R46*(1+$D$246)</f>
        <v>0</v>
      </c>
      <c r="S285" s="141">
        <f>Calculations!S46*(1+$D$246)</f>
        <v>0</v>
      </c>
      <c r="T285" s="141">
        <f>Calculations!T46*(1+$D$246)</f>
        <v>0</v>
      </c>
      <c r="U285" s="141">
        <f>Calculations!U46*(1+$D$246)</f>
        <v>0</v>
      </c>
      <c r="V285" s="141">
        <f>Calculations!V46*(1+$D$246)</f>
        <v>0</v>
      </c>
      <c r="W285" s="141">
        <f>Calculations!W46*(1+$D$246)</f>
        <v>0</v>
      </c>
      <c r="X285" s="141">
        <f>Calculations!X46*(1+$D$246)</f>
        <v>0</v>
      </c>
      <c r="Y285" s="141">
        <f>Calculations!Y46*(1+$D$246)</f>
        <v>0</v>
      </c>
      <c r="Z285" s="287"/>
    </row>
    <row r="286" spans="1:26" ht="13.5" thickBot="1" x14ac:dyDescent="0.25">
      <c r="B286" s="107"/>
      <c r="C286" s="137" t="str">
        <f>'User Input'!D71</f>
        <v>Cost 1</v>
      </c>
      <c r="D286" s="67">
        <f t="shared" si="51"/>
        <v>0</v>
      </c>
      <c r="E286" s="141">
        <f>Calculations!E47*(1+$D$246)</f>
        <v>0</v>
      </c>
      <c r="F286" s="141">
        <f>Calculations!F47*(1+$D$246)</f>
        <v>0</v>
      </c>
      <c r="G286" s="141">
        <f>Calculations!G47*(1+$D$246)</f>
        <v>0</v>
      </c>
      <c r="H286" s="141">
        <f>Calculations!H47*(1+$D$246)</f>
        <v>0</v>
      </c>
      <c r="I286" s="141">
        <f>Calculations!I47*(1+$D$246)</f>
        <v>0</v>
      </c>
      <c r="J286" s="141">
        <f>Calculations!J47*(1+$D$246)</f>
        <v>0</v>
      </c>
      <c r="K286" s="141">
        <f>Calculations!K47*(1+$D$246)</f>
        <v>0</v>
      </c>
      <c r="L286" s="141">
        <f>Calculations!L47*(1+$D$246)</f>
        <v>0</v>
      </c>
      <c r="M286" s="141">
        <f>Calculations!M47*(1+$D$246)</f>
        <v>0</v>
      </c>
      <c r="N286" s="141">
        <f>Calculations!N47*(1+$D$246)</f>
        <v>0</v>
      </c>
      <c r="O286" s="141">
        <f>Calculations!O47*(1+$D$246)</f>
        <v>0</v>
      </c>
      <c r="P286" s="141">
        <f>Calculations!P47*(1+$D$246)</f>
        <v>0</v>
      </c>
      <c r="Q286" s="141">
        <f>Calculations!Q47*(1+$D$246)</f>
        <v>0</v>
      </c>
      <c r="R286" s="141">
        <f>Calculations!R47*(1+$D$246)</f>
        <v>0</v>
      </c>
      <c r="S286" s="141">
        <f>Calculations!S47*(1+$D$246)</f>
        <v>0</v>
      </c>
      <c r="T286" s="141">
        <f>Calculations!T47*(1+$D$246)</f>
        <v>0</v>
      </c>
      <c r="U286" s="141">
        <f>Calculations!U47*(1+$D$246)</f>
        <v>0</v>
      </c>
      <c r="V286" s="141">
        <f>Calculations!V47*(1+$D$246)</f>
        <v>0</v>
      </c>
      <c r="W286" s="141">
        <f>Calculations!W47*(1+$D$246)</f>
        <v>0</v>
      </c>
      <c r="X286" s="141">
        <f>Calculations!X47*(1+$D$246)</f>
        <v>0</v>
      </c>
      <c r="Y286" s="141">
        <f>Calculations!Y47*(1+$D$246)</f>
        <v>0</v>
      </c>
      <c r="Z286" s="287"/>
    </row>
    <row r="287" spans="1:26" ht="13.5" thickBot="1" x14ac:dyDescent="0.25">
      <c r="B287" s="107"/>
      <c r="C287" s="137" t="str">
        <f>'User Input'!D72</f>
        <v>Cost 2</v>
      </c>
      <c r="D287" s="67">
        <f t="shared" si="51"/>
        <v>0</v>
      </c>
      <c r="E287" s="141">
        <f>Calculations!E48*(1+$D$246)</f>
        <v>0</v>
      </c>
      <c r="F287" s="141">
        <f>Calculations!F48*(1+$D$246)</f>
        <v>0</v>
      </c>
      <c r="G287" s="141">
        <f>Calculations!G48*(1+$D$246)</f>
        <v>0</v>
      </c>
      <c r="H287" s="141">
        <f>Calculations!H48*(1+$D$246)</f>
        <v>0</v>
      </c>
      <c r="I287" s="141">
        <f>Calculations!I48*(1+$D$246)</f>
        <v>0</v>
      </c>
      <c r="J287" s="141">
        <f>Calculations!J48*(1+$D$246)</f>
        <v>0</v>
      </c>
      <c r="K287" s="141">
        <f>Calculations!K48*(1+$D$246)</f>
        <v>0</v>
      </c>
      <c r="L287" s="141">
        <f>Calculations!L48*(1+$D$246)</f>
        <v>0</v>
      </c>
      <c r="M287" s="141">
        <f>Calculations!M48*(1+$D$246)</f>
        <v>0</v>
      </c>
      <c r="N287" s="141">
        <f>Calculations!N48*(1+$D$246)</f>
        <v>0</v>
      </c>
      <c r="O287" s="141">
        <f>Calculations!O48*(1+$D$246)</f>
        <v>0</v>
      </c>
      <c r="P287" s="141">
        <f>Calculations!P48*(1+$D$246)</f>
        <v>0</v>
      </c>
      <c r="Q287" s="141">
        <f>Calculations!Q48*(1+$D$246)</f>
        <v>0</v>
      </c>
      <c r="R287" s="141">
        <f>Calculations!R48*(1+$D$246)</f>
        <v>0</v>
      </c>
      <c r="S287" s="141">
        <f>Calculations!S48*(1+$D$246)</f>
        <v>0</v>
      </c>
      <c r="T287" s="141">
        <f>Calculations!T48*(1+$D$246)</f>
        <v>0</v>
      </c>
      <c r="U287" s="141">
        <f>Calculations!U48*(1+$D$246)</f>
        <v>0</v>
      </c>
      <c r="V287" s="141">
        <f>Calculations!V48*(1+$D$246)</f>
        <v>0</v>
      </c>
      <c r="W287" s="141">
        <f>Calculations!W48*(1+$D$246)</f>
        <v>0</v>
      </c>
      <c r="X287" s="141">
        <f>Calculations!X48*(1+$D$246)</f>
        <v>0</v>
      </c>
      <c r="Y287" s="141">
        <f>Calculations!Y48*(1+$D$246)</f>
        <v>0</v>
      </c>
      <c r="Z287" s="287"/>
    </row>
    <row r="288" spans="1:26" ht="13.5" thickBot="1" x14ac:dyDescent="0.25">
      <c r="B288" s="107"/>
      <c r="C288" s="137" t="str">
        <f>'User Input'!D73</f>
        <v>Cost 3</v>
      </c>
      <c r="D288" s="67">
        <f t="shared" si="51"/>
        <v>0</v>
      </c>
      <c r="E288" s="141">
        <f>Calculations!E49*(1+$D$246)</f>
        <v>0</v>
      </c>
      <c r="F288" s="141">
        <f>Calculations!F49*(1+$D$246)</f>
        <v>0</v>
      </c>
      <c r="G288" s="141">
        <f>Calculations!G49*(1+$D$246)</f>
        <v>0</v>
      </c>
      <c r="H288" s="141">
        <f>Calculations!H49*(1+$D$246)</f>
        <v>0</v>
      </c>
      <c r="I288" s="141">
        <f>Calculations!I49*(1+$D$246)</f>
        <v>0</v>
      </c>
      <c r="J288" s="141">
        <f>Calculations!J49*(1+$D$246)</f>
        <v>0</v>
      </c>
      <c r="K288" s="141">
        <f>Calculations!K49*(1+$D$246)</f>
        <v>0</v>
      </c>
      <c r="L288" s="141">
        <f>Calculations!L49*(1+$D$246)</f>
        <v>0</v>
      </c>
      <c r="M288" s="141">
        <f>Calculations!M49*(1+$D$246)</f>
        <v>0</v>
      </c>
      <c r="N288" s="141">
        <f>Calculations!N49*(1+$D$246)</f>
        <v>0</v>
      </c>
      <c r="O288" s="141">
        <f>Calculations!O49*(1+$D$246)</f>
        <v>0</v>
      </c>
      <c r="P288" s="141">
        <f>Calculations!P49*(1+$D$246)</f>
        <v>0</v>
      </c>
      <c r="Q288" s="141">
        <f>Calculations!Q49*(1+$D$246)</f>
        <v>0</v>
      </c>
      <c r="R288" s="141">
        <f>Calculations!R49*(1+$D$246)</f>
        <v>0</v>
      </c>
      <c r="S288" s="141">
        <f>Calculations!S49*(1+$D$246)</f>
        <v>0</v>
      </c>
      <c r="T288" s="141">
        <f>Calculations!T49*(1+$D$246)</f>
        <v>0</v>
      </c>
      <c r="U288" s="141">
        <f>Calculations!U49*(1+$D$246)</f>
        <v>0</v>
      </c>
      <c r="V288" s="141">
        <f>Calculations!V49*(1+$D$246)</f>
        <v>0</v>
      </c>
      <c r="W288" s="141">
        <f>Calculations!W49*(1+$D$246)</f>
        <v>0</v>
      </c>
      <c r="X288" s="141">
        <f>Calculations!X49*(1+$D$246)</f>
        <v>0</v>
      </c>
      <c r="Y288" s="141">
        <f>Calculations!Y49*(1+$D$246)</f>
        <v>0</v>
      </c>
      <c r="Z288" s="287"/>
    </row>
    <row r="289" spans="2:26" ht="13.5" thickBot="1" x14ac:dyDescent="0.25">
      <c r="B289" s="107"/>
      <c r="C289" s="137" t="str">
        <f>'User Input'!D74</f>
        <v>Cost 4</v>
      </c>
      <c r="D289" s="67">
        <f t="shared" si="51"/>
        <v>0</v>
      </c>
      <c r="E289" s="141">
        <f>Calculations!E50*(1+$D$246)</f>
        <v>0</v>
      </c>
      <c r="F289" s="141">
        <f>Calculations!F50*(1+$D$246)</f>
        <v>0</v>
      </c>
      <c r="G289" s="141">
        <f>Calculations!G50*(1+$D$246)</f>
        <v>0</v>
      </c>
      <c r="H289" s="141">
        <f>Calculations!H50*(1+$D$246)</f>
        <v>0</v>
      </c>
      <c r="I289" s="141">
        <f>Calculations!I50*(1+$D$246)</f>
        <v>0</v>
      </c>
      <c r="J289" s="141">
        <f>Calculations!J50*(1+$D$246)</f>
        <v>0</v>
      </c>
      <c r="K289" s="141">
        <f>Calculations!K50*(1+$D$246)</f>
        <v>0</v>
      </c>
      <c r="L289" s="141">
        <f>Calculations!L50*(1+$D$246)</f>
        <v>0</v>
      </c>
      <c r="M289" s="141">
        <f>Calculations!M50*(1+$D$246)</f>
        <v>0</v>
      </c>
      <c r="N289" s="141">
        <f>Calculations!N50*(1+$D$246)</f>
        <v>0</v>
      </c>
      <c r="O289" s="141">
        <f>Calculations!O50*(1+$D$246)</f>
        <v>0</v>
      </c>
      <c r="P289" s="141">
        <f>Calculations!P50*(1+$D$246)</f>
        <v>0</v>
      </c>
      <c r="Q289" s="141">
        <f>Calculations!Q50*(1+$D$246)</f>
        <v>0</v>
      </c>
      <c r="R289" s="141">
        <f>Calculations!R50*(1+$D$246)</f>
        <v>0</v>
      </c>
      <c r="S289" s="141">
        <f>Calculations!S50*(1+$D$246)</f>
        <v>0</v>
      </c>
      <c r="T289" s="141">
        <f>Calculations!T50*(1+$D$246)</f>
        <v>0</v>
      </c>
      <c r="U289" s="141">
        <f>Calculations!U50*(1+$D$246)</f>
        <v>0</v>
      </c>
      <c r="V289" s="141">
        <f>Calculations!V50*(1+$D$246)</f>
        <v>0</v>
      </c>
      <c r="W289" s="141">
        <f>Calculations!W50*(1+$D$246)</f>
        <v>0</v>
      </c>
      <c r="X289" s="141">
        <f>Calculations!X50*(1+$D$246)</f>
        <v>0</v>
      </c>
      <c r="Y289" s="141">
        <f>Calculations!Y50*(1+$D$246)</f>
        <v>0</v>
      </c>
      <c r="Z289" s="287"/>
    </row>
    <row r="290" spans="2:26" ht="13.5" thickBot="1" x14ac:dyDescent="0.25">
      <c r="B290" s="107"/>
      <c r="C290" s="137" t="str">
        <f>'User Input'!D75</f>
        <v>Cost 5</v>
      </c>
      <c r="D290" s="67">
        <f t="shared" si="51"/>
        <v>0</v>
      </c>
      <c r="E290" s="141">
        <f>Calculations!E51*(1+$D$246)</f>
        <v>0</v>
      </c>
      <c r="F290" s="141">
        <f>Calculations!F51*(1+$D$246)</f>
        <v>0</v>
      </c>
      <c r="G290" s="141">
        <f>Calculations!G51*(1+$D$246)</f>
        <v>0</v>
      </c>
      <c r="H290" s="141">
        <f>Calculations!H51*(1+$D$246)</f>
        <v>0</v>
      </c>
      <c r="I290" s="141">
        <f>Calculations!I51*(1+$D$246)</f>
        <v>0</v>
      </c>
      <c r="J290" s="141">
        <f>Calculations!J51*(1+$D$246)</f>
        <v>0</v>
      </c>
      <c r="K290" s="141">
        <f>Calculations!K51*(1+$D$246)</f>
        <v>0</v>
      </c>
      <c r="L290" s="141">
        <f>Calculations!L51*(1+$D$246)</f>
        <v>0</v>
      </c>
      <c r="M290" s="141">
        <f>Calculations!M51*(1+$D$246)</f>
        <v>0</v>
      </c>
      <c r="N290" s="141">
        <f>Calculations!N51*(1+$D$246)</f>
        <v>0</v>
      </c>
      <c r="O290" s="141">
        <f>Calculations!O51*(1+$D$246)</f>
        <v>0</v>
      </c>
      <c r="P290" s="141">
        <f>Calculations!P51*(1+$D$246)</f>
        <v>0</v>
      </c>
      <c r="Q290" s="141">
        <f>Calculations!Q51*(1+$D$246)</f>
        <v>0</v>
      </c>
      <c r="R290" s="141">
        <f>Calculations!R51*(1+$D$246)</f>
        <v>0</v>
      </c>
      <c r="S290" s="141">
        <f>Calculations!S51*(1+$D$246)</f>
        <v>0</v>
      </c>
      <c r="T290" s="141">
        <f>Calculations!T51*(1+$D$246)</f>
        <v>0</v>
      </c>
      <c r="U290" s="141">
        <f>Calculations!U51*(1+$D$246)</f>
        <v>0</v>
      </c>
      <c r="V290" s="141">
        <f>Calculations!V51*(1+$D$246)</f>
        <v>0</v>
      </c>
      <c r="W290" s="141">
        <f>Calculations!W51*(1+$D$246)</f>
        <v>0</v>
      </c>
      <c r="X290" s="141">
        <f>Calculations!X51*(1+$D$246)</f>
        <v>0</v>
      </c>
      <c r="Y290" s="141">
        <f>Calculations!Y51*(1+$D$246)</f>
        <v>0</v>
      </c>
      <c r="Z290" s="287"/>
    </row>
    <row r="291" spans="2:26" ht="13.5" thickBot="1" x14ac:dyDescent="0.25">
      <c r="B291" s="107"/>
      <c r="C291" s="137" t="str">
        <f>'User Input'!D76</f>
        <v>Risk 1</v>
      </c>
      <c r="D291" s="67">
        <f>SUM(E291:Y291)</f>
        <v>0</v>
      </c>
      <c r="E291" s="141">
        <f>Calculations!E52*(1+$D$246)</f>
        <v>0</v>
      </c>
      <c r="F291" s="141">
        <f>Calculations!F52*(1+$D$246)</f>
        <v>0</v>
      </c>
      <c r="G291" s="141">
        <f>Calculations!G52*(1+$D$246)</f>
        <v>0</v>
      </c>
      <c r="H291" s="141">
        <f>Calculations!H52*(1+$D$246)</f>
        <v>0</v>
      </c>
      <c r="I291" s="141">
        <f>Calculations!I52*(1+$D$246)</f>
        <v>0</v>
      </c>
      <c r="J291" s="141">
        <f>Calculations!J52*(1+$D$246)</f>
        <v>0</v>
      </c>
      <c r="K291" s="141">
        <f>Calculations!K52*(1+$D$246)</f>
        <v>0</v>
      </c>
      <c r="L291" s="141">
        <f>Calculations!L52*(1+$D$246)</f>
        <v>0</v>
      </c>
      <c r="M291" s="141">
        <f>Calculations!M52*(1+$D$246)</f>
        <v>0</v>
      </c>
      <c r="N291" s="141">
        <f>Calculations!N52*(1+$D$246)</f>
        <v>0</v>
      </c>
      <c r="O291" s="141">
        <f>Calculations!O52*(1+$D$246)</f>
        <v>0</v>
      </c>
      <c r="P291" s="141">
        <f>Calculations!P52*(1+$D$246)</f>
        <v>0</v>
      </c>
      <c r="Q291" s="141">
        <f>Calculations!Q52*(1+$D$246)</f>
        <v>0</v>
      </c>
      <c r="R291" s="141">
        <f>Calculations!R52*(1+$D$246)</f>
        <v>0</v>
      </c>
      <c r="S291" s="141">
        <f>Calculations!S52*(1+$D$246)</f>
        <v>0</v>
      </c>
      <c r="T291" s="141">
        <f>Calculations!T52*(1+$D$246)</f>
        <v>0</v>
      </c>
      <c r="U291" s="141">
        <f>Calculations!U52*(1+$D$246)</f>
        <v>0</v>
      </c>
      <c r="V291" s="141">
        <f>Calculations!V52*(1+$D$246)</f>
        <v>0</v>
      </c>
      <c r="W291" s="141">
        <f>Calculations!W52*(1+$D$246)</f>
        <v>0</v>
      </c>
      <c r="X291" s="141">
        <f>Calculations!X52*(1+$D$246)</f>
        <v>0</v>
      </c>
      <c r="Y291" s="141">
        <f>Calculations!Y52*(1+$D$246)</f>
        <v>0</v>
      </c>
      <c r="Z291" s="287"/>
    </row>
    <row r="292" spans="2:26" ht="13.5" thickBot="1" x14ac:dyDescent="0.25">
      <c r="B292" s="107"/>
      <c r="C292" s="137" t="str">
        <f>'User Input'!D77</f>
        <v>Risk 2</v>
      </c>
      <c r="D292" s="67">
        <f>SUM(E292:Y292)</f>
        <v>0</v>
      </c>
      <c r="E292" s="141">
        <f>Calculations!E53*(1+$D$246)</f>
        <v>0</v>
      </c>
      <c r="F292" s="141">
        <f>Calculations!F53*(1+$D$246)</f>
        <v>0</v>
      </c>
      <c r="G292" s="141">
        <f>Calculations!G53*(1+$D$246)</f>
        <v>0</v>
      </c>
      <c r="H292" s="141">
        <f>Calculations!H53*(1+$D$246)</f>
        <v>0</v>
      </c>
      <c r="I292" s="141">
        <f>Calculations!I53*(1+$D$246)</f>
        <v>0</v>
      </c>
      <c r="J292" s="141">
        <f>Calculations!J53*(1+$D$246)</f>
        <v>0</v>
      </c>
      <c r="K292" s="141">
        <f>Calculations!K53*(1+$D$246)</f>
        <v>0</v>
      </c>
      <c r="L292" s="141">
        <f>Calculations!L53*(1+$D$246)</f>
        <v>0</v>
      </c>
      <c r="M292" s="141">
        <f>Calculations!M53*(1+$D$246)</f>
        <v>0</v>
      </c>
      <c r="N292" s="141">
        <f>Calculations!N53*(1+$D$246)</f>
        <v>0</v>
      </c>
      <c r="O292" s="141">
        <f>Calculations!O53*(1+$D$246)</f>
        <v>0</v>
      </c>
      <c r="P292" s="141">
        <f>Calculations!P53*(1+$D$246)</f>
        <v>0</v>
      </c>
      <c r="Q292" s="141">
        <f>Calculations!Q53*(1+$D$246)</f>
        <v>0</v>
      </c>
      <c r="R292" s="141">
        <f>Calculations!R53*(1+$D$246)</f>
        <v>0</v>
      </c>
      <c r="S292" s="141">
        <f>Calculations!S53*(1+$D$246)</f>
        <v>0</v>
      </c>
      <c r="T292" s="141">
        <f>Calculations!T53*(1+$D$246)</f>
        <v>0</v>
      </c>
      <c r="U292" s="141">
        <f>Calculations!U53*(1+$D$246)</f>
        <v>0</v>
      </c>
      <c r="V292" s="141">
        <f>Calculations!V53*(1+$D$246)</f>
        <v>0</v>
      </c>
      <c r="W292" s="141">
        <f>Calculations!W53*(1+$D$246)</f>
        <v>0</v>
      </c>
      <c r="X292" s="141">
        <f>Calculations!X53*(1+$D$246)</f>
        <v>0</v>
      </c>
      <c r="Y292" s="141">
        <f>Calculations!Y53*(1+$D$246)</f>
        <v>0</v>
      </c>
      <c r="Z292" s="287"/>
    </row>
    <row r="293" spans="2:26" ht="13.5" thickBot="1" x14ac:dyDescent="0.25">
      <c r="B293" s="107"/>
      <c r="C293" s="137" t="str">
        <f>'User Input'!D78</f>
        <v>Risk 3</v>
      </c>
      <c r="D293" s="67">
        <f>SUM(E293:Y293)</f>
        <v>0</v>
      </c>
      <c r="E293" s="141">
        <f>Calculations!E54*(1+$D$246)</f>
        <v>0</v>
      </c>
      <c r="F293" s="141">
        <f>Calculations!F54*(1+$D$246)</f>
        <v>0</v>
      </c>
      <c r="G293" s="141">
        <f>Calculations!G54*(1+$D$246)</f>
        <v>0</v>
      </c>
      <c r="H293" s="141">
        <f>Calculations!H54*(1+$D$246)</f>
        <v>0</v>
      </c>
      <c r="I293" s="141">
        <f>Calculations!I54*(1+$D$246)</f>
        <v>0</v>
      </c>
      <c r="J293" s="141">
        <f>Calculations!J54*(1+$D$246)</f>
        <v>0</v>
      </c>
      <c r="K293" s="141">
        <f>Calculations!K54*(1+$D$246)</f>
        <v>0</v>
      </c>
      <c r="L293" s="141">
        <f>Calculations!L54*(1+$D$246)</f>
        <v>0</v>
      </c>
      <c r="M293" s="141">
        <f>Calculations!M54*(1+$D$246)</f>
        <v>0</v>
      </c>
      <c r="N293" s="141">
        <f>Calculations!N54*(1+$D$246)</f>
        <v>0</v>
      </c>
      <c r="O293" s="141">
        <f>Calculations!O54*(1+$D$246)</f>
        <v>0</v>
      </c>
      <c r="P293" s="141">
        <f>Calculations!P54*(1+$D$246)</f>
        <v>0</v>
      </c>
      <c r="Q293" s="141">
        <f>Calculations!Q54*(1+$D$246)</f>
        <v>0</v>
      </c>
      <c r="R293" s="141">
        <f>Calculations!R54*(1+$D$246)</f>
        <v>0</v>
      </c>
      <c r="S293" s="141">
        <f>Calculations!S54*(1+$D$246)</f>
        <v>0</v>
      </c>
      <c r="T293" s="141">
        <f>Calculations!T54*(1+$D$246)</f>
        <v>0</v>
      </c>
      <c r="U293" s="141">
        <f>Calculations!U54*(1+$D$246)</f>
        <v>0</v>
      </c>
      <c r="V293" s="141">
        <f>Calculations!V54*(1+$D$246)</f>
        <v>0</v>
      </c>
      <c r="W293" s="141">
        <f>Calculations!W54*(1+$D$246)</f>
        <v>0</v>
      </c>
      <c r="X293" s="141">
        <f>Calculations!X54*(1+$D$246)</f>
        <v>0</v>
      </c>
      <c r="Y293" s="141">
        <f>Calculations!Y54*(1+$D$246)</f>
        <v>0</v>
      </c>
      <c r="Z293" s="287"/>
    </row>
    <row r="294" spans="2:26" ht="13.5" thickBot="1" x14ac:dyDescent="0.25">
      <c r="B294" s="107"/>
      <c r="C294" s="137" t="str">
        <f>'User Input'!D79</f>
        <v>Risk 4</v>
      </c>
      <c r="D294" s="67">
        <f>SUM(E294:Y294)</f>
        <v>0</v>
      </c>
      <c r="E294" s="141">
        <f>Calculations!E55*(1+$D$246)</f>
        <v>0</v>
      </c>
      <c r="F294" s="141">
        <f>Calculations!F55*(1+$D$246)</f>
        <v>0</v>
      </c>
      <c r="G294" s="141">
        <f>Calculations!G55*(1+$D$246)</f>
        <v>0</v>
      </c>
      <c r="H294" s="141">
        <f>Calculations!H55*(1+$D$246)</f>
        <v>0</v>
      </c>
      <c r="I294" s="141">
        <f>Calculations!I55*(1+$D$246)</f>
        <v>0</v>
      </c>
      <c r="J294" s="141">
        <f>Calculations!J55*(1+$D$246)</f>
        <v>0</v>
      </c>
      <c r="K294" s="141">
        <f>Calculations!K55*(1+$D$246)</f>
        <v>0</v>
      </c>
      <c r="L294" s="141">
        <f>Calculations!L55*(1+$D$246)</f>
        <v>0</v>
      </c>
      <c r="M294" s="141">
        <f>Calculations!M55*(1+$D$246)</f>
        <v>0</v>
      </c>
      <c r="N294" s="141">
        <f>Calculations!N55*(1+$D$246)</f>
        <v>0</v>
      </c>
      <c r="O294" s="141">
        <f>Calculations!O55*(1+$D$246)</f>
        <v>0</v>
      </c>
      <c r="P294" s="141">
        <f>Calculations!P55*(1+$D$246)</f>
        <v>0</v>
      </c>
      <c r="Q294" s="141">
        <f>Calculations!Q55*(1+$D$246)</f>
        <v>0</v>
      </c>
      <c r="R294" s="141">
        <f>Calculations!R55*(1+$D$246)</f>
        <v>0</v>
      </c>
      <c r="S294" s="141">
        <f>Calculations!S55*(1+$D$246)</f>
        <v>0</v>
      </c>
      <c r="T294" s="141">
        <f>Calculations!T55*(1+$D$246)</f>
        <v>0</v>
      </c>
      <c r="U294" s="141">
        <f>Calculations!U55*(1+$D$246)</f>
        <v>0</v>
      </c>
      <c r="V294" s="141">
        <f>Calculations!V55*(1+$D$246)</f>
        <v>0</v>
      </c>
      <c r="W294" s="141">
        <f>Calculations!W55*(1+$D$246)</f>
        <v>0</v>
      </c>
      <c r="X294" s="141">
        <f>Calculations!X55*(1+$D$246)</f>
        <v>0</v>
      </c>
      <c r="Y294" s="141">
        <f>Calculations!Y55*(1+$D$246)</f>
        <v>0</v>
      </c>
      <c r="Z294" s="287"/>
    </row>
    <row r="295" spans="2:26" ht="13.5" thickBot="1" x14ac:dyDescent="0.25">
      <c r="B295" s="107"/>
      <c r="C295" s="137" t="str">
        <f>'User Input'!D80</f>
        <v>Risk 5</v>
      </c>
      <c r="D295" s="67">
        <f>SUM(E295:Y295)</f>
        <v>0</v>
      </c>
      <c r="E295" s="141">
        <f>Calculations!E56*(1+$D$246)</f>
        <v>0</v>
      </c>
      <c r="F295" s="141">
        <f>Calculations!F56*(1+$D$246)</f>
        <v>0</v>
      </c>
      <c r="G295" s="141">
        <f>Calculations!G56*(1+$D$246)</f>
        <v>0</v>
      </c>
      <c r="H295" s="141">
        <f>Calculations!H56*(1+$D$246)</f>
        <v>0</v>
      </c>
      <c r="I295" s="141">
        <f>Calculations!I56*(1+$D$246)</f>
        <v>0</v>
      </c>
      <c r="J295" s="141">
        <f>Calculations!J56*(1+$D$246)</f>
        <v>0</v>
      </c>
      <c r="K295" s="141">
        <f>Calculations!K56*(1+$D$246)</f>
        <v>0</v>
      </c>
      <c r="L295" s="141">
        <f>Calculations!L56*(1+$D$246)</f>
        <v>0</v>
      </c>
      <c r="M295" s="141">
        <f>Calculations!M56*(1+$D$246)</f>
        <v>0</v>
      </c>
      <c r="N295" s="141">
        <f>Calculations!N56*(1+$D$246)</f>
        <v>0</v>
      </c>
      <c r="O295" s="141">
        <f>Calculations!O56*(1+$D$246)</f>
        <v>0</v>
      </c>
      <c r="P295" s="141">
        <f>Calculations!P56*(1+$D$246)</f>
        <v>0</v>
      </c>
      <c r="Q295" s="141">
        <f>Calculations!Q56*(1+$D$246)</f>
        <v>0</v>
      </c>
      <c r="R295" s="141">
        <f>Calculations!R56*(1+$D$246)</f>
        <v>0</v>
      </c>
      <c r="S295" s="141">
        <f>Calculations!S56*(1+$D$246)</f>
        <v>0</v>
      </c>
      <c r="T295" s="141">
        <f>Calculations!T56*(1+$D$246)</f>
        <v>0</v>
      </c>
      <c r="U295" s="141">
        <f>Calculations!U56*(1+$D$246)</f>
        <v>0</v>
      </c>
      <c r="V295" s="141">
        <f>Calculations!V56*(1+$D$246)</f>
        <v>0</v>
      </c>
      <c r="W295" s="141">
        <f>Calculations!W56*(1+$D$246)</f>
        <v>0</v>
      </c>
      <c r="X295" s="141">
        <f>Calculations!X56*(1+$D$246)</f>
        <v>0</v>
      </c>
      <c r="Y295" s="141">
        <f>Calculations!Y56*(1+$D$246)</f>
        <v>0</v>
      </c>
      <c r="Z295" s="287"/>
    </row>
    <row r="296" spans="2:26" ht="13.5" thickBot="1" x14ac:dyDescent="0.25">
      <c r="B296" s="107"/>
      <c r="C296" s="53" t="s">
        <v>2</v>
      </c>
      <c r="D296" s="67">
        <f t="shared" si="51"/>
        <v>2864.8837739569649</v>
      </c>
      <c r="E296" s="68">
        <f>SUM(E277:E295)</f>
        <v>1592.5653862840418</v>
      </c>
      <c r="F296" s="69">
        <f t="shared" ref="F296:Y296" si="52">SUM(F277:F295)</f>
        <v>1272.3183876729231</v>
      </c>
      <c r="G296" s="69">
        <f t="shared" si="52"/>
        <v>0</v>
      </c>
      <c r="H296" s="69">
        <f t="shared" si="52"/>
        <v>0</v>
      </c>
      <c r="I296" s="69">
        <f t="shared" si="52"/>
        <v>0</v>
      </c>
      <c r="J296" s="69">
        <f t="shared" si="52"/>
        <v>0</v>
      </c>
      <c r="K296" s="69">
        <f t="shared" si="52"/>
        <v>0</v>
      </c>
      <c r="L296" s="69">
        <f t="shared" si="52"/>
        <v>0</v>
      </c>
      <c r="M296" s="69">
        <f t="shared" si="52"/>
        <v>0</v>
      </c>
      <c r="N296" s="69">
        <f t="shared" si="52"/>
        <v>0</v>
      </c>
      <c r="O296" s="69">
        <f t="shared" si="52"/>
        <v>0</v>
      </c>
      <c r="P296" s="69">
        <f t="shared" si="52"/>
        <v>0</v>
      </c>
      <c r="Q296" s="69">
        <f t="shared" si="52"/>
        <v>0</v>
      </c>
      <c r="R296" s="69">
        <f t="shared" si="52"/>
        <v>0</v>
      </c>
      <c r="S296" s="69">
        <f t="shared" si="52"/>
        <v>0</v>
      </c>
      <c r="T296" s="69">
        <f t="shared" si="52"/>
        <v>0</v>
      </c>
      <c r="U296" s="69">
        <f t="shared" si="52"/>
        <v>0</v>
      </c>
      <c r="V296" s="69">
        <f t="shared" si="52"/>
        <v>0</v>
      </c>
      <c r="W296" s="69">
        <f t="shared" si="52"/>
        <v>0</v>
      </c>
      <c r="X296" s="69">
        <f t="shared" si="52"/>
        <v>0</v>
      </c>
      <c r="Y296" s="150">
        <f t="shared" si="52"/>
        <v>0</v>
      </c>
      <c r="Z296" s="287"/>
    </row>
    <row r="297" spans="2:26" ht="13.5" thickBot="1" x14ac:dyDescent="0.25">
      <c r="B297" s="107"/>
      <c r="C297" s="54" t="s">
        <v>50</v>
      </c>
      <c r="D297" s="67">
        <f t="shared" si="51"/>
        <v>2752.6988664271285</v>
      </c>
      <c r="E297" s="77">
        <f t="shared" ref="E297:Y297" si="53">E296/(1+$D$244)^E$238</f>
        <v>1592.5653862840418</v>
      </c>
      <c r="F297" s="77">
        <f t="shared" si="53"/>
        <v>1160.1334801430867</v>
      </c>
      <c r="G297" s="77">
        <f t="shared" si="53"/>
        <v>0</v>
      </c>
      <c r="H297" s="77">
        <f t="shared" si="53"/>
        <v>0</v>
      </c>
      <c r="I297" s="77">
        <f t="shared" si="53"/>
        <v>0</v>
      </c>
      <c r="J297" s="77">
        <f t="shared" si="53"/>
        <v>0</v>
      </c>
      <c r="K297" s="77">
        <f t="shared" si="53"/>
        <v>0</v>
      </c>
      <c r="L297" s="77">
        <f t="shared" si="53"/>
        <v>0</v>
      </c>
      <c r="M297" s="77">
        <f t="shared" si="53"/>
        <v>0</v>
      </c>
      <c r="N297" s="77">
        <f t="shared" si="53"/>
        <v>0</v>
      </c>
      <c r="O297" s="77">
        <f t="shared" si="53"/>
        <v>0</v>
      </c>
      <c r="P297" s="77">
        <f t="shared" si="53"/>
        <v>0</v>
      </c>
      <c r="Q297" s="77">
        <f t="shared" si="53"/>
        <v>0</v>
      </c>
      <c r="R297" s="77">
        <f t="shared" si="53"/>
        <v>0</v>
      </c>
      <c r="S297" s="77">
        <f t="shared" si="53"/>
        <v>0</v>
      </c>
      <c r="T297" s="77">
        <f t="shared" si="53"/>
        <v>0</v>
      </c>
      <c r="U297" s="77">
        <f t="shared" si="53"/>
        <v>0</v>
      </c>
      <c r="V297" s="77">
        <f t="shared" si="53"/>
        <v>0</v>
      </c>
      <c r="W297" s="77">
        <f t="shared" si="53"/>
        <v>0</v>
      </c>
      <c r="X297" s="77">
        <f t="shared" si="53"/>
        <v>0</v>
      </c>
      <c r="Y297" s="149">
        <f t="shared" si="53"/>
        <v>0</v>
      </c>
      <c r="Z297" s="287"/>
    </row>
    <row r="298" spans="2:26" x14ac:dyDescent="0.2">
      <c r="B298" s="227"/>
      <c r="C298" s="294"/>
      <c r="D298" s="294"/>
      <c r="E298" s="295"/>
      <c r="F298" s="295"/>
      <c r="G298" s="295"/>
      <c r="H298" s="295"/>
      <c r="I298" s="295"/>
      <c r="J298" s="295"/>
      <c r="K298" s="295"/>
      <c r="L298" s="295"/>
      <c r="M298" s="295"/>
      <c r="N298" s="295"/>
      <c r="O298" s="295"/>
      <c r="P298" s="295"/>
      <c r="Q298" s="295"/>
      <c r="R298" s="295"/>
      <c r="S298" s="295"/>
      <c r="T298" s="295"/>
      <c r="U298" s="295"/>
      <c r="V298" s="295"/>
      <c r="W298" s="295"/>
      <c r="X298" s="295"/>
      <c r="Y298" s="293"/>
      <c r="Z298" s="290"/>
    </row>
    <row r="299" spans="2:26" x14ac:dyDescent="0.2">
      <c r="B299" s="371" t="str">
        <f>'User Input'!D82</f>
        <v>Option 2: Provide In Meter Capabilities with Near Real-time Centralised Analytics</v>
      </c>
      <c r="C299" s="367"/>
      <c r="D299" s="372"/>
      <c r="E299" s="369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0"/>
    </row>
    <row r="300" spans="2:26" ht="13.5" thickBot="1" x14ac:dyDescent="0.25">
      <c r="B300" s="20"/>
      <c r="C300" s="5"/>
      <c r="D300" s="5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185"/>
      <c r="Z300" s="287"/>
    </row>
    <row r="301" spans="2:26" ht="13.5" thickBot="1" x14ac:dyDescent="0.25">
      <c r="B301" s="52"/>
      <c r="C301" s="29" t="s">
        <v>76</v>
      </c>
      <c r="D301" s="67">
        <f>SUM(E301:Y301)</f>
        <v>12819.797437794874</v>
      </c>
      <c r="E301" s="141">
        <f>Calculations!E62*(1+$D$245)</f>
        <v>7127.2575474068108</v>
      </c>
      <c r="F301" s="141">
        <f>Calculations!F62*(1+$D$245)</f>
        <v>5692.5398903880641</v>
      </c>
      <c r="G301" s="141">
        <f>Calculations!G62*(1+$D$245)</f>
        <v>0</v>
      </c>
      <c r="H301" s="141">
        <f>Calculations!H62*(1+$D$245)</f>
        <v>0</v>
      </c>
      <c r="I301" s="141">
        <f>Calculations!I62*(1+$D$245)</f>
        <v>0</v>
      </c>
      <c r="J301" s="141">
        <f>Calculations!J62*(1+$D$245)</f>
        <v>0</v>
      </c>
      <c r="K301" s="141">
        <f>Calculations!K62*(1+$D$245)</f>
        <v>0</v>
      </c>
      <c r="L301" s="141">
        <f>Calculations!L62*(1+$D$245)</f>
        <v>0</v>
      </c>
      <c r="M301" s="141">
        <f>Calculations!M62*(1+$D$245)</f>
        <v>0</v>
      </c>
      <c r="N301" s="141">
        <f>Calculations!N62*(1+$D$245)</f>
        <v>0</v>
      </c>
      <c r="O301" s="141">
        <f>Calculations!O62*(1+$D$245)</f>
        <v>0</v>
      </c>
      <c r="P301" s="141">
        <f>Calculations!P62*(1+$D$245)</f>
        <v>0</v>
      </c>
      <c r="Q301" s="141">
        <f>Calculations!Q62*(1+$D$245)</f>
        <v>0</v>
      </c>
      <c r="R301" s="141">
        <f>Calculations!R62*(1+$D$245)</f>
        <v>0</v>
      </c>
      <c r="S301" s="141">
        <f>Calculations!S62*(1+$D$245)</f>
        <v>0</v>
      </c>
      <c r="T301" s="141">
        <f>Calculations!T62*(1+$D$245)</f>
        <v>0</v>
      </c>
      <c r="U301" s="141">
        <f>Calculations!U62*(1+$D$245)</f>
        <v>0</v>
      </c>
      <c r="V301" s="141">
        <f>Calculations!V62*(1+$D$245)</f>
        <v>0</v>
      </c>
      <c r="W301" s="141">
        <f>Calculations!W62*(1+$D$245)</f>
        <v>0</v>
      </c>
      <c r="X301" s="141">
        <f>Calculations!X62*(1+$D$245)</f>
        <v>0</v>
      </c>
      <c r="Y301" s="141">
        <f>Calculations!Y62*(1+$D$245)</f>
        <v>0</v>
      </c>
      <c r="Z301" s="287"/>
    </row>
    <row r="302" spans="2:26" ht="13.5" thickBot="1" x14ac:dyDescent="0.25">
      <c r="B302" s="107"/>
      <c r="C302" s="137" t="str">
        <f>'User Input'!D85</f>
        <v>Maintenance Costs</v>
      </c>
      <c r="D302" s="67">
        <f>SUM(E302:Y302)</f>
        <v>0</v>
      </c>
      <c r="E302" s="141">
        <f>Calculations!E63*(1+$D$246)</f>
        <v>0</v>
      </c>
      <c r="F302" s="141">
        <f>Calculations!F63*(1+$D$246)</f>
        <v>0</v>
      </c>
      <c r="G302" s="141">
        <f>Calculations!G63*(1+$D$246)</f>
        <v>0</v>
      </c>
      <c r="H302" s="141">
        <f>Calculations!H63*(1+$D$246)</f>
        <v>0</v>
      </c>
      <c r="I302" s="141">
        <f>Calculations!I63*(1+$D$246)</f>
        <v>0</v>
      </c>
      <c r="J302" s="141">
        <f>Calculations!J63*(1+$D$246)</f>
        <v>0</v>
      </c>
      <c r="K302" s="141">
        <f>Calculations!K63*(1+$D$246)</f>
        <v>0</v>
      </c>
      <c r="L302" s="141">
        <f>Calculations!L63*(1+$D$246)</f>
        <v>0</v>
      </c>
      <c r="M302" s="141">
        <f>Calculations!M63*(1+$D$246)</f>
        <v>0</v>
      </c>
      <c r="N302" s="141">
        <f>Calculations!N63*(1+$D$246)</f>
        <v>0</v>
      </c>
      <c r="O302" s="141">
        <f>Calculations!O63*(1+$D$246)</f>
        <v>0</v>
      </c>
      <c r="P302" s="141">
        <f>Calculations!P63*(1+$D$246)</f>
        <v>0</v>
      </c>
      <c r="Q302" s="141">
        <f>Calculations!Q63*(1+$D$246)</f>
        <v>0</v>
      </c>
      <c r="R302" s="141">
        <f>Calculations!R63*(1+$D$246)</f>
        <v>0</v>
      </c>
      <c r="S302" s="141">
        <f>Calculations!S63*(1+$D$246)</f>
        <v>0</v>
      </c>
      <c r="T302" s="141">
        <f>Calculations!T63*(1+$D$246)</f>
        <v>0</v>
      </c>
      <c r="U302" s="141">
        <f>Calculations!U63*(1+$D$246)</f>
        <v>0</v>
      </c>
      <c r="V302" s="141">
        <f>Calculations!V63*(1+$D$246)</f>
        <v>0</v>
      </c>
      <c r="W302" s="141">
        <f>Calculations!W63*(1+$D$246)</f>
        <v>0</v>
      </c>
      <c r="X302" s="141">
        <f>Calculations!X63*(1+$D$246)</f>
        <v>0</v>
      </c>
      <c r="Y302" s="141">
        <f>Calculations!Y63*(1+$D$246)</f>
        <v>0</v>
      </c>
      <c r="Z302" s="287"/>
    </row>
    <row r="303" spans="2:26" ht="13.5" thickBot="1" x14ac:dyDescent="0.25">
      <c r="B303" s="107"/>
      <c r="C303" s="137" t="str">
        <f>'User Input'!D87</f>
        <v>Negative Impact on Revenue (STPIS)</v>
      </c>
      <c r="D303" s="195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46"/>
      <c r="Z303" s="287"/>
    </row>
    <row r="304" spans="2:26" ht="13.5" thickBot="1" x14ac:dyDescent="0.25">
      <c r="B304" s="107"/>
      <c r="C304" s="136" t="str">
        <f>'User Input'!D88</f>
        <v>SAIFI sustained</v>
      </c>
      <c r="D304" s="67">
        <f t="shared" ref="D304:D321" si="54">SUM(E304:Y304)</f>
        <v>0</v>
      </c>
      <c r="E304" s="259">
        <v>0</v>
      </c>
      <c r="F304" s="259">
        <v>0</v>
      </c>
      <c r="G304" s="141">
        <f>Calculations!G65*(1+$D$248)</f>
        <v>0</v>
      </c>
      <c r="H304" s="141">
        <f>Calculations!H65*(1+$D$248)</f>
        <v>0</v>
      </c>
      <c r="I304" s="141">
        <f>Calculations!I65*(1+$D$248)</f>
        <v>0</v>
      </c>
      <c r="J304" s="141">
        <f>Calculations!J65*(1+$D$248)</f>
        <v>0</v>
      </c>
      <c r="K304" s="141">
        <f>Calculations!K65*(1+$D$248)</f>
        <v>0</v>
      </c>
      <c r="L304" s="141">
        <f>Calculations!L65*(1+$D$248)</f>
        <v>0</v>
      </c>
      <c r="M304" s="141">
        <f>Calculations!M65*(1+$D$248)</f>
        <v>0</v>
      </c>
      <c r="N304" s="141">
        <f>Calculations!N65*(1+$D$248)</f>
        <v>0</v>
      </c>
      <c r="O304" s="141">
        <f>Calculations!O65*(1+$D$248)</f>
        <v>0</v>
      </c>
      <c r="P304" s="141">
        <f>Calculations!P65*(1+$D$248)</f>
        <v>0</v>
      </c>
      <c r="Q304" s="141">
        <f>Calculations!Q65*(1+$D$248)</f>
        <v>0</v>
      </c>
      <c r="R304" s="141">
        <f>Calculations!R65*(1+$D$248)</f>
        <v>0</v>
      </c>
      <c r="S304" s="141">
        <f>Calculations!S65*(1+$D$248)</f>
        <v>0</v>
      </c>
      <c r="T304" s="141">
        <f>Calculations!T65*(1+$D$248)</f>
        <v>0</v>
      </c>
      <c r="U304" s="141">
        <f>Calculations!U65*(1+$D$248)</f>
        <v>0</v>
      </c>
      <c r="V304" s="141">
        <f>Calculations!V65*(1+$D$248)</f>
        <v>0</v>
      </c>
      <c r="W304" s="141">
        <f>Calculations!W65*(1+$D$248)</f>
        <v>0</v>
      </c>
      <c r="X304" s="141">
        <f>Calculations!X65*(1+$D$248)</f>
        <v>0</v>
      </c>
      <c r="Y304" s="141">
        <f>Calculations!Y65*(1+$D$248)</f>
        <v>0</v>
      </c>
      <c r="Z304" s="287"/>
    </row>
    <row r="305" spans="1:26" ht="13.5" thickBot="1" x14ac:dyDescent="0.25">
      <c r="B305" s="107"/>
      <c r="C305" s="136" t="str">
        <f>'User Input'!D89</f>
        <v>SAIDI accidental</v>
      </c>
      <c r="D305" s="67">
        <f t="shared" si="54"/>
        <v>0</v>
      </c>
      <c r="E305" s="259">
        <v>0</v>
      </c>
      <c r="F305" s="259">
        <v>0</v>
      </c>
      <c r="G305" s="141">
        <f>Calculations!G66*(1+$D$247)</f>
        <v>0</v>
      </c>
      <c r="H305" s="141">
        <f>Calculations!H66*(1+$D$247)</f>
        <v>0</v>
      </c>
      <c r="I305" s="141">
        <f>Calculations!I66*(1+$D$247)</f>
        <v>0</v>
      </c>
      <c r="J305" s="141">
        <f>Calculations!J66*(1+$D$247)</f>
        <v>0</v>
      </c>
      <c r="K305" s="141">
        <f>Calculations!K66*(1+$D$247)</f>
        <v>0</v>
      </c>
      <c r="L305" s="141">
        <f>Calculations!L66*(1+$D$247)</f>
        <v>0</v>
      </c>
      <c r="M305" s="141">
        <f>Calculations!M66*(1+$D$247)</f>
        <v>0</v>
      </c>
      <c r="N305" s="141">
        <f>Calculations!N66*(1+$D$247)</f>
        <v>0</v>
      </c>
      <c r="O305" s="141">
        <f>Calculations!O66*(1+$D$247)</f>
        <v>0</v>
      </c>
      <c r="P305" s="141">
        <f>Calculations!P66*(1+$D$247)</f>
        <v>0</v>
      </c>
      <c r="Q305" s="141">
        <f>Calculations!Q66*(1+$D$247)</f>
        <v>0</v>
      </c>
      <c r="R305" s="141">
        <f>Calculations!R66*(1+$D$247)</f>
        <v>0</v>
      </c>
      <c r="S305" s="141">
        <f>Calculations!S66*(1+$D$247)</f>
        <v>0</v>
      </c>
      <c r="T305" s="141">
        <f>Calculations!T66*(1+$D$247)</f>
        <v>0</v>
      </c>
      <c r="U305" s="141">
        <f>Calculations!U66*(1+$D$247)</f>
        <v>0</v>
      </c>
      <c r="V305" s="141">
        <f>Calculations!V66*(1+$D$247)</f>
        <v>0</v>
      </c>
      <c r="W305" s="141">
        <f>Calculations!W66*(1+$D$247)</f>
        <v>0</v>
      </c>
      <c r="X305" s="141">
        <f>Calculations!X66*(1+$D$247)</f>
        <v>0</v>
      </c>
      <c r="Y305" s="141">
        <f>Calculations!Y66*(1+$D$247)</f>
        <v>0</v>
      </c>
      <c r="Z305" s="287"/>
    </row>
    <row r="306" spans="1:26" ht="13.5" thickBot="1" x14ac:dyDescent="0.25">
      <c r="B306" s="107"/>
      <c r="C306" s="136" t="str">
        <f>'User Input'!D90</f>
        <v>MAIFI momentary</v>
      </c>
      <c r="D306" s="67">
        <f t="shared" si="54"/>
        <v>0</v>
      </c>
      <c r="E306" s="259">
        <v>0</v>
      </c>
      <c r="F306" s="259">
        <v>0</v>
      </c>
      <c r="G306" s="141">
        <f>Calculations!G67*(1+$D$249)</f>
        <v>0</v>
      </c>
      <c r="H306" s="141">
        <f>Calculations!H67*(1+$D$249)</f>
        <v>0</v>
      </c>
      <c r="I306" s="141">
        <f>Calculations!I67*(1+$D$249)</f>
        <v>0</v>
      </c>
      <c r="J306" s="141">
        <f>Calculations!J67*(1+$D$249)</f>
        <v>0</v>
      </c>
      <c r="K306" s="141">
        <f>Calculations!K67*(1+$D$249)</f>
        <v>0</v>
      </c>
      <c r="L306" s="141">
        <f>Calculations!L67*(1+$D$249)</f>
        <v>0</v>
      </c>
      <c r="M306" s="141">
        <f>Calculations!M67*(1+$D$249)</f>
        <v>0</v>
      </c>
      <c r="N306" s="141">
        <f>Calculations!N67*(1+$D$249)</f>
        <v>0</v>
      </c>
      <c r="O306" s="141">
        <f>Calculations!O67*(1+$D$249)</f>
        <v>0</v>
      </c>
      <c r="P306" s="141">
        <f>Calculations!P67*(1+$D$249)</f>
        <v>0</v>
      </c>
      <c r="Q306" s="141">
        <f>Calculations!Q67*(1+$D$249)</f>
        <v>0</v>
      </c>
      <c r="R306" s="141">
        <f>Calculations!R67*(1+$D$249)</f>
        <v>0</v>
      </c>
      <c r="S306" s="141">
        <f>Calculations!S67*(1+$D$249)</f>
        <v>0</v>
      </c>
      <c r="T306" s="141">
        <f>Calculations!T67*(1+$D$249)</f>
        <v>0</v>
      </c>
      <c r="U306" s="141">
        <f>Calculations!U67*(1+$D$249)</f>
        <v>0</v>
      </c>
      <c r="V306" s="141">
        <f>Calculations!V67*(1+$D$249)</f>
        <v>0</v>
      </c>
      <c r="W306" s="141">
        <f>Calculations!W67*(1+$D$249)</f>
        <v>0</v>
      </c>
      <c r="X306" s="141">
        <f>Calculations!X67*(1+$D$249)</f>
        <v>0</v>
      </c>
      <c r="Y306" s="141">
        <f>Calculations!Y67*(1+$D$249)</f>
        <v>0</v>
      </c>
      <c r="Z306" s="287"/>
    </row>
    <row r="307" spans="1:26" ht="13.5" thickBot="1" x14ac:dyDescent="0.25">
      <c r="B307" s="107"/>
      <c r="C307" s="136" t="str">
        <f>'User Input'!D91</f>
        <v>Call centre response</v>
      </c>
      <c r="D307" s="67">
        <f t="shared" si="54"/>
        <v>0</v>
      </c>
      <c r="E307" s="259">
        <v>0</v>
      </c>
      <c r="F307" s="259">
        <v>0</v>
      </c>
      <c r="G307" s="141">
        <f>Calculations!G68*(1+$D$246)</f>
        <v>0</v>
      </c>
      <c r="H307" s="141">
        <f>Calculations!H68*(1+$D$246)</f>
        <v>0</v>
      </c>
      <c r="I307" s="141">
        <f>Calculations!I68*(1+$D$246)</f>
        <v>0</v>
      </c>
      <c r="J307" s="141">
        <f>Calculations!J68*(1+$D$246)</f>
        <v>0</v>
      </c>
      <c r="K307" s="141">
        <f>Calculations!K68*(1+$D$246)</f>
        <v>0</v>
      </c>
      <c r="L307" s="141">
        <f>Calculations!L68*(1+$D$246)</f>
        <v>0</v>
      </c>
      <c r="M307" s="141">
        <f>Calculations!M68*(1+$D$246)</f>
        <v>0</v>
      </c>
      <c r="N307" s="141">
        <f>Calculations!N68*(1+$D$246)</f>
        <v>0</v>
      </c>
      <c r="O307" s="141">
        <f>Calculations!O68*(1+$D$246)</f>
        <v>0</v>
      </c>
      <c r="P307" s="141">
        <f>Calculations!P68*(1+$D$246)</f>
        <v>0</v>
      </c>
      <c r="Q307" s="141">
        <f>Calculations!Q68*(1+$D$246)</f>
        <v>0</v>
      </c>
      <c r="R307" s="141">
        <f>Calculations!R68*(1+$D$246)</f>
        <v>0</v>
      </c>
      <c r="S307" s="141">
        <f>Calculations!S68*(1+$D$246)</f>
        <v>0</v>
      </c>
      <c r="T307" s="141">
        <f>Calculations!T68*(1+$D$246)</f>
        <v>0</v>
      </c>
      <c r="U307" s="141">
        <f>Calculations!U68*(1+$D$246)</f>
        <v>0</v>
      </c>
      <c r="V307" s="141">
        <f>Calculations!V68*(1+$D$246)</f>
        <v>0</v>
      </c>
      <c r="W307" s="141">
        <f>Calculations!W68*(1+$D$246)</f>
        <v>0</v>
      </c>
      <c r="X307" s="141">
        <f>Calculations!X68*(1+$D$246)</f>
        <v>0</v>
      </c>
      <c r="Y307" s="141">
        <f>Calculations!Y68*(1+$D$246)</f>
        <v>0</v>
      </c>
      <c r="Z307" s="287"/>
    </row>
    <row r="308" spans="1:26" ht="13.5" thickBot="1" x14ac:dyDescent="0.25">
      <c r="A308" s="143"/>
      <c r="B308" s="144"/>
      <c r="C308" s="137" t="str">
        <f>'User Input'!D93</f>
        <v>Network Outage Costs</v>
      </c>
      <c r="D308" s="67">
        <f t="shared" si="54"/>
        <v>0</v>
      </c>
      <c r="E308" s="141">
        <f>Calculations!E69*(1+$D$246)</f>
        <v>0</v>
      </c>
      <c r="F308" s="141">
        <f>Calculations!F69*(1+$D$246)</f>
        <v>0</v>
      </c>
      <c r="G308" s="141">
        <f>Calculations!G69*(1+$D$246)</f>
        <v>0</v>
      </c>
      <c r="H308" s="141">
        <f>Calculations!H69*(1+$D$246)</f>
        <v>0</v>
      </c>
      <c r="I308" s="141">
        <f>Calculations!I69*(1+$D$246)</f>
        <v>0</v>
      </c>
      <c r="J308" s="141">
        <f>Calculations!J69*(1+$D$246)</f>
        <v>0</v>
      </c>
      <c r="K308" s="141">
        <f>Calculations!K69*(1+$D$246)</f>
        <v>0</v>
      </c>
      <c r="L308" s="141">
        <f>Calculations!L69*(1+$D$246)</f>
        <v>0</v>
      </c>
      <c r="M308" s="141">
        <f>Calculations!M69*(1+$D$246)</f>
        <v>0</v>
      </c>
      <c r="N308" s="141">
        <f>Calculations!N69*(1+$D$246)</f>
        <v>0</v>
      </c>
      <c r="O308" s="141">
        <f>Calculations!O69*(1+$D$246)</f>
        <v>0</v>
      </c>
      <c r="P308" s="141">
        <f>Calculations!P69*(1+$D$246)</f>
        <v>0</v>
      </c>
      <c r="Q308" s="141">
        <f>Calculations!Q69*(1+$D$246)</f>
        <v>0</v>
      </c>
      <c r="R308" s="141">
        <f>Calculations!R69*(1+$D$246)</f>
        <v>0</v>
      </c>
      <c r="S308" s="141">
        <f>Calculations!S69*(1+$D$246)</f>
        <v>0</v>
      </c>
      <c r="T308" s="141">
        <f>Calculations!T69*(1+$D$246)</f>
        <v>0</v>
      </c>
      <c r="U308" s="141">
        <f>Calculations!U69*(1+$D$246)</f>
        <v>0</v>
      </c>
      <c r="V308" s="141">
        <f>Calculations!V69*(1+$D$246)</f>
        <v>0</v>
      </c>
      <c r="W308" s="141">
        <f>Calculations!W69*(1+$D$246)</f>
        <v>0</v>
      </c>
      <c r="X308" s="141">
        <f>Calculations!X69*(1+$D$246)</f>
        <v>0</v>
      </c>
      <c r="Y308" s="141">
        <f>Calculations!Y69*(1+$D$246)</f>
        <v>0</v>
      </c>
      <c r="Z308" s="287"/>
    </row>
    <row r="309" spans="1:26" ht="13.5" thickBot="1" x14ac:dyDescent="0.25">
      <c r="A309" s="143"/>
      <c r="B309" s="144"/>
      <c r="C309" s="137" t="str">
        <f>'User Input'!D97</f>
        <v>Loss of F Factor Benefit</v>
      </c>
      <c r="D309" s="67">
        <f t="shared" si="54"/>
        <v>0</v>
      </c>
      <c r="E309" s="141">
        <f>Calculations!E70*(1+$D$246)</f>
        <v>0</v>
      </c>
      <c r="F309" s="141">
        <f>Calculations!F70*(1+$D$246)</f>
        <v>0</v>
      </c>
      <c r="G309" s="141">
        <f>Calculations!G70*(1+$D$246)</f>
        <v>0</v>
      </c>
      <c r="H309" s="141">
        <f>Calculations!H70*(1+$D$246)</f>
        <v>0</v>
      </c>
      <c r="I309" s="141">
        <f>Calculations!I70*(1+$D$246)</f>
        <v>0</v>
      </c>
      <c r="J309" s="141">
        <f>Calculations!J70*(1+$D$246)</f>
        <v>0</v>
      </c>
      <c r="K309" s="141">
        <f>Calculations!K70*(1+$D$246)</f>
        <v>0</v>
      </c>
      <c r="L309" s="141">
        <f>Calculations!L70*(1+$D$246)</f>
        <v>0</v>
      </c>
      <c r="M309" s="141">
        <f>Calculations!M70*(1+$D$246)</f>
        <v>0</v>
      </c>
      <c r="N309" s="141">
        <f>Calculations!N70*(1+$D$246)</f>
        <v>0</v>
      </c>
      <c r="O309" s="141">
        <f>Calculations!O70*(1+$D$246)</f>
        <v>0</v>
      </c>
      <c r="P309" s="141">
        <f>Calculations!P70*(1+$D$246)</f>
        <v>0</v>
      </c>
      <c r="Q309" s="141">
        <f>Calculations!Q70*(1+$D$246)</f>
        <v>0</v>
      </c>
      <c r="R309" s="141">
        <f>Calculations!R70*(1+$D$246)</f>
        <v>0</v>
      </c>
      <c r="S309" s="141">
        <f>Calculations!S70*(1+$D$246)</f>
        <v>0</v>
      </c>
      <c r="T309" s="141">
        <f>Calculations!T70*(1+$D$246)</f>
        <v>0</v>
      </c>
      <c r="U309" s="141">
        <f>Calculations!U70*(1+$D$246)</f>
        <v>0</v>
      </c>
      <c r="V309" s="141">
        <f>Calculations!V70*(1+$D$246)</f>
        <v>0</v>
      </c>
      <c r="W309" s="141">
        <f>Calculations!W70*(1+$D$246)</f>
        <v>0</v>
      </c>
      <c r="X309" s="141">
        <f>Calculations!X70*(1+$D$246)</f>
        <v>0</v>
      </c>
      <c r="Y309" s="141">
        <f>Calculations!Y70*(1+$D$246)</f>
        <v>0</v>
      </c>
      <c r="Z309" s="287"/>
    </row>
    <row r="310" spans="1:26" ht="13.5" thickBot="1" x14ac:dyDescent="0.25">
      <c r="B310" s="107"/>
      <c r="C310" s="137" t="str">
        <f>'User Input'!D100</f>
        <v>Cost 1</v>
      </c>
      <c r="D310" s="67">
        <f t="shared" si="54"/>
        <v>0</v>
      </c>
      <c r="E310" s="141">
        <f>Calculations!E71*(1+$D$246)</f>
        <v>0</v>
      </c>
      <c r="F310" s="141">
        <f>Calculations!F71*(1+$D$246)</f>
        <v>0</v>
      </c>
      <c r="G310" s="141">
        <f>Calculations!G71*(1+$D$246)</f>
        <v>0</v>
      </c>
      <c r="H310" s="141">
        <f>Calculations!H71*(1+$D$246)</f>
        <v>0</v>
      </c>
      <c r="I310" s="141">
        <f>Calculations!I71*(1+$D$246)</f>
        <v>0</v>
      </c>
      <c r="J310" s="141">
        <f>Calculations!J71*(1+$D$246)</f>
        <v>0</v>
      </c>
      <c r="K310" s="141">
        <f>Calculations!K71*(1+$D$246)</f>
        <v>0</v>
      </c>
      <c r="L310" s="141">
        <f>Calculations!L71*(1+$D$246)</f>
        <v>0</v>
      </c>
      <c r="M310" s="141">
        <f>Calculations!M71*(1+$D$246)</f>
        <v>0</v>
      </c>
      <c r="N310" s="141">
        <f>Calculations!N71*(1+$D$246)</f>
        <v>0</v>
      </c>
      <c r="O310" s="141">
        <f>Calculations!O71*(1+$D$246)</f>
        <v>0</v>
      </c>
      <c r="P310" s="141">
        <f>Calculations!P71*(1+$D$246)</f>
        <v>0</v>
      </c>
      <c r="Q310" s="141">
        <f>Calculations!Q71*(1+$D$246)</f>
        <v>0</v>
      </c>
      <c r="R310" s="141">
        <f>Calculations!R71*(1+$D$246)</f>
        <v>0</v>
      </c>
      <c r="S310" s="141">
        <f>Calculations!S71*(1+$D$246)</f>
        <v>0</v>
      </c>
      <c r="T310" s="141">
        <f>Calculations!T71*(1+$D$246)</f>
        <v>0</v>
      </c>
      <c r="U310" s="141">
        <f>Calculations!U71*(1+$D$246)</f>
        <v>0</v>
      </c>
      <c r="V310" s="141">
        <f>Calculations!V71*(1+$D$246)</f>
        <v>0</v>
      </c>
      <c r="W310" s="141">
        <f>Calculations!W71*(1+$D$246)</f>
        <v>0</v>
      </c>
      <c r="X310" s="141">
        <f>Calculations!X71*(1+$D$246)</f>
        <v>0</v>
      </c>
      <c r="Y310" s="141">
        <f>Calculations!Y71*(1+$D$246)</f>
        <v>0</v>
      </c>
      <c r="Z310" s="287"/>
    </row>
    <row r="311" spans="1:26" ht="13.5" thickBot="1" x14ac:dyDescent="0.25">
      <c r="B311" s="107"/>
      <c r="C311" s="137" t="str">
        <f>'User Input'!D101</f>
        <v>Cost 2</v>
      </c>
      <c r="D311" s="67">
        <f t="shared" si="54"/>
        <v>0</v>
      </c>
      <c r="E311" s="141">
        <f>Calculations!E72*(1+$D$246)</f>
        <v>0</v>
      </c>
      <c r="F311" s="141">
        <f>Calculations!F72*(1+$D$246)</f>
        <v>0</v>
      </c>
      <c r="G311" s="141">
        <f>Calculations!G72*(1+$D$246)</f>
        <v>0</v>
      </c>
      <c r="H311" s="141">
        <f>Calculations!H72*(1+$D$246)</f>
        <v>0</v>
      </c>
      <c r="I311" s="141">
        <f>Calculations!I72*(1+$D$246)</f>
        <v>0</v>
      </c>
      <c r="J311" s="141">
        <f>Calculations!J72*(1+$D$246)</f>
        <v>0</v>
      </c>
      <c r="K311" s="141">
        <f>Calculations!K72*(1+$D$246)</f>
        <v>0</v>
      </c>
      <c r="L311" s="141">
        <f>Calculations!L72*(1+$D$246)</f>
        <v>0</v>
      </c>
      <c r="M311" s="141">
        <f>Calculations!M72*(1+$D$246)</f>
        <v>0</v>
      </c>
      <c r="N311" s="141">
        <f>Calculations!N72*(1+$D$246)</f>
        <v>0</v>
      </c>
      <c r="O311" s="141">
        <f>Calculations!O72*(1+$D$246)</f>
        <v>0</v>
      </c>
      <c r="P311" s="141">
        <f>Calculations!P72*(1+$D$246)</f>
        <v>0</v>
      </c>
      <c r="Q311" s="141">
        <f>Calculations!Q72*(1+$D$246)</f>
        <v>0</v>
      </c>
      <c r="R311" s="141">
        <f>Calculations!R72*(1+$D$246)</f>
        <v>0</v>
      </c>
      <c r="S311" s="141">
        <f>Calculations!S72*(1+$D$246)</f>
        <v>0</v>
      </c>
      <c r="T311" s="141">
        <f>Calculations!T72*(1+$D$246)</f>
        <v>0</v>
      </c>
      <c r="U311" s="141">
        <f>Calculations!U72*(1+$D$246)</f>
        <v>0</v>
      </c>
      <c r="V311" s="141">
        <f>Calculations!V72*(1+$D$246)</f>
        <v>0</v>
      </c>
      <c r="W311" s="141">
        <f>Calculations!W72*(1+$D$246)</f>
        <v>0</v>
      </c>
      <c r="X311" s="141">
        <f>Calculations!X72*(1+$D$246)</f>
        <v>0</v>
      </c>
      <c r="Y311" s="141">
        <f>Calculations!Y72*(1+$D$246)</f>
        <v>0</v>
      </c>
      <c r="Z311" s="287"/>
    </row>
    <row r="312" spans="1:26" ht="13.5" thickBot="1" x14ac:dyDescent="0.25">
      <c r="B312" s="107"/>
      <c r="C312" s="137" t="str">
        <f>'User Input'!D102</f>
        <v>Cost 3</v>
      </c>
      <c r="D312" s="67">
        <f t="shared" si="54"/>
        <v>0</v>
      </c>
      <c r="E312" s="141">
        <f>Calculations!E73*(1+$D$246)</f>
        <v>0</v>
      </c>
      <c r="F312" s="141">
        <f>Calculations!F73*(1+$D$246)</f>
        <v>0</v>
      </c>
      <c r="G312" s="141">
        <f>Calculations!G73*(1+$D$246)</f>
        <v>0</v>
      </c>
      <c r="H312" s="141">
        <f>Calculations!H73*(1+$D$246)</f>
        <v>0</v>
      </c>
      <c r="I312" s="141">
        <f>Calculations!I73*(1+$D$246)</f>
        <v>0</v>
      </c>
      <c r="J312" s="141">
        <f>Calculations!J73*(1+$D$246)</f>
        <v>0</v>
      </c>
      <c r="K312" s="141">
        <f>Calculations!K73*(1+$D$246)</f>
        <v>0</v>
      </c>
      <c r="L312" s="141">
        <f>Calculations!L73*(1+$D$246)</f>
        <v>0</v>
      </c>
      <c r="M312" s="141">
        <f>Calculations!M73*(1+$D$246)</f>
        <v>0</v>
      </c>
      <c r="N312" s="141">
        <f>Calculations!N73*(1+$D$246)</f>
        <v>0</v>
      </c>
      <c r="O312" s="141">
        <f>Calculations!O73*(1+$D$246)</f>
        <v>0</v>
      </c>
      <c r="P312" s="141">
        <f>Calculations!P73*(1+$D$246)</f>
        <v>0</v>
      </c>
      <c r="Q312" s="141">
        <f>Calculations!Q73*(1+$D$246)</f>
        <v>0</v>
      </c>
      <c r="R312" s="141">
        <f>Calculations!R73*(1+$D$246)</f>
        <v>0</v>
      </c>
      <c r="S312" s="141">
        <f>Calculations!S73*(1+$D$246)</f>
        <v>0</v>
      </c>
      <c r="T312" s="141">
        <f>Calculations!T73*(1+$D$246)</f>
        <v>0</v>
      </c>
      <c r="U312" s="141">
        <f>Calculations!U73*(1+$D$246)</f>
        <v>0</v>
      </c>
      <c r="V312" s="141">
        <f>Calculations!V73*(1+$D$246)</f>
        <v>0</v>
      </c>
      <c r="W312" s="141">
        <f>Calculations!W73*(1+$D$246)</f>
        <v>0</v>
      </c>
      <c r="X312" s="141">
        <f>Calculations!X73*(1+$D$246)</f>
        <v>0</v>
      </c>
      <c r="Y312" s="141">
        <f>Calculations!Y73*(1+$D$246)</f>
        <v>0</v>
      </c>
      <c r="Z312" s="287"/>
    </row>
    <row r="313" spans="1:26" ht="13.5" thickBot="1" x14ac:dyDescent="0.25">
      <c r="B313" s="107"/>
      <c r="C313" s="137" t="str">
        <f>'User Input'!D103</f>
        <v>Cost 4</v>
      </c>
      <c r="D313" s="67">
        <f t="shared" si="54"/>
        <v>0</v>
      </c>
      <c r="E313" s="141">
        <f>Calculations!E74*(1+$D$246)</f>
        <v>0</v>
      </c>
      <c r="F313" s="141">
        <f>Calculations!F74*(1+$D$246)</f>
        <v>0</v>
      </c>
      <c r="G313" s="141">
        <f>Calculations!G74*(1+$D$246)</f>
        <v>0</v>
      </c>
      <c r="H313" s="141">
        <f>Calculations!H74*(1+$D$246)</f>
        <v>0</v>
      </c>
      <c r="I313" s="141">
        <f>Calculations!I74*(1+$D$246)</f>
        <v>0</v>
      </c>
      <c r="J313" s="141">
        <f>Calculations!J74*(1+$D$246)</f>
        <v>0</v>
      </c>
      <c r="K313" s="141">
        <f>Calculations!K74*(1+$D$246)</f>
        <v>0</v>
      </c>
      <c r="L313" s="141">
        <f>Calculations!L74*(1+$D$246)</f>
        <v>0</v>
      </c>
      <c r="M313" s="141">
        <f>Calculations!M74*(1+$D$246)</f>
        <v>0</v>
      </c>
      <c r="N313" s="141">
        <f>Calculations!N74*(1+$D$246)</f>
        <v>0</v>
      </c>
      <c r="O313" s="141">
        <f>Calculations!O74*(1+$D$246)</f>
        <v>0</v>
      </c>
      <c r="P313" s="141">
        <f>Calculations!P74*(1+$D$246)</f>
        <v>0</v>
      </c>
      <c r="Q313" s="141">
        <f>Calculations!Q74*(1+$D$246)</f>
        <v>0</v>
      </c>
      <c r="R313" s="141">
        <f>Calculations!R74*(1+$D$246)</f>
        <v>0</v>
      </c>
      <c r="S313" s="141">
        <f>Calculations!S74*(1+$D$246)</f>
        <v>0</v>
      </c>
      <c r="T313" s="141">
        <f>Calculations!T74*(1+$D$246)</f>
        <v>0</v>
      </c>
      <c r="U313" s="141">
        <f>Calculations!U74*(1+$D$246)</f>
        <v>0</v>
      </c>
      <c r="V313" s="141">
        <f>Calculations!V74*(1+$D$246)</f>
        <v>0</v>
      </c>
      <c r="W313" s="141">
        <f>Calculations!W74*(1+$D$246)</f>
        <v>0</v>
      </c>
      <c r="X313" s="141">
        <f>Calculations!X74*(1+$D$246)</f>
        <v>0</v>
      </c>
      <c r="Y313" s="141">
        <f>Calculations!Y74*(1+$D$246)</f>
        <v>0</v>
      </c>
      <c r="Z313" s="287"/>
    </row>
    <row r="314" spans="1:26" ht="13.5" thickBot="1" x14ac:dyDescent="0.25">
      <c r="B314" s="107"/>
      <c r="C314" s="137" t="str">
        <f>'User Input'!D104</f>
        <v>Cost 5</v>
      </c>
      <c r="D314" s="67">
        <f t="shared" si="54"/>
        <v>0</v>
      </c>
      <c r="E314" s="141">
        <f>Calculations!E75*(1+$D$246)</f>
        <v>0</v>
      </c>
      <c r="F314" s="141">
        <f>Calculations!F75*(1+$D$246)</f>
        <v>0</v>
      </c>
      <c r="G314" s="141">
        <f>Calculations!G75*(1+$D$246)</f>
        <v>0</v>
      </c>
      <c r="H314" s="141">
        <f>Calculations!H75*(1+$D$246)</f>
        <v>0</v>
      </c>
      <c r="I314" s="141">
        <f>Calculations!I75*(1+$D$246)</f>
        <v>0</v>
      </c>
      <c r="J314" s="141">
        <f>Calculations!J75*(1+$D$246)</f>
        <v>0</v>
      </c>
      <c r="K314" s="141">
        <f>Calculations!K75*(1+$D$246)</f>
        <v>0</v>
      </c>
      <c r="L314" s="141">
        <f>Calculations!L75*(1+$D$246)</f>
        <v>0</v>
      </c>
      <c r="M314" s="141">
        <f>Calculations!M75*(1+$D$246)</f>
        <v>0</v>
      </c>
      <c r="N314" s="141">
        <f>Calculations!N75*(1+$D$246)</f>
        <v>0</v>
      </c>
      <c r="O314" s="141">
        <f>Calculations!O75*(1+$D$246)</f>
        <v>0</v>
      </c>
      <c r="P314" s="141">
        <f>Calculations!P75*(1+$D$246)</f>
        <v>0</v>
      </c>
      <c r="Q314" s="141">
        <f>Calculations!Q75*(1+$D$246)</f>
        <v>0</v>
      </c>
      <c r="R314" s="141">
        <f>Calculations!R75*(1+$D$246)</f>
        <v>0</v>
      </c>
      <c r="S314" s="141">
        <f>Calculations!S75*(1+$D$246)</f>
        <v>0</v>
      </c>
      <c r="T314" s="141">
        <f>Calculations!T75*(1+$D$246)</f>
        <v>0</v>
      </c>
      <c r="U314" s="141">
        <f>Calculations!U75*(1+$D$246)</f>
        <v>0</v>
      </c>
      <c r="V314" s="141">
        <f>Calculations!V75*(1+$D$246)</f>
        <v>0</v>
      </c>
      <c r="W314" s="141">
        <f>Calculations!W75*(1+$D$246)</f>
        <v>0</v>
      </c>
      <c r="X314" s="141">
        <f>Calculations!X75*(1+$D$246)</f>
        <v>0</v>
      </c>
      <c r="Y314" s="141">
        <f>Calculations!Y75*(1+$D$246)</f>
        <v>0</v>
      </c>
      <c r="Z314" s="287"/>
    </row>
    <row r="315" spans="1:26" ht="13.5" thickBot="1" x14ac:dyDescent="0.25">
      <c r="B315" s="107"/>
      <c r="C315" s="137" t="str">
        <f>'User Input'!D105</f>
        <v>Risk 1</v>
      </c>
      <c r="D315" s="67">
        <f>SUM(E315:Y315)</f>
        <v>0</v>
      </c>
      <c r="E315" s="141">
        <f>Calculations!E76*(1+$D$246)</f>
        <v>0</v>
      </c>
      <c r="F315" s="141">
        <f>Calculations!F76*(1+$D$246)</f>
        <v>0</v>
      </c>
      <c r="G315" s="141">
        <f>Calculations!G76*(1+$D$246)</f>
        <v>0</v>
      </c>
      <c r="H315" s="141">
        <f>Calculations!H76*(1+$D$246)</f>
        <v>0</v>
      </c>
      <c r="I315" s="141">
        <f>Calculations!I76*(1+$D$246)</f>
        <v>0</v>
      </c>
      <c r="J315" s="141">
        <f>Calculations!J76*(1+$D$246)</f>
        <v>0</v>
      </c>
      <c r="K315" s="141">
        <f>Calculations!K76*(1+$D$246)</f>
        <v>0</v>
      </c>
      <c r="L315" s="141">
        <f>Calculations!L76*(1+$D$246)</f>
        <v>0</v>
      </c>
      <c r="M315" s="141">
        <f>Calculations!M76*(1+$D$246)</f>
        <v>0</v>
      </c>
      <c r="N315" s="141">
        <f>Calculations!N76*(1+$D$246)</f>
        <v>0</v>
      </c>
      <c r="O315" s="141">
        <f>Calculations!O76*(1+$D$246)</f>
        <v>0</v>
      </c>
      <c r="P315" s="141">
        <f>Calculations!P76*(1+$D$246)</f>
        <v>0</v>
      </c>
      <c r="Q315" s="141">
        <f>Calculations!Q76*(1+$D$246)</f>
        <v>0</v>
      </c>
      <c r="R315" s="141">
        <f>Calculations!R76*(1+$D$246)</f>
        <v>0</v>
      </c>
      <c r="S315" s="141">
        <f>Calculations!S76*(1+$D$246)</f>
        <v>0</v>
      </c>
      <c r="T315" s="141">
        <f>Calculations!T76*(1+$D$246)</f>
        <v>0</v>
      </c>
      <c r="U315" s="141">
        <f>Calculations!U76*(1+$D$246)</f>
        <v>0</v>
      </c>
      <c r="V315" s="141">
        <f>Calculations!V76*(1+$D$246)</f>
        <v>0</v>
      </c>
      <c r="W315" s="141">
        <f>Calculations!W76*(1+$D$246)</f>
        <v>0</v>
      </c>
      <c r="X315" s="141">
        <f>Calculations!X76*(1+$D$246)</f>
        <v>0</v>
      </c>
      <c r="Y315" s="141">
        <f>Calculations!Y76*(1+$D$246)</f>
        <v>0</v>
      </c>
      <c r="Z315" s="287"/>
    </row>
    <row r="316" spans="1:26" ht="13.5" thickBot="1" x14ac:dyDescent="0.25">
      <c r="B316" s="107"/>
      <c r="C316" s="137" t="str">
        <f>'User Input'!D106</f>
        <v>Risk 2</v>
      </c>
      <c r="D316" s="67">
        <f>SUM(E316:Y316)</f>
        <v>0</v>
      </c>
      <c r="E316" s="141">
        <f>Calculations!E77*(1+$D$246)</f>
        <v>0</v>
      </c>
      <c r="F316" s="141">
        <f>Calculations!F77*(1+$D$246)</f>
        <v>0</v>
      </c>
      <c r="G316" s="141">
        <f>Calculations!G77*(1+$D$246)</f>
        <v>0</v>
      </c>
      <c r="H316" s="141">
        <f>Calculations!H77*(1+$D$246)</f>
        <v>0</v>
      </c>
      <c r="I316" s="141">
        <f>Calculations!I77*(1+$D$246)</f>
        <v>0</v>
      </c>
      <c r="J316" s="141">
        <f>Calculations!J77*(1+$D$246)</f>
        <v>0</v>
      </c>
      <c r="K316" s="141">
        <f>Calculations!K77*(1+$D$246)</f>
        <v>0</v>
      </c>
      <c r="L316" s="141">
        <f>Calculations!L77*(1+$D$246)</f>
        <v>0</v>
      </c>
      <c r="M316" s="141">
        <f>Calculations!M77*(1+$D$246)</f>
        <v>0</v>
      </c>
      <c r="N316" s="141">
        <f>Calculations!N77*(1+$D$246)</f>
        <v>0</v>
      </c>
      <c r="O316" s="141">
        <f>Calculations!O77*(1+$D$246)</f>
        <v>0</v>
      </c>
      <c r="P316" s="141">
        <f>Calculations!P77*(1+$D$246)</f>
        <v>0</v>
      </c>
      <c r="Q316" s="141">
        <f>Calculations!Q77*(1+$D$246)</f>
        <v>0</v>
      </c>
      <c r="R316" s="141">
        <f>Calculations!R77*(1+$D$246)</f>
        <v>0</v>
      </c>
      <c r="S316" s="141">
        <f>Calculations!S77*(1+$D$246)</f>
        <v>0</v>
      </c>
      <c r="T316" s="141">
        <f>Calculations!T77*(1+$D$246)</f>
        <v>0</v>
      </c>
      <c r="U316" s="141">
        <f>Calculations!U77*(1+$D$246)</f>
        <v>0</v>
      </c>
      <c r="V316" s="141">
        <f>Calculations!V77*(1+$D$246)</f>
        <v>0</v>
      </c>
      <c r="W316" s="141">
        <f>Calculations!W77*(1+$D$246)</f>
        <v>0</v>
      </c>
      <c r="X316" s="141">
        <f>Calculations!X77*(1+$D$246)</f>
        <v>0</v>
      </c>
      <c r="Y316" s="141">
        <f>Calculations!Y77*(1+$D$246)</f>
        <v>0</v>
      </c>
      <c r="Z316" s="287"/>
    </row>
    <row r="317" spans="1:26" ht="13.5" thickBot="1" x14ac:dyDescent="0.25">
      <c r="B317" s="107"/>
      <c r="C317" s="137" t="str">
        <f>'User Input'!D107</f>
        <v>Risk 3</v>
      </c>
      <c r="D317" s="67">
        <f>SUM(E317:Y317)</f>
        <v>0</v>
      </c>
      <c r="E317" s="141">
        <f>Calculations!E78*(1+$D$246)</f>
        <v>0</v>
      </c>
      <c r="F317" s="141">
        <f>Calculations!F78*(1+$D$246)</f>
        <v>0</v>
      </c>
      <c r="G317" s="141">
        <f>Calculations!G78*(1+$D$246)</f>
        <v>0</v>
      </c>
      <c r="H317" s="141">
        <f>Calculations!H78*(1+$D$246)</f>
        <v>0</v>
      </c>
      <c r="I317" s="141">
        <f>Calculations!I78*(1+$D$246)</f>
        <v>0</v>
      </c>
      <c r="J317" s="141">
        <f>Calculations!J78*(1+$D$246)</f>
        <v>0</v>
      </c>
      <c r="K317" s="141">
        <f>Calculations!K78*(1+$D$246)</f>
        <v>0</v>
      </c>
      <c r="L317" s="141">
        <f>Calculations!L78*(1+$D$246)</f>
        <v>0</v>
      </c>
      <c r="M317" s="141">
        <f>Calculations!M78*(1+$D$246)</f>
        <v>0</v>
      </c>
      <c r="N317" s="141">
        <f>Calculations!N78*(1+$D$246)</f>
        <v>0</v>
      </c>
      <c r="O317" s="141">
        <f>Calculations!O78*(1+$D$246)</f>
        <v>0</v>
      </c>
      <c r="P317" s="141">
        <f>Calculations!P78*(1+$D$246)</f>
        <v>0</v>
      </c>
      <c r="Q317" s="141">
        <f>Calculations!Q78*(1+$D$246)</f>
        <v>0</v>
      </c>
      <c r="R317" s="141">
        <f>Calculations!R78*(1+$D$246)</f>
        <v>0</v>
      </c>
      <c r="S317" s="141">
        <f>Calculations!S78*(1+$D$246)</f>
        <v>0</v>
      </c>
      <c r="T317" s="141">
        <f>Calculations!T78*(1+$D$246)</f>
        <v>0</v>
      </c>
      <c r="U317" s="141">
        <f>Calculations!U78*(1+$D$246)</f>
        <v>0</v>
      </c>
      <c r="V317" s="141">
        <f>Calculations!V78*(1+$D$246)</f>
        <v>0</v>
      </c>
      <c r="W317" s="141">
        <f>Calculations!W78*(1+$D$246)</f>
        <v>0</v>
      </c>
      <c r="X317" s="141">
        <f>Calculations!X78*(1+$D$246)</f>
        <v>0</v>
      </c>
      <c r="Y317" s="141">
        <f>Calculations!Y78*(1+$D$246)</f>
        <v>0</v>
      </c>
      <c r="Z317" s="287"/>
    </row>
    <row r="318" spans="1:26" ht="13.5" thickBot="1" x14ac:dyDescent="0.25">
      <c r="B318" s="107"/>
      <c r="C318" s="137" t="str">
        <f>'User Input'!D108</f>
        <v>Risk 4</v>
      </c>
      <c r="D318" s="67">
        <f>SUM(E318:Y318)</f>
        <v>0</v>
      </c>
      <c r="E318" s="141">
        <f>Calculations!E79*(1+$D$246)</f>
        <v>0</v>
      </c>
      <c r="F318" s="141">
        <f>Calculations!F79*(1+$D$246)</f>
        <v>0</v>
      </c>
      <c r="G318" s="141">
        <f>Calculations!G79*(1+$D$246)</f>
        <v>0</v>
      </c>
      <c r="H318" s="141">
        <f>Calculations!H79*(1+$D$246)</f>
        <v>0</v>
      </c>
      <c r="I318" s="141">
        <f>Calculations!I79*(1+$D$246)</f>
        <v>0</v>
      </c>
      <c r="J318" s="141">
        <f>Calculations!J79*(1+$D$246)</f>
        <v>0</v>
      </c>
      <c r="K318" s="141">
        <f>Calculations!K79*(1+$D$246)</f>
        <v>0</v>
      </c>
      <c r="L318" s="141">
        <f>Calculations!L79*(1+$D$246)</f>
        <v>0</v>
      </c>
      <c r="M318" s="141">
        <f>Calculations!M79*(1+$D$246)</f>
        <v>0</v>
      </c>
      <c r="N318" s="141">
        <f>Calculations!N79*(1+$D$246)</f>
        <v>0</v>
      </c>
      <c r="O318" s="141">
        <f>Calculations!O79*(1+$D$246)</f>
        <v>0</v>
      </c>
      <c r="P318" s="141">
        <f>Calculations!P79*(1+$D$246)</f>
        <v>0</v>
      </c>
      <c r="Q318" s="141">
        <f>Calculations!Q79*(1+$D$246)</f>
        <v>0</v>
      </c>
      <c r="R318" s="141">
        <f>Calculations!R79*(1+$D$246)</f>
        <v>0</v>
      </c>
      <c r="S318" s="141">
        <f>Calculations!S79*(1+$D$246)</f>
        <v>0</v>
      </c>
      <c r="T318" s="141">
        <f>Calculations!T79*(1+$D$246)</f>
        <v>0</v>
      </c>
      <c r="U318" s="141">
        <f>Calculations!U79*(1+$D$246)</f>
        <v>0</v>
      </c>
      <c r="V318" s="141">
        <f>Calculations!V79*(1+$D$246)</f>
        <v>0</v>
      </c>
      <c r="W318" s="141">
        <f>Calculations!W79*(1+$D$246)</f>
        <v>0</v>
      </c>
      <c r="X318" s="141">
        <f>Calculations!X79*(1+$D$246)</f>
        <v>0</v>
      </c>
      <c r="Y318" s="141">
        <f>Calculations!Y79*(1+$D$246)</f>
        <v>0</v>
      </c>
      <c r="Z318" s="287"/>
    </row>
    <row r="319" spans="1:26" ht="13.5" thickBot="1" x14ac:dyDescent="0.25">
      <c r="B319" s="107"/>
      <c r="C319" s="137" t="str">
        <f>'User Input'!D109</f>
        <v>Risk 5</v>
      </c>
      <c r="D319" s="67">
        <f>SUM(E319:Y319)</f>
        <v>0</v>
      </c>
      <c r="E319" s="141">
        <f>Calculations!E80*(1+$D$246)</f>
        <v>0</v>
      </c>
      <c r="F319" s="141">
        <f>Calculations!F80*(1+$D$246)</f>
        <v>0</v>
      </c>
      <c r="G319" s="141">
        <f>Calculations!G80*(1+$D$246)</f>
        <v>0</v>
      </c>
      <c r="H319" s="141">
        <f>Calculations!H80*(1+$D$246)</f>
        <v>0</v>
      </c>
      <c r="I319" s="141">
        <f>Calculations!I80*(1+$D$246)</f>
        <v>0</v>
      </c>
      <c r="J319" s="141">
        <f>Calculations!J80*(1+$D$246)</f>
        <v>0</v>
      </c>
      <c r="K319" s="141">
        <f>Calculations!K80*(1+$D$246)</f>
        <v>0</v>
      </c>
      <c r="L319" s="141">
        <f>Calculations!L80*(1+$D$246)</f>
        <v>0</v>
      </c>
      <c r="M319" s="141">
        <f>Calculations!M80*(1+$D$246)</f>
        <v>0</v>
      </c>
      <c r="N319" s="141">
        <f>Calculations!N80*(1+$D$246)</f>
        <v>0</v>
      </c>
      <c r="O319" s="141">
        <f>Calculations!O80*(1+$D$246)</f>
        <v>0</v>
      </c>
      <c r="P319" s="141">
        <f>Calculations!P80*(1+$D$246)</f>
        <v>0</v>
      </c>
      <c r="Q319" s="141">
        <f>Calculations!Q80*(1+$D$246)</f>
        <v>0</v>
      </c>
      <c r="R319" s="141">
        <f>Calculations!R80*(1+$D$246)</f>
        <v>0</v>
      </c>
      <c r="S319" s="141">
        <f>Calculations!S80*(1+$D$246)</f>
        <v>0</v>
      </c>
      <c r="T319" s="141">
        <f>Calculations!T80*(1+$D$246)</f>
        <v>0</v>
      </c>
      <c r="U319" s="141">
        <f>Calculations!U80*(1+$D$246)</f>
        <v>0</v>
      </c>
      <c r="V319" s="141">
        <f>Calculations!V80*(1+$D$246)</f>
        <v>0</v>
      </c>
      <c r="W319" s="141">
        <f>Calculations!W80*(1+$D$246)</f>
        <v>0</v>
      </c>
      <c r="X319" s="141">
        <f>Calculations!X80*(1+$D$246)</f>
        <v>0</v>
      </c>
      <c r="Y319" s="141">
        <f>Calculations!Y80*(1+$D$246)</f>
        <v>0</v>
      </c>
      <c r="Z319" s="287"/>
    </row>
    <row r="320" spans="1:26" ht="13.5" thickBot="1" x14ac:dyDescent="0.25">
      <c r="B320" s="107"/>
      <c r="C320" s="53" t="s">
        <v>2</v>
      </c>
      <c r="D320" s="67">
        <f t="shared" si="54"/>
        <v>12819.797437794874</v>
      </c>
      <c r="E320" s="68">
        <f>SUM(E301:E319)</f>
        <v>7127.2575474068108</v>
      </c>
      <c r="F320" s="69">
        <f t="shared" ref="F320:Y320" si="55">SUM(F301:F319)</f>
        <v>5692.5398903880641</v>
      </c>
      <c r="G320" s="69">
        <f t="shared" si="55"/>
        <v>0</v>
      </c>
      <c r="H320" s="69">
        <f t="shared" si="55"/>
        <v>0</v>
      </c>
      <c r="I320" s="69">
        <f t="shared" si="55"/>
        <v>0</v>
      </c>
      <c r="J320" s="69">
        <f t="shared" si="55"/>
        <v>0</v>
      </c>
      <c r="K320" s="69">
        <f t="shared" si="55"/>
        <v>0</v>
      </c>
      <c r="L320" s="69">
        <f t="shared" si="55"/>
        <v>0</v>
      </c>
      <c r="M320" s="69">
        <f t="shared" si="55"/>
        <v>0</v>
      </c>
      <c r="N320" s="69">
        <f t="shared" si="55"/>
        <v>0</v>
      </c>
      <c r="O320" s="69">
        <f t="shared" si="55"/>
        <v>0</v>
      </c>
      <c r="P320" s="69">
        <f t="shared" si="55"/>
        <v>0</v>
      </c>
      <c r="Q320" s="69">
        <f t="shared" si="55"/>
        <v>0</v>
      </c>
      <c r="R320" s="69">
        <f t="shared" si="55"/>
        <v>0</v>
      </c>
      <c r="S320" s="69">
        <f t="shared" si="55"/>
        <v>0</v>
      </c>
      <c r="T320" s="69">
        <f t="shared" si="55"/>
        <v>0</v>
      </c>
      <c r="U320" s="69">
        <f t="shared" si="55"/>
        <v>0</v>
      </c>
      <c r="V320" s="69">
        <f t="shared" si="55"/>
        <v>0</v>
      </c>
      <c r="W320" s="69">
        <f t="shared" si="55"/>
        <v>0</v>
      </c>
      <c r="X320" s="69">
        <f t="shared" si="55"/>
        <v>0</v>
      </c>
      <c r="Y320" s="150">
        <f t="shared" si="55"/>
        <v>0</v>
      </c>
      <c r="Z320" s="287"/>
    </row>
    <row r="321" spans="1:26" ht="13.5" thickBot="1" x14ac:dyDescent="0.25">
      <c r="B321" s="107"/>
      <c r="C321" s="54" t="s">
        <v>50</v>
      </c>
      <c r="D321" s="67">
        <f t="shared" si="54"/>
        <v>12317.865635660721</v>
      </c>
      <c r="E321" s="77">
        <f t="shared" ref="E321:Y321" si="56">E320/(1+$D$244)^E$238</f>
        <v>7127.2575474068108</v>
      </c>
      <c r="F321" s="77">
        <f t="shared" si="56"/>
        <v>5190.6080882539109</v>
      </c>
      <c r="G321" s="77">
        <f t="shared" si="56"/>
        <v>0</v>
      </c>
      <c r="H321" s="77">
        <f t="shared" si="56"/>
        <v>0</v>
      </c>
      <c r="I321" s="77">
        <f t="shared" si="56"/>
        <v>0</v>
      </c>
      <c r="J321" s="77">
        <f t="shared" si="56"/>
        <v>0</v>
      </c>
      <c r="K321" s="77">
        <f t="shared" si="56"/>
        <v>0</v>
      </c>
      <c r="L321" s="77">
        <f t="shared" si="56"/>
        <v>0</v>
      </c>
      <c r="M321" s="77">
        <f t="shared" si="56"/>
        <v>0</v>
      </c>
      <c r="N321" s="77">
        <f t="shared" si="56"/>
        <v>0</v>
      </c>
      <c r="O321" s="77">
        <f t="shared" si="56"/>
        <v>0</v>
      </c>
      <c r="P321" s="77">
        <f t="shared" si="56"/>
        <v>0</v>
      </c>
      <c r="Q321" s="77">
        <f t="shared" si="56"/>
        <v>0</v>
      </c>
      <c r="R321" s="77">
        <f t="shared" si="56"/>
        <v>0</v>
      </c>
      <c r="S321" s="77">
        <f t="shared" si="56"/>
        <v>0</v>
      </c>
      <c r="T321" s="77">
        <f t="shared" si="56"/>
        <v>0</v>
      </c>
      <c r="U321" s="77">
        <f t="shared" si="56"/>
        <v>0</v>
      </c>
      <c r="V321" s="77">
        <f t="shared" si="56"/>
        <v>0</v>
      </c>
      <c r="W321" s="77">
        <f t="shared" si="56"/>
        <v>0</v>
      </c>
      <c r="X321" s="77">
        <f t="shared" si="56"/>
        <v>0</v>
      </c>
      <c r="Y321" s="149">
        <f t="shared" si="56"/>
        <v>0</v>
      </c>
      <c r="Z321" s="287"/>
    </row>
    <row r="322" spans="1:26" x14ac:dyDescent="0.2">
      <c r="B322" s="21"/>
      <c r="C322" s="96"/>
      <c r="D322" s="96"/>
      <c r="E322" s="295"/>
      <c r="F322" s="295"/>
      <c r="G322" s="295"/>
      <c r="H322" s="295"/>
      <c r="I322" s="295"/>
      <c r="J322" s="295"/>
      <c r="K322" s="295"/>
      <c r="L322" s="295"/>
      <c r="M322" s="295"/>
      <c r="N322" s="295"/>
      <c r="O322" s="295"/>
      <c r="P322" s="295"/>
      <c r="Q322" s="295"/>
      <c r="R322" s="295"/>
      <c r="S322" s="295"/>
      <c r="T322" s="295"/>
      <c r="U322" s="295"/>
      <c r="V322" s="295"/>
      <c r="W322" s="295"/>
      <c r="X322" s="295"/>
      <c r="Y322" s="293"/>
      <c r="Z322" s="296"/>
    </row>
    <row r="323" spans="1:26" x14ac:dyDescent="0.2">
      <c r="B323" s="371" t="str">
        <f>'User Input'!D111</f>
        <v xml:space="preserve">Option 3: </v>
      </c>
      <c r="C323" s="367"/>
      <c r="D323" s="372"/>
      <c r="E323" s="369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0"/>
    </row>
    <row r="324" spans="1:26" ht="13.5" thickBot="1" x14ac:dyDescent="0.25">
      <c r="B324" s="20"/>
      <c r="C324" s="5"/>
      <c r="D324" s="5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185"/>
      <c r="Z324" s="287"/>
    </row>
    <row r="325" spans="1:26" ht="13.5" thickBot="1" x14ac:dyDescent="0.25">
      <c r="B325" s="52"/>
      <c r="C325" s="29" t="s">
        <v>76</v>
      </c>
      <c r="D325" s="67">
        <f>SUM(E325:Y325)</f>
        <v>0</v>
      </c>
      <c r="E325" s="141">
        <f>Calculations!E86*(1+$D$245)</f>
        <v>0</v>
      </c>
      <c r="F325" s="141">
        <f>Calculations!F86*(1+$D$245)</f>
        <v>0</v>
      </c>
      <c r="G325" s="141">
        <f>Calculations!G86*(1+$D$245)</f>
        <v>0</v>
      </c>
      <c r="H325" s="141">
        <f>Calculations!H86*(1+$D$245)</f>
        <v>0</v>
      </c>
      <c r="I325" s="141">
        <f>Calculations!I86*(1+$D$245)</f>
        <v>0</v>
      </c>
      <c r="J325" s="141">
        <f>Calculations!J86*(1+$D$245)</f>
        <v>0</v>
      </c>
      <c r="K325" s="141">
        <f>Calculations!K86*(1+$D$245)</f>
        <v>0</v>
      </c>
      <c r="L325" s="141">
        <f>Calculations!L86*(1+$D$245)</f>
        <v>0</v>
      </c>
      <c r="M325" s="141">
        <f>Calculations!M86*(1+$D$245)</f>
        <v>0</v>
      </c>
      <c r="N325" s="141">
        <f>Calculations!N86*(1+$D$245)</f>
        <v>0</v>
      </c>
      <c r="O325" s="141">
        <f>Calculations!O86*(1+$D$245)</f>
        <v>0</v>
      </c>
      <c r="P325" s="141">
        <f>Calculations!P86*(1+$D$245)</f>
        <v>0</v>
      </c>
      <c r="Q325" s="141">
        <f>Calculations!Q86*(1+$D$245)</f>
        <v>0</v>
      </c>
      <c r="R325" s="141">
        <f>Calculations!R86*(1+$D$245)</f>
        <v>0</v>
      </c>
      <c r="S325" s="141">
        <f>Calculations!S86*(1+$D$245)</f>
        <v>0</v>
      </c>
      <c r="T325" s="141">
        <f>Calculations!T86*(1+$D$245)</f>
        <v>0</v>
      </c>
      <c r="U325" s="141">
        <f>Calculations!U86*(1+$D$245)</f>
        <v>0</v>
      </c>
      <c r="V325" s="141">
        <f>Calculations!V86*(1+$D$245)</f>
        <v>0</v>
      </c>
      <c r="W325" s="141">
        <f>Calculations!W86*(1+$D$245)</f>
        <v>0</v>
      </c>
      <c r="X325" s="141">
        <f>Calculations!X86*(1+$D$245)</f>
        <v>0</v>
      </c>
      <c r="Y325" s="141">
        <f>Calculations!Y86*(1+$D$245)</f>
        <v>0</v>
      </c>
      <c r="Z325" s="287"/>
    </row>
    <row r="326" spans="1:26" ht="13.5" thickBot="1" x14ac:dyDescent="0.25">
      <c r="B326" s="107"/>
      <c r="C326" s="137" t="str">
        <f>'User Input'!D114</f>
        <v>Maintenance Costs</v>
      </c>
      <c r="D326" s="67">
        <f>SUM(E326:Y326)</f>
        <v>0</v>
      </c>
      <c r="E326" s="141">
        <f>Calculations!E87*(1+$D$246)</f>
        <v>0</v>
      </c>
      <c r="F326" s="141">
        <f>Calculations!F87*(1+$D$246)</f>
        <v>0</v>
      </c>
      <c r="G326" s="141">
        <f>Calculations!G87*(1+$D$246)</f>
        <v>0</v>
      </c>
      <c r="H326" s="141">
        <f>Calculations!H87*(1+$D$246)</f>
        <v>0</v>
      </c>
      <c r="I326" s="141">
        <f>Calculations!I87*(1+$D$246)</f>
        <v>0</v>
      </c>
      <c r="J326" s="141">
        <f>Calculations!J87*(1+$D$246)</f>
        <v>0</v>
      </c>
      <c r="K326" s="141">
        <f>Calculations!K87*(1+$D$246)</f>
        <v>0</v>
      </c>
      <c r="L326" s="141">
        <f>Calculations!L87*(1+$D$246)</f>
        <v>0</v>
      </c>
      <c r="M326" s="141">
        <f>Calculations!M87*(1+$D$246)</f>
        <v>0</v>
      </c>
      <c r="N326" s="141">
        <f>Calculations!N87*(1+$D$246)</f>
        <v>0</v>
      </c>
      <c r="O326" s="141">
        <f>Calculations!O87*(1+$D$246)</f>
        <v>0</v>
      </c>
      <c r="P326" s="141">
        <f>Calculations!P87*(1+$D$246)</f>
        <v>0</v>
      </c>
      <c r="Q326" s="141">
        <f>Calculations!Q87*(1+$D$246)</f>
        <v>0</v>
      </c>
      <c r="R326" s="141">
        <f>Calculations!R87*(1+$D$246)</f>
        <v>0</v>
      </c>
      <c r="S326" s="141">
        <f>Calculations!S87*(1+$D$246)</f>
        <v>0</v>
      </c>
      <c r="T326" s="141">
        <f>Calculations!T87*(1+$D$246)</f>
        <v>0</v>
      </c>
      <c r="U326" s="141">
        <f>Calculations!U87*(1+$D$246)</f>
        <v>0</v>
      </c>
      <c r="V326" s="141">
        <f>Calculations!V87*(1+$D$246)</f>
        <v>0</v>
      </c>
      <c r="W326" s="141">
        <f>Calculations!W87*(1+$D$246)</f>
        <v>0</v>
      </c>
      <c r="X326" s="141">
        <f>Calculations!X87*(1+$D$246)</f>
        <v>0</v>
      </c>
      <c r="Y326" s="141">
        <f>Calculations!Y87*(1+$D$246)</f>
        <v>0</v>
      </c>
      <c r="Z326" s="287"/>
    </row>
    <row r="327" spans="1:26" ht="13.5" thickBot="1" x14ac:dyDescent="0.25">
      <c r="B327" s="107"/>
      <c r="C327" s="137" t="str">
        <f>'User Input'!D116</f>
        <v>Negative Impact on Revenue (STPIS)</v>
      </c>
      <c r="D327" s="195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46"/>
      <c r="Z327" s="287"/>
    </row>
    <row r="328" spans="1:26" ht="13.5" thickBot="1" x14ac:dyDescent="0.25">
      <c r="B328" s="107"/>
      <c r="C328" s="136" t="str">
        <f>'User Input'!D117</f>
        <v>SAIFI sustained</v>
      </c>
      <c r="D328" s="67">
        <f t="shared" ref="D328:D345" si="57">SUM(E328:Y328)</f>
        <v>0</v>
      </c>
      <c r="E328" s="259">
        <v>0</v>
      </c>
      <c r="F328" s="259">
        <v>0</v>
      </c>
      <c r="G328" s="141">
        <f>Calculations!G89*(1+$D$248)</f>
        <v>0</v>
      </c>
      <c r="H328" s="141">
        <f>Calculations!H89*(1+$D$248)</f>
        <v>0</v>
      </c>
      <c r="I328" s="141">
        <f>Calculations!I89*(1+$D$248)</f>
        <v>0</v>
      </c>
      <c r="J328" s="141">
        <f>Calculations!J89*(1+$D$248)</f>
        <v>0</v>
      </c>
      <c r="K328" s="141">
        <f>Calculations!K89*(1+$D$248)</f>
        <v>0</v>
      </c>
      <c r="L328" s="141">
        <f>Calculations!L89*(1+$D$248)</f>
        <v>0</v>
      </c>
      <c r="M328" s="141">
        <f>Calculations!M89*(1+$D$248)</f>
        <v>0</v>
      </c>
      <c r="N328" s="141">
        <f>Calculations!N89*(1+$D$248)</f>
        <v>0</v>
      </c>
      <c r="O328" s="141">
        <f>Calculations!O89*(1+$D$248)</f>
        <v>0</v>
      </c>
      <c r="P328" s="141">
        <f>Calculations!P89*(1+$D$248)</f>
        <v>0</v>
      </c>
      <c r="Q328" s="141">
        <f>Calculations!Q89*(1+$D$248)</f>
        <v>0</v>
      </c>
      <c r="R328" s="141">
        <f>Calculations!R89*(1+$D$248)</f>
        <v>0</v>
      </c>
      <c r="S328" s="141">
        <f>Calculations!S89*(1+$D$248)</f>
        <v>0</v>
      </c>
      <c r="T328" s="141">
        <f>Calculations!T89*(1+$D$248)</f>
        <v>0</v>
      </c>
      <c r="U328" s="141">
        <f>Calculations!U89*(1+$D$248)</f>
        <v>0</v>
      </c>
      <c r="V328" s="141">
        <f>Calculations!V89*(1+$D$248)</f>
        <v>0</v>
      </c>
      <c r="W328" s="141">
        <f>Calculations!W89*(1+$D$248)</f>
        <v>0</v>
      </c>
      <c r="X328" s="141">
        <f>Calculations!X89*(1+$D$248)</f>
        <v>0</v>
      </c>
      <c r="Y328" s="141">
        <f>Calculations!Y89*(1+$D$248)</f>
        <v>0</v>
      </c>
      <c r="Z328" s="287"/>
    </row>
    <row r="329" spans="1:26" ht="13.5" thickBot="1" x14ac:dyDescent="0.25">
      <c r="B329" s="107"/>
      <c r="C329" s="136" t="str">
        <f>'User Input'!D118</f>
        <v>SAIDI accidental</v>
      </c>
      <c r="D329" s="67">
        <f t="shared" si="57"/>
        <v>0</v>
      </c>
      <c r="E329" s="259">
        <v>0</v>
      </c>
      <c r="F329" s="259">
        <v>0</v>
      </c>
      <c r="G329" s="141">
        <f>Calculations!G90*(1+$D$247)</f>
        <v>0</v>
      </c>
      <c r="H329" s="141">
        <f>Calculations!H90*(1+$D$247)</f>
        <v>0</v>
      </c>
      <c r="I329" s="141">
        <f>Calculations!I90*(1+$D$247)</f>
        <v>0</v>
      </c>
      <c r="J329" s="141">
        <f>Calculations!J90*(1+$D$247)</f>
        <v>0</v>
      </c>
      <c r="K329" s="141">
        <f>Calculations!K90*(1+$D$247)</f>
        <v>0</v>
      </c>
      <c r="L329" s="141">
        <f>Calculations!L90*(1+$D$247)</f>
        <v>0</v>
      </c>
      <c r="M329" s="141">
        <f>Calculations!M90*(1+$D$247)</f>
        <v>0</v>
      </c>
      <c r="N329" s="141">
        <f>Calculations!N90*(1+$D$247)</f>
        <v>0</v>
      </c>
      <c r="O329" s="141">
        <f>Calculations!O90*(1+$D$247)</f>
        <v>0</v>
      </c>
      <c r="P329" s="141">
        <f>Calculations!P90*(1+$D$247)</f>
        <v>0</v>
      </c>
      <c r="Q329" s="141">
        <f>Calculations!Q90*(1+$D$247)</f>
        <v>0</v>
      </c>
      <c r="R329" s="141">
        <f>Calculations!R90*(1+$D$247)</f>
        <v>0</v>
      </c>
      <c r="S329" s="141">
        <f>Calculations!S90*(1+$D$247)</f>
        <v>0</v>
      </c>
      <c r="T329" s="141">
        <f>Calculations!T90*(1+$D$247)</f>
        <v>0</v>
      </c>
      <c r="U329" s="141">
        <f>Calculations!U90*(1+$D$247)</f>
        <v>0</v>
      </c>
      <c r="V329" s="141">
        <f>Calculations!V90*(1+$D$247)</f>
        <v>0</v>
      </c>
      <c r="W329" s="141">
        <f>Calculations!W90*(1+$D$247)</f>
        <v>0</v>
      </c>
      <c r="X329" s="141">
        <f>Calculations!X90*(1+$D$247)</f>
        <v>0</v>
      </c>
      <c r="Y329" s="141">
        <f>Calculations!Y90*(1+$D$247)</f>
        <v>0</v>
      </c>
      <c r="Z329" s="287"/>
    </row>
    <row r="330" spans="1:26" ht="13.5" thickBot="1" x14ac:dyDescent="0.25">
      <c r="B330" s="107"/>
      <c r="C330" s="136" t="str">
        <f>'User Input'!D119</f>
        <v>MAIFI momentary</v>
      </c>
      <c r="D330" s="67">
        <f t="shared" si="57"/>
        <v>0</v>
      </c>
      <c r="E330" s="259">
        <v>0</v>
      </c>
      <c r="F330" s="259">
        <v>0</v>
      </c>
      <c r="G330" s="141">
        <f>Calculations!G91*(1+$D$249)</f>
        <v>0</v>
      </c>
      <c r="H330" s="141">
        <f>Calculations!H91*(1+$D$249)</f>
        <v>0</v>
      </c>
      <c r="I330" s="141">
        <f>Calculations!I91*(1+$D$249)</f>
        <v>0</v>
      </c>
      <c r="J330" s="141">
        <f>Calculations!J91*(1+$D$249)</f>
        <v>0</v>
      </c>
      <c r="K330" s="141">
        <f>Calculations!K91*(1+$D$249)</f>
        <v>0</v>
      </c>
      <c r="L330" s="141">
        <f>Calculations!L91*(1+$D$249)</f>
        <v>0</v>
      </c>
      <c r="M330" s="141">
        <f>Calculations!M91*(1+$D$249)</f>
        <v>0</v>
      </c>
      <c r="N330" s="141">
        <f>Calculations!N91*(1+$D$249)</f>
        <v>0</v>
      </c>
      <c r="O330" s="141">
        <f>Calculations!O91*(1+$D$249)</f>
        <v>0</v>
      </c>
      <c r="P330" s="141">
        <f>Calculations!P91*(1+$D$249)</f>
        <v>0</v>
      </c>
      <c r="Q330" s="141">
        <f>Calculations!Q91*(1+$D$249)</f>
        <v>0</v>
      </c>
      <c r="R330" s="141">
        <f>Calculations!R91*(1+$D$249)</f>
        <v>0</v>
      </c>
      <c r="S330" s="141">
        <f>Calculations!S91*(1+$D$249)</f>
        <v>0</v>
      </c>
      <c r="T330" s="141">
        <f>Calculations!T91*(1+$D$249)</f>
        <v>0</v>
      </c>
      <c r="U330" s="141">
        <f>Calculations!U91*(1+$D$249)</f>
        <v>0</v>
      </c>
      <c r="V330" s="141">
        <f>Calculations!V91*(1+$D$249)</f>
        <v>0</v>
      </c>
      <c r="W330" s="141">
        <f>Calculations!W91*(1+$D$249)</f>
        <v>0</v>
      </c>
      <c r="X330" s="141">
        <f>Calculations!X91*(1+$D$249)</f>
        <v>0</v>
      </c>
      <c r="Y330" s="141">
        <f>Calculations!Y91*(1+$D$249)</f>
        <v>0</v>
      </c>
      <c r="Z330" s="287"/>
    </row>
    <row r="331" spans="1:26" ht="13.5" thickBot="1" x14ac:dyDescent="0.25">
      <c r="B331" s="107"/>
      <c r="C331" s="136" t="str">
        <f>'User Input'!D120</f>
        <v>Call centre response</v>
      </c>
      <c r="D331" s="67">
        <f t="shared" si="57"/>
        <v>0</v>
      </c>
      <c r="E331" s="259">
        <v>0</v>
      </c>
      <c r="F331" s="259">
        <v>0</v>
      </c>
      <c r="G331" s="141">
        <f>Calculations!G92*(1+$D$246)</f>
        <v>0</v>
      </c>
      <c r="H331" s="141">
        <f>Calculations!H92*(1+$D$246)</f>
        <v>0</v>
      </c>
      <c r="I331" s="141">
        <f>Calculations!I92*(1+$D$246)</f>
        <v>0</v>
      </c>
      <c r="J331" s="141">
        <f>Calculations!J92*(1+$D$246)</f>
        <v>0</v>
      </c>
      <c r="K331" s="141">
        <f>Calculations!K92*(1+$D$246)</f>
        <v>0</v>
      </c>
      <c r="L331" s="141">
        <f>Calculations!L92*(1+$D$246)</f>
        <v>0</v>
      </c>
      <c r="M331" s="141">
        <f>Calculations!M92*(1+$D$246)</f>
        <v>0</v>
      </c>
      <c r="N331" s="141">
        <f>Calculations!N92*(1+$D$246)</f>
        <v>0</v>
      </c>
      <c r="O331" s="141">
        <f>Calculations!O92*(1+$D$246)</f>
        <v>0</v>
      </c>
      <c r="P331" s="141">
        <f>Calculations!P92*(1+$D$246)</f>
        <v>0</v>
      </c>
      <c r="Q331" s="141">
        <f>Calculations!Q92*(1+$D$246)</f>
        <v>0</v>
      </c>
      <c r="R331" s="141">
        <f>Calculations!R92*(1+$D$246)</f>
        <v>0</v>
      </c>
      <c r="S331" s="141">
        <f>Calculations!S92*(1+$D$246)</f>
        <v>0</v>
      </c>
      <c r="T331" s="141">
        <f>Calculations!T92*(1+$D$246)</f>
        <v>0</v>
      </c>
      <c r="U331" s="141">
        <f>Calculations!U92*(1+$D$246)</f>
        <v>0</v>
      </c>
      <c r="V331" s="141">
        <f>Calculations!V92*(1+$D$246)</f>
        <v>0</v>
      </c>
      <c r="W331" s="141">
        <f>Calculations!W92*(1+$D$246)</f>
        <v>0</v>
      </c>
      <c r="X331" s="141">
        <f>Calculations!X92*(1+$D$246)</f>
        <v>0</v>
      </c>
      <c r="Y331" s="141">
        <f>Calculations!Y92*(1+$D$246)</f>
        <v>0</v>
      </c>
      <c r="Z331" s="287"/>
    </row>
    <row r="332" spans="1:26" ht="13.5" thickBot="1" x14ac:dyDescent="0.25">
      <c r="A332" s="143"/>
      <c r="B332" s="144"/>
      <c r="C332" s="137" t="str">
        <f>'User Input'!D122</f>
        <v>Network Outage Costs</v>
      </c>
      <c r="D332" s="67">
        <f t="shared" si="57"/>
        <v>0</v>
      </c>
      <c r="E332" s="141">
        <f>Calculations!E93*(1+$D$246)</f>
        <v>0</v>
      </c>
      <c r="F332" s="141">
        <f>Calculations!F93*(1+$D$246)</f>
        <v>0</v>
      </c>
      <c r="G332" s="141">
        <f>Calculations!G93*(1+$D$246)</f>
        <v>0</v>
      </c>
      <c r="H332" s="141">
        <f>Calculations!H93*(1+$D$246)</f>
        <v>0</v>
      </c>
      <c r="I332" s="141">
        <f>Calculations!I93*(1+$D$246)</f>
        <v>0</v>
      </c>
      <c r="J332" s="141">
        <f>Calculations!J93*(1+$D$246)</f>
        <v>0</v>
      </c>
      <c r="K332" s="141">
        <f>Calculations!K93*(1+$D$246)</f>
        <v>0</v>
      </c>
      <c r="L332" s="141">
        <f>Calculations!L93*(1+$D$246)</f>
        <v>0</v>
      </c>
      <c r="M332" s="141">
        <f>Calculations!M93*(1+$D$246)</f>
        <v>0</v>
      </c>
      <c r="N332" s="141">
        <f>Calculations!N93*(1+$D$246)</f>
        <v>0</v>
      </c>
      <c r="O332" s="141">
        <f>Calculations!O93*(1+$D$246)</f>
        <v>0</v>
      </c>
      <c r="P332" s="141">
        <f>Calculations!P93*(1+$D$246)</f>
        <v>0</v>
      </c>
      <c r="Q332" s="141">
        <f>Calculations!Q93*(1+$D$246)</f>
        <v>0</v>
      </c>
      <c r="R332" s="141">
        <f>Calculations!R93*(1+$D$246)</f>
        <v>0</v>
      </c>
      <c r="S332" s="141">
        <f>Calculations!S93*(1+$D$246)</f>
        <v>0</v>
      </c>
      <c r="T332" s="141">
        <f>Calculations!T93*(1+$D$246)</f>
        <v>0</v>
      </c>
      <c r="U332" s="141">
        <f>Calculations!U93*(1+$D$246)</f>
        <v>0</v>
      </c>
      <c r="V332" s="141">
        <f>Calculations!V93*(1+$D$246)</f>
        <v>0</v>
      </c>
      <c r="W332" s="141">
        <f>Calculations!W93*(1+$D$246)</f>
        <v>0</v>
      </c>
      <c r="X332" s="141">
        <f>Calculations!X93*(1+$D$246)</f>
        <v>0</v>
      </c>
      <c r="Y332" s="141">
        <f>Calculations!Y93*(1+$D$246)</f>
        <v>0</v>
      </c>
      <c r="Z332" s="287"/>
    </row>
    <row r="333" spans="1:26" ht="13.5" thickBot="1" x14ac:dyDescent="0.25">
      <c r="A333" s="143"/>
      <c r="B333" s="144"/>
      <c r="C333" s="137" t="str">
        <f>'User Input'!D126</f>
        <v>Loss of F Factor Benefit</v>
      </c>
      <c r="D333" s="67">
        <f t="shared" si="57"/>
        <v>0</v>
      </c>
      <c r="E333" s="141">
        <f>Calculations!E94*(1+$D$246)</f>
        <v>0</v>
      </c>
      <c r="F333" s="141">
        <f>Calculations!F94*(1+$D$246)</f>
        <v>0</v>
      </c>
      <c r="G333" s="141">
        <f>Calculations!G94*(1+$D$246)</f>
        <v>0</v>
      </c>
      <c r="H333" s="141">
        <f>Calculations!H94*(1+$D$246)</f>
        <v>0</v>
      </c>
      <c r="I333" s="141">
        <f>Calculations!I94*(1+$D$246)</f>
        <v>0</v>
      </c>
      <c r="J333" s="141">
        <f>Calculations!J94*(1+$D$246)</f>
        <v>0</v>
      </c>
      <c r="K333" s="141">
        <f>Calculations!K94*(1+$D$246)</f>
        <v>0</v>
      </c>
      <c r="L333" s="141">
        <f>Calculations!L94*(1+$D$246)</f>
        <v>0</v>
      </c>
      <c r="M333" s="141">
        <f>Calculations!M94*(1+$D$246)</f>
        <v>0</v>
      </c>
      <c r="N333" s="141">
        <f>Calculations!N94*(1+$D$246)</f>
        <v>0</v>
      </c>
      <c r="O333" s="141">
        <f>Calculations!O94*(1+$D$246)</f>
        <v>0</v>
      </c>
      <c r="P333" s="141">
        <f>Calculations!P94*(1+$D$246)</f>
        <v>0</v>
      </c>
      <c r="Q333" s="141">
        <f>Calculations!Q94*(1+$D$246)</f>
        <v>0</v>
      </c>
      <c r="R333" s="141">
        <f>Calculations!R94*(1+$D$246)</f>
        <v>0</v>
      </c>
      <c r="S333" s="141">
        <f>Calculations!S94*(1+$D$246)</f>
        <v>0</v>
      </c>
      <c r="T333" s="141">
        <f>Calculations!T94*(1+$D$246)</f>
        <v>0</v>
      </c>
      <c r="U333" s="141">
        <f>Calculations!U94*(1+$D$246)</f>
        <v>0</v>
      </c>
      <c r="V333" s="141">
        <f>Calculations!V94*(1+$D$246)</f>
        <v>0</v>
      </c>
      <c r="W333" s="141">
        <f>Calculations!W94*(1+$D$246)</f>
        <v>0</v>
      </c>
      <c r="X333" s="141">
        <f>Calculations!X94*(1+$D$246)</f>
        <v>0</v>
      </c>
      <c r="Y333" s="141">
        <f>Calculations!Y94*(1+$D$246)</f>
        <v>0</v>
      </c>
      <c r="Z333" s="287"/>
    </row>
    <row r="334" spans="1:26" ht="13.5" thickBot="1" x14ac:dyDescent="0.25">
      <c r="B334" s="107"/>
      <c r="C334" s="137" t="str">
        <f>'User Input'!D129</f>
        <v>Cost 1</v>
      </c>
      <c r="D334" s="67">
        <f t="shared" si="57"/>
        <v>0</v>
      </c>
      <c r="E334" s="141">
        <f>Calculations!E95*(1+$D$246)</f>
        <v>0</v>
      </c>
      <c r="F334" s="141">
        <f>Calculations!F95*(1+$D$246)</f>
        <v>0</v>
      </c>
      <c r="G334" s="141">
        <f>Calculations!G95*(1+$D$246)</f>
        <v>0</v>
      </c>
      <c r="H334" s="141">
        <f>Calculations!H95*(1+$D$246)</f>
        <v>0</v>
      </c>
      <c r="I334" s="141">
        <f>Calculations!I95*(1+$D$246)</f>
        <v>0</v>
      </c>
      <c r="J334" s="141">
        <f>Calculations!J95*(1+$D$246)</f>
        <v>0</v>
      </c>
      <c r="K334" s="141">
        <f>Calculations!K95*(1+$D$246)</f>
        <v>0</v>
      </c>
      <c r="L334" s="141">
        <f>Calculations!L95*(1+$D$246)</f>
        <v>0</v>
      </c>
      <c r="M334" s="141">
        <f>Calculations!M95*(1+$D$246)</f>
        <v>0</v>
      </c>
      <c r="N334" s="141">
        <f>Calculations!N95*(1+$D$246)</f>
        <v>0</v>
      </c>
      <c r="O334" s="141">
        <f>Calculations!O95*(1+$D$246)</f>
        <v>0</v>
      </c>
      <c r="P334" s="141">
        <f>Calculations!P95*(1+$D$246)</f>
        <v>0</v>
      </c>
      <c r="Q334" s="141">
        <f>Calculations!Q95*(1+$D$246)</f>
        <v>0</v>
      </c>
      <c r="R334" s="141">
        <f>Calculations!R95*(1+$D$246)</f>
        <v>0</v>
      </c>
      <c r="S334" s="141">
        <f>Calculations!S95*(1+$D$246)</f>
        <v>0</v>
      </c>
      <c r="T334" s="141">
        <f>Calculations!T95*(1+$D$246)</f>
        <v>0</v>
      </c>
      <c r="U334" s="141">
        <f>Calculations!U95*(1+$D$246)</f>
        <v>0</v>
      </c>
      <c r="V334" s="141">
        <f>Calculations!V95*(1+$D$246)</f>
        <v>0</v>
      </c>
      <c r="W334" s="141">
        <f>Calculations!W95*(1+$D$246)</f>
        <v>0</v>
      </c>
      <c r="X334" s="141">
        <f>Calculations!X95*(1+$D$246)</f>
        <v>0</v>
      </c>
      <c r="Y334" s="141">
        <f>Calculations!Y95*(1+$D$246)</f>
        <v>0</v>
      </c>
      <c r="Z334" s="287"/>
    </row>
    <row r="335" spans="1:26" ht="13.5" thickBot="1" x14ac:dyDescent="0.25">
      <c r="B335" s="107"/>
      <c r="C335" s="137" t="str">
        <f>'User Input'!D130</f>
        <v>Cost 2</v>
      </c>
      <c r="D335" s="67">
        <f t="shared" si="57"/>
        <v>0</v>
      </c>
      <c r="E335" s="141">
        <f>Calculations!E96*(1+$D$246)</f>
        <v>0</v>
      </c>
      <c r="F335" s="141">
        <f>Calculations!F96*(1+$D$246)</f>
        <v>0</v>
      </c>
      <c r="G335" s="141">
        <f>Calculations!G96*(1+$D$246)</f>
        <v>0</v>
      </c>
      <c r="H335" s="141">
        <f>Calculations!H96*(1+$D$246)</f>
        <v>0</v>
      </c>
      <c r="I335" s="141">
        <f>Calculations!I96*(1+$D$246)</f>
        <v>0</v>
      </c>
      <c r="J335" s="141">
        <f>Calculations!J96*(1+$D$246)</f>
        <v>0</v>
      </c>
      <c r="K335" s="141">
        <f>Calculations!K96*(1+$D$246)</f>
        <v>0</v>
      </c>
      <c r="L335" s="141">
        <f>Calculations!L96*(1+$D$246)</f>
        <v>0</v>
      </c>
      <c r="M335" s="141">
        <f>Calculations!M96*(1+$D$246)</f>
        <v>0</v>
      </c>
      <c r="N335" s="141">
        <f>Calculations!N96*(1+$D$246)</f>
        <v>0</v>
      </c>
      <c r="O335" s="141">
        <f>Calculations!O96*(1+$D$246)</f>
        <v>0</v>
      </c>
      <c r="P335" s="141">
        <f>Calculations!P96*(1+$D$246)</f>
        <v>0</v>
      </c>
      <c r="Q335" s="141">
        <f>Calculations!Q96*(1+$D$246)</f>
        <v>0</v>
      </c>
      <c r="R335" s="141">
        <f>Calculations!R96*(1+$D$246)</f>
        <v>0</v>
      </c>
      <c r="S335" s="141">
        <f>Calculations!S96*(1+$D$246)</f>
        <v>0</v>
      </c>
      <c r="T335" s="141">
        <f>Calculations!T96*(1+$D$246)</f>
        <v>0</v>
      </c>
      <c r="U335" s="141">
        <f>Calculations!U96*(1+$D$246)</f>
        <v>0</v>
      </c>
      <c r="V335" s="141">
        <f>Calculations!V96*(1+$D$246)</f>
        <v>0</v>
      </c>
      <c r="W335" s="141">
        <f>Calculations!W96*(1+$D$246)</f>
        <v>0</v>
      </c>
      <c r="X335" s="141">
        <f>Calculations!X96*(1+$D$246)</f>
        <v>0</v>
      </c>
      <c r="Y335" s="141">
        <f>Calculations!Y96*(1+$D$246)</f>
        <v>0</v>
      </c>
      <c r="Z335" s="287"/>
    </row>
    <row r="336" spans="1:26" ht="13.5" thickBot="1" x14ac:dyDescent="0.25">
      <c r="B336" s="107"/>
      <c r="C336" s="137" t="str">
        <f>'User Input'!D131</f>
        <v>Cost 3</v>
      </c>
      <c r="D336" s="67">
        <f t="shared" si="57"/>
        <v>0</v>
      </c>
      <c r="E336" s="141">
        <f>Calculations!E97*(1+$D$246)</f>
        <v>0</v>
      </c>
      <c r="F336" s="141">
        <f>Calculations!F97*(1+$D$246)</f>
        <v>0</v>
      </c>
      <c r="G336" s="141">
        <f>Calculations!G97*(1+$D$246)</f>
        <v>0</v>
      </c>
      <c r="H336" s="141">
        <f>Calculations!H97*(1+$D$246)</f>
        <v>0</v>
      </c>
      <c r="I336" s="141">
        <f>Calculations!I97*(1+$D$246)</f>
        <v>0</v>
      </c>
      <c r="J336" s="141">
        <f>Calculations!J97*(1+$D$246)</f>
        <v>0</v>
      </c>
      <c r="K336" s="141">
        <f>Calculations!K97*(1+$D$246)</f>
        <v>0</v>
      </c>
      <c r="L336" s="141">
        <f>Calculations!L97*(1+$D$246)</f>
        <v>0</v>
      </c>
      <c r="M336" s="141">
        <f>Calculations!M97*(1+$D$246)</f>
        <v>0</v>
      </c>
      <c r="N336" s="141">
        <f>Calculations!N97*(1+$D$246)</f>
        <v>0</v>
      </c>
      <c r="O336" s="141">
        <f>Calculations!O97*(1+$D$246)</f>
        <v>0</v>
      </c>
      <c r="P336" s="141">
        <f>Calculations!P97*(1+$D$246)</f>
        <v>0</v>
      </c>
      <c r="Q336" s="141">
        <f>Calculations!Q97*(1+$D$246)</f>
        <v>0</v>
      </c>
      <c r="R336" s="141">
        <f>Calculations!R97*(1+$D$246)</f>
        <v>0</v>
      </c>
      <c r="S336" s="141">
        <f>Calculations!S97*(1+$D$246)</f>
        <v>0</v>
      </c>
      <c r="T336" s="141">
        <f>Calculations!T97*(1+$D$246)</f>
        <v>0</v>
      </c>
      <c r="U336" s="141">
        <f>Calculations!U97*(1+$D$246)</f>
        <v>0</v>
      </c>
      <c r="V336" s="141">
        <f>Calculations!V97*(1+$D$246)</f>
        <v>0</v>
      </c>
      <c r="W336" s="141">
        <f>Calculations!W97*(1+$D$246)</f>
        <v>0</v>
      </c>
      <c r="X336" s="141">
        <f>Calculations!X97*(1+$D$246)</f>
        <v>0</v>
      </c>
      <c r="Y336" s="141">
        <f>Calculations!Y97*(1+$D$246)</f>
        <v>0</v>
      </c>
      <c r="Z336" s="287"/>
    </row>
    <row r="337" spans="2:26" ht="13.5" thickBot="1" x14ac:dyDescent="0.25">
      <c r="B337" s="107"/>
      <c r="C337" s="137" t="str">
        <f>'User Input'!D132</f>
        <v>Cost 4</v>
      </c>
      <c r="D337" s="67">
        <f t="shared" si="57"/>
        <v>0</v>
      </c>
      <c r="E337" s="141">
        <f>Calculations!E98*(1+$D$246)</f>
        <v>0</v>
      </c>
      <c r="F337" s="141">
        <f>Calculations!F98*(1+$D$246)</f>
        <v>0</v>
      </c>
      <c r="G337" s="141">
        <f>Calculations!G98*(1+$D$246)</f>
        <v>0</v>
      </c>
      <c r="H337" s="141">
        <f>Calculations!H98*(1+$D$246)</f>
        <v>0</v>
      </c>
      <c r="I337" s="141">
        <f>Calculations!I98*(1+$D$246)</f>
        <v>0</v>
      </c>
      <c r="J337" s="141">
        <f>Calculations!J98*(1+$D$246)</f>
        <v>0</v>
      </c>
      <c r="K337" s="141">
        <f>Calculations!K98*(1+$D$246)</f>
        <v>0</v>
      </c>
      <c r="L337" s="141">
        <f>Calculations!L98*(1+$D$246)</f>
        <v>0</v>
      </c>
      <c r="M337" s="141">
        <f>Calculations!M98*(1+$D$246)</f>
        <v>0</v>
      </c>
      <c r="N337" s="141">
        <f>Calculations!N98*(1+$D$246)</f>
        <v>0</v>
      </c>
      <c r="O337" s="141">
        <f>Calculations!O98*(1+$D$246)</f>
        <v>0</v>
      </c>
      <c r="P337" s="141">
        <f>Calculations!P98*(1+$D$246)</f>
        <v>0</v>
      </c>
      <c r="Q337" s="141">
        <f>Calculations!Q98*(1+$D$246)</f>
        <v>0</v>
      </c>
      <c r="R337" s="141">
        <f>Calculations!R98*(1+$D$246)</f>
        <v>0</v>
      </c>
      <c r="S337" s="141">
        <f>Calculations!S98*(1+$D$246)</f>
        <v>0</v>
      </c>
      <c r="T337" s="141">
        <f>Calculations!T98*(1+$D$246)</f>
        <v>0</v>
      </c>
      <c r="U337" s="141">
        <f>Calculations!U98*(1+$D$246)</f>
        <v>0</v>
      </c>
      <c r="V337" s="141">
        <f>Calculations!V98*(1+$D$246)</f>
        <v>0</v>
      </c>
      <c r="W337" s="141">
        <f>Calculations!W98*(1+$D$246)</f>
        <v>0</v>
      </c>
      <c r="X337" s="141">
        <f>Calculations!X98*(1+$D$246)</f>
        <v>0</v>
      </c>
      <c r="Y337" s="141">
        <f>Calculations!Y98*(1+$D$246)</f>
        <v>0</v>
      </c>
      <c r="Z337" s="287"/>
    </row>
    <row r="338" spans="2:26" ht="13.5" thickBot="1" x14ac:dyDescent="0.25">
      <c r="B338" s="107"/>
      <c r="C338" s="137" t="str">
        <f>'User Input'!D133</f>
        <v>Cost 5</v>
      </c>
      <c r="D338" s="67">
        <f t="shared" si="57"/>
        <v>0</v>
      </c>
      <c r="E338" s="141">
        <f>Calculations!E99*(1+$D$246)</f>
        <v>0</v>
      </c>
      <c r="F338" s="141">
        <f>Calculations!F99*(1+$D$246)</f>
        <v>0</v>
      </c>
      <c r="G338" s="141">
        <f>Calculations!G99*(1+$D$246)</f>
        <v>0</v>
      </c>
      <c r="H338" s="141">
        <f>Calculations!H99*(1+$D$246)</f>
        <v>0</v>
      </c>
      <c r="I338" s="141">
        <f>Calculations!I99*(1+$D$246)</f>
        <v>0</v>
      </c>
      <c r="J338" s="141">
        <f>Calculations!J99*(1+$D$246)</f>
        <v>0</v>
      </c>
      <c r="K338" s="141">
        <f>Calculations!K99*(1+$D$246)</f>
        <v>0</v>
      </c>
      <c r="L338" s="141">
        <f>Calculations!L99*(1+$D$246)</f>
        <v>0</v>
      </c>
      <c r="M338" s="141">
        <f>Calculations!M99*(1+$D$246)</f>
        <v>0</v>
      </c>
      <c r="N338" s="141">
        <f>Calculations!N99*(1+$D$246)</f>
        <v>0</v>
      </c>
      <c r="O338" s="141">
        <f>Calculations!O99*(1+$D$246)</f>
        <v>0</v>
      </c>
      <c r="P338" s="141">
        <f>Calculations!P99*(1+$D$246)</f>
        <v>0</v>
      </c>
      <c r="Q338" s="141">
        <f>Calculations!Q99*(1+$D$246)</f>
        <v>0</v>
      </c>
      <c r="R338" s="141">
        <f>Calculations!R99*(1+$D$246)</f>
        <v>0</v>
      </c>
      <c r="S338" s="141">
        <f>Calculations!S99*(1+$D$246)</f>
        <v>0</v>
      </c>
      <c r="T338" s="141">
        <f>Calculations!T99*(1+$D$246)</f>
        <v>0</v>
      </c>
      <c r="U338" s="141">
        <f>Calculations!U99*(1+$D$246)</f>
        <v>0</v>
      </c>
      <c r="V338" s="141">
        <f>Calculations!V99*(1+$D$246)</f>
        <v>0</v>
      </c>
      <c r="W338" s="141">
        <f>Calculations!W99*(1+$D$246)</f>
        <v>0</v>
      </c>
      <c r="X338" s="141">
        <f>Calculations!X99*(1+$D$246)</f>
        <v>0</v>
      </c>
      <c r="Y338" s="141">
        <f>Calculations!Y99*(1+$D$246)</f>
        <v>0</v>
      </c>
      <c r="Z338" s="287"/>
    </row>
    <row r="339" spans="2:26" ht="13.5" thickBot="1" x14ac:dyDescent="0.25">
      <c r="B339" s="107"/>
      <c r="C339" s="137" t="str">
        <f>'User Input'!D134</f>
        <v>Risk 1</v>
      </c>
      <c r="D339" s="67">
        <f>SUM(E339:Y339)</f>
        <v>0</v>
      </c>
      <c r="E339" s="141">
        <f>Calculations!E100*(1+$D$246)</f>
        <v>0</v>
      </c>
      <c r="F339" s="141">
        <f>Calculations!F100*(1+$D$246)</f>
        <v>0</v>
      </c>
      <c r="G339" s="141">
        <f>Calculations!G100*(1+$D$246)</f>
        <v>0</v>
      </c>
      <c r="H339" s="141">
        <f>Calculations!H100*(1+$D$246)</f>
        <v>0</v>
      </c>
      <c r="I339" s="141">
        <f>Calculations!I100*(1+$D$246)</f>
        <v>0</v>
      </c>
      <c r="J339" s="141">
        <f>Calculations!J100*(1+$D$246)</f>
        <v>0</v>
      </c>
      <c r="K339" s="141">
        <f>Calculations!K100*(1+$D$246)</f>
        <v>0</v>
      </c>
      <c r="L339" s="141">
        <f>Calculations!L100*(1+$D$246)</f>
        <v>0</v>
      </c>
      <c r="M339" s="141">
        <f>Calculations!M100*(1+$D$246)</f>
        <v>0</v>
      </c>
      <c r="N339" s="141">
        <f>Calculations!N100*(1+$D$246)</f>
        <v>0</v>
      </c>
      <c r="O339" s="141">
        <f>Calculations!O100*(1+$D$246)</f>
        <v>0</v>
      </c>
      <c r="P339" s="141">
        <f>Calculations!P100*(1+$D$246)</f>
        <v>0</v>
      </c>
      <c r="Q339" s="141">
        <f>Calculations!Q100*(1+$D$246)</f>
        <v>0</v>
      </c>
      <c r="R339" s="141">
        <f>Calculations!R100*(1+$D$246)</f>
        <v>0</v>
      </c>
      <c r="S339" s="141">
        <f>Calculations!S100*(1+$D$246)</f>
        <v>0</v>
      </c>
      <c r="T339" s="141">
        <f>Calculations!T100*(1+$D$246)</f>
        <v>0</v>
      </c>
      <c r="U339" s="141">
        <f>Calculations!U100*(1+$D$246)</f>
        <v>0</v>
      </c>
      <c r="V339" s="141">
        <f>Calculations!V100*(1+$D$246)</f>
        <v>0</v>
      </c>
      <c r="W339" s="141">
        <f>Calculations!W100*(1+$D$246)</f>
        <v>0</v>
      </c>
      <c r="X339" s="141">
        <f>Calculations!X100*(1+$D$246)</f>
        <v>0</v>
      </c>
      <c r="Y339" s="141">
        <f>Calculations!Y100*(1+$D$246)</f>
        <v>0</v>
      </c>
      <c r="Z339" s="287"/>
    </row>
    <row r="340" spans="2:26" ht="13.5" thickBot="1" x14ac:dyDescent="0.25">
      <c r="B340" s="107"/>
      <c r="C340" s="137" t="str">
        <f>'User Input'!D135</f>
        <v>Risk 2</v>
      </c>
      <c r="D340" s="67">
        <f>SUM(E340:Y340)</f>
        <v>0</v>
      </c>
      <c r="E340" s="141">
        <f>Calculations!E101*(1+$D$246)</f>
        <v>0</v>
      </c>
      <c r="F340" s="141">
        <f>Calculations!F101*(1+$D$246)</f>
        <v>0</v>
      </c>
      <c r="G340" s="141">
        <f>Calculations!G101*(1+$D$246)</f>
        <v>0</v>
      </c>
      <c r="H340" s="141">
        <f>Calculations!H101*(1+$D$246)</f>
        <v>0</v>
      </c>
      <c r="I340" s="141">
        <f>Calculations!I101*(1+$D$246)</f>
        <v>0</v>
      </c>
      <c r="J340" s="141">
        <f>Calculations!J101*(1+$D$246)</f>
        <v>0</v>
      </c>
      <c r="K340" s="141">
        <f>Calculations!K101*(1+$D$246)</f>
        <v>0</v>
      </c>
      <c r="L340" s="141">
        <f>Calculations!L101*(1+$D$246)</f>
        <v>0</v>
      </c>
      <c r="M340" s="141">
        <f>Calculations!M101*(1+$D$246)</f>
        <v>0</v>
      </c>
      <c r="N340" s="141">
        <f>Calculations!N101*(1+$D$246)</f>
        <v>0</v>
      </c>
      <c r="O340" s="141">
        <f>Calculations!O101*(1+$D$246)</f>
        <v>0</v>
      </c>
      <c r="P340" s="141">
        <f>Calculations!P101*(1+$D$246)</f>
        <v>0</v>
      </c>
      <c r="Q340" s="141">
        <f>Calculations!Q101*(1+$D$246)</f>
        <v>0</v>
      </c>
      <c r="R340" s="141">
        <f>Calculations!R101*(1+$D$246)</f>
        <v>0</v>
      </c>
      <c r="S340" s="141">
        <f>Calculations!S101*(1+$D$246)</f>
        <v>0</v>
      </c>
      <c r="T340" s="141">
        <f>Calculations!T101*(1+$D$246)</f>
        <v>0</v>
      </c>
      <c r="U340" s="141">
        <f>Calculations!U101*(1+$D$246)</f>
        <v>0</v>
      </c>
      <c r="V340" s="141">
        <f>Calculations!V101*(1+$D$246)</f>
        <v>0</v>
      </c>
      <c r="W340" s="141">
        <f>Calculations!W101*(1+$D$246)</f>
        <v>0</v>
      </c>
      <c r="X340" s="141">
        <f>Calculations!X101*(1+$D$246)</f>
        <v>0</v>
      </c>
      <c r="Y340" s="141">
        <f>Calculations!Y101*(1+$D$246)</f>
        <v>0</v>
      </c>
      <c r="Z340" s="287"/>
    </row>
    <row r="341" spans="2:26" ht="13.5" thickBot="1" x14ac:dyDescent="0.25">
      <c r="B341" s="107"/>
      <c r="C341" s="137" t="str">
        <f>'User Input'!D136</f>
        <v>Risk 3</v>
      </c>
      <c r="D341" s="67">
        <f>SUM(E341:Y341)</f>
        <v>0</v>
      </c>
      <c r="E341" s="141">
        <f>Calculations!E102*(1+$D$246)</f>
        <v>0</v>
      </c>
      <c r="F341" s="141">
        <f>Calculations!F102*(1+$D$246)</f>
        <v>0</v>
      </c>
      <c r="G341" s="141">
        <f>Calculations!G102*(1+$D$246)</f>
        <v>0</v>
      </c>
      <c r="H341" s="141">
        <f>Calculations!H102*(1+$D$246)</f>
        <v>0</v>
      </c>
      <c r="I341" s="141">
        <f>Calculations!I102*(1+$D$246)</f>
        <v>0</v>
      </c>
      <c r="J341" s="141">
        <f>Calculations!J102*(1+$D$246)</f>
        <v>0</v>
      </c>
      <c r="K341" s="141">
        <f>Calculations!K102*(1+$D$246)</f>
        <v>0</v>
      </c>
      <c r="L341" s="141">
        <f>Calculations!L102*(1+$D$246)</f>
        <v>0</v>
      </c>
      <c r="M341" s="141">
        <f>Calculations!M102*(1+$D$246)</f>
        <v>0</v>
      </c>
      <c r="N341" s="141">
        <f>Calculations!N102*(1+$D$246)</f>
        <v>0</v>
      </c>
      <c r="O341" s="141">
        <f>Calculations!O102*(1+$D$246)</f>
        <v>0</v>
      </c>
      <c r="P341" s="141">
        <f>Calculations!P102*(1+$D$246)</f>
        <v>0</v>
      </c>
      <c r="Q341" s="141">
        <f>Calculations!Q102*(1+$D$246)</f>
        <v>0</v>
      </c>
      <c r="R341" s="141">
        <f>Calculations!R102*(1+$D$246)</f>
        <v>0</v>
      </c>
      <c r="S341" s="141">
        <f>Calculations!S102*(1+$D$246)</f>
        <v>0</v>
      </c>
      <c r="T341" s="141">
        <f>Calculations!T102*(1+$D$246)</f>
        <v>0</v>
      </c>
      <c r="U341" s="141">
        <f>Calculations!U102*(1+$D$246)</f>
        <v>0</v>
      </c>
      <c r="V341" s="141">
        <f>Calculations!V102*(1+$D$246)</f>
        <v>0</v>
      </c>
      <c r="W341" s="141">
        <f>Calculations!W102*(1+$D$246)</f>
        <v>0</v>
      </c>
      <c r="X341" s="141">
        <f>Calculations!X102*(1+$D$246)</f>
        <v>0</v>
      </c>
      <c r="Y341" s="141">
        <f>Calculations!Y102*(1+$D$246)</f>
        <v>0</v>
      </c>
      <c r="Z341" s="287"/>
    </row>
    <row r="342" spans="2:26" ht="13.5" thickBot="1" x14ac:dyDescent="0.25">
      <c r="B342" s="107"/>
      <c r="C342" s="137" t="str">
        <f>'User Input'!D137</f>
        <v>Risk 4</v>
      </c>
      <c r="D342" s="67">
        <f>SUM(E342:Y342)</f>
        <v>0</v>
      </c>
      <c r="E342" s="141">
        <f>Calculations!E103*(1+$D$246)</f>
        <v>0</v>
      </c>
      <c r="F342" s="141">
        <f>Calculations!F103*(1+$D$246)</f>
        <v>0</v>
      </c>
      <c r="G342" s="141">
        <f>Calculations!G103*(1+$D$246)</f>
        <v>0</v>
      </c>
      <c r="H342" s="141">
        <f>Calculations!H103*(1+$D$246)</f>
        <v>0</v>
      </c>
      <c r="I342" s="141">
        <f>Calculations!I103*(1+$D$246)</f>
        <v>0</v>
      </c>
      <c r="J342" s="141">
        <f>Calculations!J103*(1+$D$246)</f>
        <v>0</v>
      </c>
      <c r="K342" s="141">
        <f>Calculations!K103*(1+$D$246)</f>
        <v>0</v>
      </c>
      <c r="L342" s="141">
        <f>Calculations!L103*(1+$D$246)</f>
        <v>0</v>
      </c>
      <c r="M342" s="141">
        <f>Calculations!M103*(1+$D$246)</f>
        <v>0</v>
      </c>
      <c r="N342" s="141">
        <f>Calculations!N103*(1+$D$246)</f>
        <v>0</v>
      </c>
      <c r="O342" s="141">
        <f>Calculations!O103*(1+$D$246)</f>
        <v>0</v>
      </c>
      <c r="P342" s="141">
        <f>Calculations!P103*(1+$D$246)</f>
        <v>0</v>
      </c>
      <c r="Q342" s="141">
        <f>Calculations!Q103*(1+$D$246)</f>
        <v>0</v>
      </c>
      <c r="R342" s="141">
        <f>Calculations!R103*(1+$D$246)</f>
        <v>0</v>
      </c>
      <c r="S342" s="141">
        <f>Calculations!S103*(1+$D$246)</f>
        <v>0</v>
      </c>
      <c r="T342" s="141">
        <f>Calculations!T103*(1+$D$246)</f>
        <v>0</v>
      </c>
      <c r="U342" s="141">
        <f>Calculations!U103*(1+$D$246)</f>
        <v>0</v>
      </c>
      <c r="V342" s="141">
        <f>Calculations!V103*(1+$D$246)</f>
        <v>0</v>
      </c>
      <c r="W342" s="141">
        <f>Calculations!W103*(1+$D$246)</f>
        <v>0</v>
      </c>
      <c r="X342" s="141">
        <f>Calculations!X103*(1+$D$246)</f>
        <v>0</v>
      </c>
      <c r="Y342" s="141">
        <f>Calculations!Y103*(1+$D$246)</f>
        <v>0</v>
      </c>
      <c r="Z342" s="287"/>
    </row>
    <row r="343" spans="2:26" ht="13.5" thickBot="1" x14ac:dyDescent="0.25">
      <c r="B343" s="107"/>
      <c r="C343" s="137" t="str">
        <f>'User Input'!D138</f>
        <v>Risk 5</v>
      </c>
      <c r="D343" s="67">
        <f>SUM(E343:Y343)</f>
        <v>0</v>
      </c>
      <c r="E343" s="141">
        <f>Calculations!E104*(1+$D$246)</f>
        <v>0</v>
      </c>
      <c r="F343" s="141">
        <f>Calculations!F104*(1+$D$246)</f>
        <v>0</v>
      </c>
      <c r="G343" s="141">
        <f>Calculations!G104*(1+$D$246)</f>
        <v>0</v>
      </c>
      <c r="H343" s="141">
        <f>Calculations!H104*(1+$D$246)</f>
        <v>0</v>
      </c>
      <c r="I343" s="141">
        <f>Calculations!I104*(1+$D$246)</f>
        <v>0</v>
      </c>
      <c r="J343" s="141">
        <f>Calculations!J104*(1+$D$246)</f>
        <v>0</v>
      </c>
      <c r="K343" s="141">
        <f>Calculations!K104*(1+$D$246)</f>
        <v>0</v>
      </c>
      <c r="L343" s="141">
        <f>Calculations!L104*(1+$D$246)</f>
        <v>0</v>
      </c>
      <c r="M343" s="141">
        <f>Calculations!M104*(1+$D$246)</f>
        <v>0</v>
      </c>
      <c r="N343" s="141">
        <f>Calculations!N104*(1+$D$246)</f>
        <v>0</v>
      </c>
      <c r="O343" s="141">
        <f>Calculations!O104*(1+$D$246)</f>
        <v>0</v>
      </c>
      <c r="P343" s="141">
        <f>Calculations!P104*(1+$D$246)</f>
        <v>0</v>
      </c>
      <c r="Q343" s="141">
        <f>Calculations!Q104*(1+$D$246)</f>
        <v>0</v>
      </c>
      <c r="R343" s="141">
        <f>Calculations!R104*(1+$D$246)</f>
        <v>0</v>
      </c>
      <c r="S343" s="141">
        <f>Calculations!S104*(1+$D$246)</f>
        <v>0</v>
      </c>
      <c r="T343" s="141">
        <f>Calculations!T104*(1+$D$246)</f>
        <v>0</v>
      </c>
      <c r="U343" s="141">
        <f>Calculations!U104*(1+$D$246)</f>
        <v>0</v>
      </c>
      <c r="V343" s="141">
        <f>Calculations!V104*(1+$D$246)</f>
        <v>0</v>
      </c>
      <c r="W343" s="141">
        <f>Calculations!W104*(1+$D$246)</f>
        <v>0</v>
      </c>
      <c r="X343" s="141">
        <f>Calculations!X104*(1+$D$246)</f>
        <v>0</v>
      </c>
      <c r="Y343" s="141">
        <f>Calculations!Y104*(1+$D$246)</f>
        <v>0</v>
      </c>
      <c r="Z343" s="287"/>
    </row>
    <row r="344" spans="2:26" ht="13.5" thickBot="1" x14ac:dyDescent="0.25">
      <c r="B344" s="107"/>
      <c r="C344" s="53" t="s">
        <v>2</v>
      </c>
      <c r="D344" s="67">
        <f t="shared" si="57"/>
        <v>0</v>
      </c>
      <c r="E344" s="68">
        <f>SUM(E325:E343)</f>
        <v>0</v>
      </c>
      <c r="F344" s="69">
        <f t="shared" ref="F344:Y344" si="58">SUM(F325:F343)</f>
        <v>0</v>
      </c>
      <c r="G344" s="69">
        <f t="shared" si="58"/>
        <v>0</v>
      </c>
      <c r="H344" s="69">
        <f t="shared" si="58"/>
        <v>0</v>
      </c>
      <c r="I344" s="69">
        <f t="shared" si="58"/>
        <v>0</v>
      </c>
      <c r="J344" s="69">
        <f t="shared" si="58"/>
        <v>0</v>
      </c>
      <c r="K344" s="69">
        <f t="shared" si="58"/>
        <v>0</v>
      </c>
      <c r="L344" s="69">
        <f t="shared" si="58"/>
        <v>0</v>
      </c>
      <c r="M344" s="69">
        <f t="shared" si="58"/>
        <v>0</v>
      </c>
      <c r="N344" s="69">
        <f t="shared" si="58"/>
        <v>0</v>
      </c>
      <c r="O344" s="69">
        <f t="shared" si="58"/>
        <v>0</v>
      </c>
      <c r="P344" s="69">
        <f t="shared" si="58"/>
        <v>0</v>
      </c>
      <c r="Q344" s="69">
        <f t="shared" si="58"/>
        <v>0</v>
      </c>
      <c r="R344" s="69">
        <f t="shared" si="58"/>
        <v>0</v>
      </c>
      <c r="S344" s="69">
        <f t="shared" si="58"/>
        <v>0</v>
      </c>
      <c r="T344" s="69">
        <f t="shared" si="58"/>
        <v>0</v>
      </c>
      <c r="U344" s="69">
        <f t="shared" si="58"/>
        <v>0</v>
      </c>
      <c r="V344" s="69">
        <f t="shared" si="58"/>
        <v>0</v>
      </c>
      <c r="W344" s="69">
        <f t="shared" si="58"/>
        <v>0</v>
      </c>
      <c r="X344" s="69">
        <f t="shared" si="58"/>
        <v>0</v>
      </c>
      <c r="Y344" s="150">
        <f t="shared" si="58"/>
        <v>0</v>
      </c>
      <c r="Z344" s="287"/>
    </row>
    <row r="345" spans="2:26" ht="13.5" thickBot="1" x14ac:dyDescent="0.25">
      <c r="B345" s="107"/>
      <c r="C345" s="54" t="s">
        <v>50</v>
      </c>
      <c r="D345" s="67">
        <f t="shared" si="57"/>
        <v>0</v>
      </c>
      <c r="E345" s="77">
        <f t="shared" ref="E345:Y345" si="59">E344/(1+$D$244)^E$238</f>
        <v>0</v>
      </c>
      <c r="F345" s="77">
        <f t="shared" si="59"/>
        <v>0</v>
      </c>
      <c r="G345" s="77">
        <f t="shared" si="59"/>
        <v>0</v>
      </c>
      <c r="H345" s="77">
        <f t="shared" si="59"/>
        <v>0</v>
      </c>
      <c r="I345" s="77">
        <f t="shared" si="59"/>
        <v>0</v>
      </c>
      <c r="J345" s="77">
        <f t="shared" si="59"/>
        <v>0</v>
      </c>
      <c r="K345" s="77">
        <f t="shared" si="59"/>
        <v>0</v>
      </c>
      <c r="L345" s="77">
        <f t="shared" si="59"/>
        <v>0</v>
      </c>
      <c r="M345" s="77">
        <f t="shared" si="59"/>
        <v>0</v>
      </c>
      <c r="N345" s="77">
        <f t="shared" si="59"/>
        <v>0</v>
      </c>
      <c r="O345" s="77">
        <f t="shared" si="59"/>
        <v>0</v>
      </c>
      <c r="P345" s="77">
        <f t="shared" si="59"/>
        <v>0</v>
      </c>
      <c r="Q345" s="77">
        <f t="shared" si="59"/>
        <v>0</v>
      </c>
      <c r="R345" s="77">
        <f t="shared" si="59"/>
        <v>0</v>
      </c>
      <c r="S345" s="77">
        <f t="shared" si="59"/>
        <v>0</v>
      </c>
      <c r="T345" s="77">
        <f t="shared" si="59"/>
        <v>0</v>
      </c>
      <c r="U345" s="77">
        <f t="shared" si="59"/>
        <v>0</v>
      </c>
      <c r="V345" s="77">
        <f t="shared" si="59"/>
        <v>0</v>
      </c>
      <c r="W345" s="77">
        <f t="shared" si="59"/>
        <v>0</v>
      </c>
      <c r="X345" s="77">
        <f t="shared" si="59"/>
        <v>0</v>
      </c>
      <c r="Y345" s="149">
        <f t="shared" si="59"/>
        <v>0</v>
      </c>
      <c r="Z345" s="287"/>
    </row>
    <row r="346" spans="2:26" x14ac:dyDescent="0.2">
      <c r="B346" s="227"/>
      <c r="C346" s="294"/>
      <c r="D346" s="294"/>
      <c r="E346" s="295"/>
      <c r="F346" s="295"/>
      <c r="G346" s="295"/>
      <c r="H346" s="295"/>
      <c r="I346" s="295"/>
      <c r="J346" s="295"/>
      <c r="K346" s="295"/>
      <c r="L346" s="295"/>
      <c r="M346" s="295"/>
      <c r="N346" s="295"/>
      <c r="O346" s="295"/>
      <c r="P346" s="295"/>
      <c r="Q346" s="295"/>
      <c r="R346" s="295"/>
      <c r="S346" s="295"/>
      <c r="T346" s="295"/>
      <c r="U346" s="295"/>
      <c r="V346" s="295"/>
      <c r="W346" s="295"/>
      <c r="X346" s="295"/>
      <c r="Y346" s="293"/>
      <c r="Z346" s="290"/>
    </row>
    <row r="347" spans="2:26" x14ac:dyDescent="0.2">
      <c r="B347" s="371" t="str">
        <f>'User Input'!D140</f>
        <v xml:space="preserve">Option 4: </v>
      </c>
      <c r="C347" s="367"/>
      <c r="D347" s="372"/>
      <c r="E347" s="369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0"/>
    </row>
    <row r="348" spans="2:26" ht="13.5" thickBot="1" x14ac:dyDescent="0.25">
      <c r="B348" s="20"/>
      <c r="C348" s="59"/>
      <c r="D348" s="59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185"/>
      <c r="Z348" s="287"/>
    </row>
    <row r="349" spans="2:26" ht="13.5" thickBot="1" x14ac:dyDescent="0.25">
      <c r="B349" s="52"/>
      <c r="C349" s="29" t="s">
        <v>76</v>
      </c>
      <c r="D349" s="67">
        <f>SUM(E349:Y349)</f>
        <v>0</v>
      </c>
      <c r="E349" s="141">
        <f>Calculations!E110*(1+$D$245)</f>
        <v>0</v>
      </c>
      <c r="F349" s="141">
        <f>Calculations!F110*(1+$D$245)</f>
        <v>0</v>
      </c>
      <c r="G349" s="141">
        <f>Calculations!G110*(1+$D$245)</f>
        <v>0</v>
      </c>
      <c r="H349" s="141">
        <f>Calculations!H110*(1+$D$245)</f>
        <v>0</v>
      </c>
      <c r="I349" s="141">
        <f>Calculations!I110*(1+$D$245)</f>
        <v>0</v>
      </c>
      <c r="J349" s="141">
        <f>Calculations!J110*(1+$D$245)</f>
        <v>0</v>
      </c>
      <c r="K349" s="141">
        <f>Calculations!K110*(1+$D$245)</f>
        <v>0</v>
      </c>
      <c r="L349" s="141">
        <f>Calculations!L110*(1+$D$245)</f>
        <v>0</v>
      </c>
      <c r="M349" s="141">
        <f>Calculations!M110*(1+$D$245)</f>
        <v>0</v>
      </c>
      <c r="N349" s="141">
        <f>Calculations!N110*(1+$D$245)</f>
        <v>0</v>
      </c>
      <c r="O349" s="141">
        <f>Calculations!O110*(1+$D$245)</f>
        <v>0</v>
      </c>
      <c r="P349" s="141">
        <f>Calculations!P110*(1+$D$245)</f>
        <v>0</v>
      </c>
      <c r="Q349" s="141">
        <f>Calculations!Q110*(1+$D$245)</f>
        <v>0</v>
      </c>
      <c r="R349" s="141">
        <f>Calculations!R110*(1+$D$245)</f>
        <v>0</v>
      </c>
      <c r="S349" s="141">
        <f>Calculations!S110*(1+$D$245)</f>
        <v>0</v>
      </c>
      <c r="T349" s="141">
        <f>Calculations!T110*(1+$D$245)</f>
        <v>0</v>
      </c>
      <c r="U349" s="141">
        <f>Calculations!U110*(1+$D$245)</f>
        <v>0</v>
      </c>
      <c r="V349" s="141">
        <f>Calculations!V110*(1+$D$245)</f>
        <v>0</v>
      </c>
      <c r="W349" s="141">
        <f>Calculations!W110*(1+$D$245)</f>
        <v>0</v>
      </c>
      <c r="X349" s="141">
        <f>Calculations!X110*(1+$D$245)</f>
        <v>0</v>
      </c>
      <c r="Y349" s="141">
        <f>Calculations!Y110*(1+$D$245)</f>
        <v>0</v>
      </c>
      <c r="Z349" s="287"/>
    </row>
    <row r="350" spans="2:26" ht="13.5" thickBot="1" x14ac:dyDescent="0.25">
      <c r="B350" s="107"/>
      <c r="C350" s="137" t="str">
        <f>'User Input'!D143</f>
        <v>Maintenance Costs</v>
      </c>
      <c r="D350" s="67">
        <f>SUM(E350:Y350)</f>
        <v>0</v>
      </c>
      <c r="E350" s="141">
        <f>Calculations!E111*(1+$D$246)</f>
        <v>0</v>
      </c>
      <c r="F350" s="141">
        <f>Calculations!F111*(1+$D$246)</f>
        <v>0</v>
      </c>
      <c r="G350" s="141">
        <f>Calculations!G111*(1+$D$246)</f>
        <v>0</v>
      </c>
      <c r="H350" s="141">
        <f>Calculations!H111*(1+$D$246)</f>
        <v>0</v>
      </c>
      <c r="I350" s="141">
        <f>Calculations!I111*(1+$D$246)</f>
        <v>0</v>
      </c>
      <c r="J350" s="141">
        <f>Calculations!J111*(1+$D$246)</f>
        <v>0</v>
      </c>
      <c r="K350" s="141">
        <f>Calculations!K111*(1+$D$246)</f>
        <v>0</v>
      </c>
      <c r="L350" s="141">
        <f>Calculations!L111*(1+$D$246)</f>
        <v>0</v>
      </c>
      <c r="M350" s="141">
        <f>Calculations!M111*(1+$D$246)</f>
        <v>0</v>
      </c>
      <c r="N350" s="141">
        <f>Calculations!N111*(1+$D$246)</f>
        <v>0</v>
      </c>
      <c r="O350" s="141">
        <f>Calculations!O111*(1+$D$246)</f>
        <v>0</v>
      </c>
      <c r="P350" s="141">
        <f>Calculations!P111*(1+$D$246)</f>
        <v>0</v>
      </c>
      <c r="Q350" s="141">
        <f>Calculations!Q111*(1+$D$246)</f>
        <v>0</v>
      </c>
      <c r="R350" s="141">
        <f>Calculations!R111*(1+$D$246)</f>
        <v>0</v>
      </c>
      <c r="S350" s="141">
        <f>Calculations!S111*(1+$D$246)</f>
        <v>0</v>
      </c>
      <c r="T350" s="141">
        <f>Calculations!T111*(1+$D$246)</f>
        <v>0</v>
      </c>
      <c r="U350" s="141">
        <f>Calculations!U111*(1+$D$246)</f>
        <v>0</v>
      </c>
      <c r="V350" s="141">
        <f>Calculations!V111*(1+$D$246)</f>
        <v>0</v>
      </c>
      <c r="W350" s="141">
        <f>Calculations!W111*(1+$D$246)</f>
        <v>0</v>
      </c>
      <c r="X350" s="141">
        <f>Calculations!X111*(1+$D$246)</f>
        <v>0</v>
      </c>
      <c r="Y350" s="141">
        <f>Calculations!Y111*(1+$D$246)</f>
        <v>0</v>
      </c>
      <c r="Z350" s="287"/>
    </row>
    <row r="351" spans="2:26" ht="13.5" thickBot="1" x14ac:dyDescent="0.25">
      <c r="B351" s="107"/>
      <c r="C351" s="137" t="str">
        <f>'User Input'!D145</f>
        <v>Negative Impact on Revenue (STPIS)</v>
      </c>
      <c r="D351" s="195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46"/>
      <c r="Z351" s="287"/>
    </row>
    <row r="352" spans="2:26" ht="13.5" thickBot="1" x14ac:dyDescent="0.25">
      <c r="B352" s="107"/>
      <c r="C352" s="136" t="str">
        <f>'User Input'!D146</f>
        <v>SAIFI sustained</v>
      </c>
      <c r="D352" s="67">
        <f t="shared" ref="D352:D369" si="60">SUM(E352:Y352)</f>
        <v>0</v>
      </c>
      <c r="E352" s="259">
        <v>0</v>
      </c>
      <c r="F352" s="259">
        <v>0</v>
      </c>
      <c r="G352" s="141">
        <f>Calculations!G113*(1+$D$248)</f>
        <v>0</v>
      </c>
      <c r="H352" s="141">
        <f>Calculations!H113*(1+$D$248)</f>
        <v>0</v>
      </c>
      <c r="I352" s="141">
        <f>Calculations!I113*(1+$D$248)</f>
        <v>0</v>
      </c>
      <c r="J352" s="141">
        <f>Calculations!J113*(1+$D$248)</f>
        <v>0</v>
      </c>
      <c r="K352" s="141">
        <f>Calculations!K113*(1+$D$248)</f>
        <v>0</v>
      </c>
      <c r="L352" s="141">
        <f>Calculations!L113*(1+$D$248)</f>
        <v>0</v>
      </c>
      <c r="M352" s="141">
        <f>Calculations!M113*(1+$D$248)</f>
        <v>0</v>
      </c>
      <c r="N352" s="141">
        <f>Calculations!N113*(1+$D$248)</f>
        <v>0</v>
      </c>
      <c r="O352" s="141">
        <f>Calculations!O113*(1+$D$248)</f>
        <v>0</v>
      </c>
      <c r="P352" s="141">
        <f>Calculations!P113*(1+$D$248)</f>
        <v>0</v>
      </c>
      <c r="Q352" s="141">
        <f>Calculations!Q113*(1+$D$248)</f>
        <v>0</v>
      </c>
      <c r="R352" s="141">
        <f>Calculations!R113*(1+$D$248)</f>
        <v>0</v>
      </c>
      <c r="S352" s="141">
        <f>Calculations!S113*(1+$D$248)</f>
        <v>0</v>
      </c>
      <c r="T352" s="141">
        <f>Calculations!T113*(1+$D$248)</f>
        <v>0</v>
      </c>
      <c r="U352" s="141">
        <f>Calculations!U113*(1+$D$248)</f>
        <v>0</v>
      </c>
      <c r="V352" s="141">
        <f>Calculations!V113*(1+$D$248)</f>
        <v>0</v>
      </c>
      <c r="W352" s="141">
        <f>Calculations!W113*(1+$D$248)</f>
        <v>0</v>
      </c>
      <c r="X352" s="141">
        <f>Calculations!X113*(1+$D$248)</f>
        <v>0</v>
      </c>
      <c r="Y352" s="141">
        <f>Calculations!Y113*(1+$D$248)</f>
        <v>0</v>
      </c>
      <c r="Z352" s="287"/>
    </row>
    <row r="353" spans="1:26" ht="13.5" thickBot="1" x14ac:dyDescent="0.25">
      <c r="B353" s="107"/>
      <c r="C353" s="136" t="str">
        <f>'User Input'!D147</f>
        <v>SAIDI accidental</v>
      </c>
      <c r="D353" s="67">
        <f t="shared" si="60"/>
        <v>0</v>
      </c>
      <c r="E353" s="259">
        <v>0</v>
      </c>
      <c r="F353" s="259">
        <v>0</v>
      </c>
      <c r="G353" s="141">
        <f>Calculations!G114*(1+$D$247)</f>
        <v>0</v>
      </c>
      <c r="H353" s="141">
        <f>Calculations!H114*(1+$D$247)</f>
        <v>0</v>
      </c>
      <c r="I353" s="141">
        <f>Calculations!I114*(1+$D$247)</f>
        <v>0</v>
      </c>
      <c r="J353" s="141">
        <f>Calculations!J114*(1+$D$247)</f>
        <v>0</v>
      </c>
      <c r="K353" s="141">
        <f>Calculations!K114*(1+$D$247)</f>
        <v>0</v>
      </c>
      <c r="L353" s="141">
        <f>Calculations!L114*(1+$D$247)</f>
        <v>0</v>
      </c>
      <c r="M353" s="141">
        <f>Calculations!M114*(1+$D$247)</f>
        <v>0</v>
      </c>
      <c r="N353" s="141">
        <f>Calculations!N114*(1+$D$247)</f>
        <v>0</v>
      </c>
      <c r="O353" s="141">
        <f>Calculations!O114*(1+$D$247)</f>
        <v>0</v>
      </c>
      <c r="P353" s="141">
        <f>Calculations!P114*(1+$D$247)</f>
        <v>0</v>
      </c>
      <c r="Q353" s="141">
        <f>Calculations!Q114*(1+$D$247)</f>
        <v>0</v>
      </c>
      <c r="R353" s="141">
        <f>Calculations!R114*(1+$D$247)</f>
        <v>0</v>
      </c>
      <c r="S353" s="141">
        <f>Calculations!S114*(1+$D$247)</f>
        <v>0</v>
      </c>
      <c r="T353" s="141">
        <f>Calculations!T114*(1+$D$247)</f>
        <v>0</v>
      </c>
      <c r="U353" s="141">
        <f>Calculations!U114*(1+$D$247)</f>
        <v>0</v>
      </c>
      <c r="V353" s="141">
        <f>Calculations!V114*(1+$D$247)</f>
        <v>0</v>
      </c>
      <c r="W353" s="141">
        <f>Calculations!W114*(1+$D$247)</f>
        <v>0</v>
      </c>
      <c r="X353" s="141">
        <f>Calculations!X114*(1+$D$247)</f>
        <v>0</v>
      </c>
      <c r="Y353" s="141">
        <f>Calculations!Y114*(1+$D$247)</f>
        <v>0</v>
      </c>
      <c r="Z353" s="287"/>
    </row>
    <row r="354" spans="1:26" ht="13.5" thickBot="1" x14ac:dyDescent="0.25">
      <c r="B354" s="107"/>
      <c r="C354" s="136" t="str">
        <f>'User Input'!D148</f>
        <v>MAIFI momentary</v>
      </c>
      <c r="D354" s="67">
        <f t="shared" si="60"/>
        <v>0</v>
      </c>
      <c r="E354" s="259">
        <v>0</v>
      </c>
      <c r="F354" s="259">
        <v>0</v>
      </c>
      <c r="G354" s="141">
        <f>Calculations!G115*(1+$D$249)</f>
        <v>0</v>
      </c>
      <c r="H354" s="141">
        <f>Calculations!H115*(1+$D$249)</f>
        <v>0</v>
      </c>
      <c r="I354" s="141">
        <f>Calculations!I115*(1+$D$249)</f>
        <v>0</v>
      </c>
      <c r="J354" s="141">
        <f>Calculations!J115*(1+$D$249)</f>
        <v>0</v>
      </c>
      <c r="K354" s="141">
        <f>Calculations!K115*(1+$D$249)</f>
        <v>0</v>
      </c>
      <c r="L354" s="141">
        <f>Calculations!L115*(1+$D$249)</f>
        <v>0</v>
      </c>
      <c r="M354" s="141">
        <f>Calculations!M115*(1+$D$249)</f>
        <v>0</v>
      </c>
      <c r="N354" s="141">
        <f>Calculations!N115*(1+$D$249)</f>
        <v>0</v>
      </c>
      <c r="O354" s="141">
        <f>Calculations!O115*(1+$D$249)</f>
        <v>0</v>
      </c>
      <c r="P354" s="141">
        <f>Calculations!P115*(1+$D$249)</f>
        <v>0</v>
      </c>
      <c r="Q354" s="141">
        <f>Calculations!Q115*(1+$D$249)</f>
        <v>0</v>
      </c>
      <c r="R354" s="141">
        <f>Calculations!R115*(1+$D$249)</f>
        <v>0</v>
      </c>
      <c r="S354" s="141">
        <f>Calculations!S115*(1+$D$249)</f>
        <v>0</v>
      </c>
      <c r="T354" s="141">
        <f>Calculations!T115*(1+$D$249)</f>
        <v>0</v>
      </c>
      <c r="U354" s="141">
        <f>Calculations!U115*(1+$D$249)</f>
        <v>0</v>
      </c>
      <c r="V354" s="141">
        <f>Calculations!V115*(1+$D$249)</f>
        <v>0</v>
      </c>
      <c r="W354" s="141">
        <f>Calculations!W115*(1+$D$249)</f>
        <v>0</v>
      </c>
      <c r="X354" s="141">
        <f>Calculations!X115*(1+$D$249)</f>
        <v>0</v>
      </c>
      <c r="Y354" s="141">
        <f>Calculations!Y115*(1+$D$249)</f>
        <v>0</v>
      </c>
      <c r="Z354" s="287"/>
    </row>
    <row r="355" spans="1:26" ht="13.5" thickBot="1" x14ac:dyDescent="0.25">
      <c r="B355" s="107"/>
      <c r="C355" s="136" t="str">
        <f>'User Input'!D149</f>
        <v>Call centre response</v>
      </c>
      <c r="D355" s="67">
        <f t="shared" si="60"/>
        <v>0</v>
      </c>
      <c r="E355" s="259">
        <v>0</v>
      </c>
      <c r="F355" s="259">
        <v>0</v>
      </c>
      <c r="G355" s="141">
        <f>Calculations!G116*(1+$D$246)</f>
        <v>0</v>
      </c>
      <c r="H355" s="141">
        <f>Calculations!H116*(1+$D$246)</f>
        <v>0</v>
      </c>
      <c r="I355" s="141">
        <f>Calculations!I116*(1+$D$246)</f>
        <v>0</v>
      </c>
      <c r="J355" s="141">
        <f>Calculations!J116*(1+$D$246)</f>
        <v>0</v>
      </c>
      <c r="K355" s="141">
        <f>Calculations!K116*(1+$D$246)</f>
        <v>0</v>
      </c>
      <c r="L355" s="141">
        <f>Calculations!L116*(1+$D$246)</f>
        <v>0</v>
      </c>
      <c r="M355" s="141">
        <f>Calculations!M116*(1+$D$246)</f>
        <v>0</v>
      </c>
      <c r="N355" s="141">
        <f>Calculations!N116*(1+$D$246)</f>
        <v>0</v>
      </c>
      <c r="O355" s="141">
        <f>Calculations!O116*(1+$D$246)</f>
        <v>0</v>
      </c>
      <c r="P355" s="141">
        <f>Calculations!P116*(1+$D$246)</f>
        <v>0</v>
      </c>
      <c r="Q355" s="141">
        <f>Calculations!Q116*(1+$D$246)</f>
        <v>0</v>
      </c>
      <c r="R355" s="141">
        <f>Calculations!R116*(1+$D$246)</f>
        <v>0</v>
      </c>
      <c r="S355" s="141">
        <f>Calculations!S116*(1+$D$246)</f>
        <v>0</v>
      </c>
      <c r="T355" s="141">
        <f>Calculations!T116*(1+$D$246)</f>
        <v>0</v>
      </c>
      <c r="U355" s="141">
        <f>Calculations!U116*(1+$D$246)</f>
        <v>0</v>
      </c>
      <c r="V355" s="141">
        <f>Calculations!V116*(1+$D$246)</f>
        <v>0</v>
      </c>
      <c r="W355" s="141">
        <f>Calculations!W116*(1+$D$246)</f>
        <v>0</v>
      </c>
      <c r="X355" s="141">
        <f>Calculations!X116*(1+$D$246)</f>
        <v>0</v>
      </c>
      <c r="Y355" s="141">
        <f>Calculations!Y116*(1+$D$246)</f>
        <v>0</v>
      </c>
      <c r="Z355" s="287"/>
    </row>
    <row r="356" spans="1:26" ht="13.5" thickBot="1" x14ac:dyDescent="0.25">
      <c r="A356" s="143"/>
      <c r="B356" s="144"/>
      <c r="C356" s="137" t="str">
        <f>'User Input'!D151</f>
        <v>Network Outage Costs</v>
      </c>
      <c r="D356" s="67">
        <f t="shared" si="60"/>
        <v>0</v>
      </c>
      <c r="E356" s="141">
        <f>Calculations!E117*(1+$D$246)</f>
        <v>0</v>
      </c>
      <c r="F356" s="141">
        <f>Calculations!F117*(1+$D$246)</f>
        <v>0</v>
      </c>
      <c r="G356" s="141">
        <f>Calculations!G117*(1+$D$246)</f>
        <v>0</v>
      </c>
      <c r="H356" s="141">
        <f>Calculations!H117*(1+$D$246)</f>
        <v>0</v>
      </c>
      <c r="I356" s="141">
        <f>Calculations!I117*(1+$D$246)</f>
        <v>0</v>
      </c>
      <c r="J356" s="141">
        <f>Calculations!J117*(1+$D$246)</f>
        <v>0</v>
      </c>
      <c r="K356" s="141">
        <f>Calculations!K117*(1+$D$246)</f>
        <v>0</v>
      </c>
      <c r="L356" s="141">
        <f>Calculations!L117*(1+$D$246)</f>
        <v>0</v>
      </c>
      <c r="M356" s="141">
        <f>Calculations!M117*(1+$D$246)</f>
        <v>0</v>
      </c>
      <c r="N356" s="141">
        <f>Calculations!N117*(1+$D$246)</f>
        <v>0</v>
      </c>
      <c r="O356" s="141">
        <f>Calculations!O117*(1+$D$246)</f>
        <v>0</v>
      </c>
      <c r="P356" s="141">
        <f>Calculations!P117*(1+$D$246)</f>
        <v>0</v>
      </c>
      <c r="Q356" s="141">
        <f>Calculations!Q117*(1+$D$246)</f>
        <v>0</v>
      </c>
      <c r="R356" s="141">
        <f>Calculations!R117*(1+$D$246)</f>
        <v>0</v>
      </c>
      <c r="S356" s="141">
        <f>Calculations!S117*(1+$D$246)</f>
        <v>0</v>
      </c>
      <c r="T356" s="141">
        <f>Calculations!T117*(1+$D$246)</f>
        <v>0</v>
      </c>
      <c r="U356" s="141">
        <f>Calculations!U117*(1+$D$246)</f>
        <v>0</v>
      </c>
      <c r="V356" s="141">
        <f>Calculations!V117*(1+$D$246)</f>
        <v>0</v>
      </c>
      <c r="W356" s="141">
        <f>Calculations!W117*(1+$D$246)</f>
        <v>0</v>
      </c>
      <c r="X356" s="141">
        <f>Calculations!X117*(1+$D$246)</f>
        <v>0</v>
      </c>
      <c r="Y356" s="141">
        <f>Calculations!Y117*(1+$D$246)</f>
        <v>0</v>
      </c>
      <c r="Z356" s="287"/>
    </row>
    <row r="357" spans="1:26" ht="13.5" thickBot="1" x14ac:dyDescent="0.25">
      <c r="A357" s="143"/>
      <c r="B357" s="144"/>
      <c r="C357" s="137" t="str">
        <f>'User Input'!D155</f>
        <v>Loss of F Factor Benefit</v>
      </c>
      <c r="D357" s="67">
        <f t="shared" si="60"/>
        <v>0</v>
      </c>
      <c r="E357" s="141">
        <f>Calculations!E118*(1+$D$246)</f>
        <v>0</v>
      </c>
      <c r="F357" s="141">
        <f>Calculations!F118*(1+$D$246)</f>
        <v>0</v>
      </c>
      <c r="G357" s="141">
        <f>Calculations!G118*(1+$D$246)</f>
        <v>0</v>
      </c>
      <c r="H357" s="141">
        <f>Calculations!H118*(1+$D$246)</f>
        <v>0</v>
      </c>
      <c r="I357" s="141">
        <f>Calculations!I118*(1+$D$246)</f>
        <v>0</v>
      </c>
      <c r="J357" s="141">
        <f>Calculations!J118*(1+$D$246)</f>
        <v>0</v>
      </c>
      <c r="K357" s="141">
        <f>Calculations!K118*(1+$D$246)</f>
        <v>0</v>
      </c>
      <c r="L357" s="141">
        <f>Calculations!L118*(1+$D$246)</f>
        <v>0</v>
      </c>
      <c r="M357" s="141">
        <f>Calculations!M118*(1+$D$246)</f>
        <v>0</v>
      </c>
      <c r="N357" s="141">
        <f>Calculations!N118*(1+$D$246)</f>
        <v>0</v>
      </c>
      <c r="O357" s="141">
        <f>Calculations!O118*(1+$D$246)</f>
        <v>0</v>
      </c>
      <c r="P357" s="141">
        <f>Calculations!P118*(1+$D$246)</f>
        <v>0</v>
      </c>
      <c r="Q357" s="141">
        <f>Calculations!Q118*(1+$D$246)</f>
        <v>0</v>
      </c>
      <c r="R357" s="141">
        <f>Calculations!R118*(1+$D$246)</f>
        <v>0</v>
      </c>
      <c r="S357" s="141">
        <f>Calculations!S118*(1+$D$246)</f>
        <v>0</v>
      </c>
      <c r="T357" s="141">
        <f>Calculations!T118*(1+$D$246)</f>
        <v>0</v>
      </c>
      <c r="U357" s="141">
        <f>Calculations!U118*(1+$D$246)</f>
        <v>0</v>
      </c>
      <c r="V357" s="141">
        <f>Calculations!V118*(1+$D$246)</f>
        <v>0</v>
      </c>
      <c r="W357" s="141">
        <f>Calculations!W118*(1+$D$246)</f>
        <v>0</v>
      </c>
      <c r="X357" s="141">
        <f>Calculations!X118*(1+$D$246)</f>
        <v>0</v>
      </c>
      <c r="Y357" s="141">
        <f>Calculations!Y118*(1+$D$246)</f>
        <v>0</v>
      </c>
      <c r="Z357" s="287"/>
    </row>
    <row r="358" spans="1:26" ht="13.5" thickBot="1" x14ac:dyDescent="0.25">
      <c r="B358" s="107"/>
      <c r="C358" s="137" t="str">
        <f>'User Input'!D158</f>
        <v>Cost 1</v>
      </c>
      <c r="D358" s="67">
        <f t="shared" si="60"/>
        <v>0</v>
      </c>
      <c r="E358" s="141">
        <f>Calculations!E119*(1+$D$246)</f>
        <v>0</v>
      </c>
      <c r="F358" s="141">
        <f>Calculations!F119*(1+$D$246)</f>
        <v>0</v>
      </c>
      <c r="G358" s="141">
        <f>Calculations!G119*(1+$D$246)</f>
        <v>0</v>
      </c>
      <c r="H358" s="141">
        <f>Calculations!H119*(1+$D$246)</f>
        <v>0</v>
      </c>
      <c r="I358" s="141">
        <f>Calculations!I119*(1+$D$246)</f>
        <v>0</v>
      </c>
      <c r="J358" s="141">
        <f>Calculations!J119*(1+$D$246)</f>
        <v>0</v>
      </c>
      <c r="K358" s="141">
        <f>Calculations!K119*(1+$D$246)</f>
        <v>0</v>
      </c>
      <c r="L358" s="141">
        <f>Calculations!L119*(1+$D$246)</f>
        <v>0</v>
      </c>
      <c r="M358" s="141">
        <f>Calculations!M119*(1+$D$246)</f>
        <v>0</v>
      </c>
      <c r="N358" s="141">
        <f>Calculations!N119*(1+$D$246)</f>
        <v>0</v>
      </c>
      <c r="O358" s="141">
        <f>Calculations!O119*(1+$D$246)</f>
        <v>0</v>
      </c>
      <c r="P358" s="141">
        <f>Calculations!P119*(1+$D$246)</f>
        <v>0</v>
      </c>
      <c r="Q358" s="141">
        <f>Calculations!Q119*(1+$D$246)</f>
        <v>0</v>
      </c>
      <c r="R358" s="141">
        <f>Calculations!R119*(1+$D$246)</f>
        <v>0</v>
      </c>
      <c r="S358" s="141">
        <f>Calculations!S119*(1+$D$246)</f>
        <v>0</v>
      </c>
      <c r="T358" s="141">
        <f>Calculations!T119*(1+$D$246)</f>
        <v>0</v>
      </c>
      <c r="U358" s="141">
        <f>Calculations!U119*(1+$D$246)</f>
        <v>0</v>
      </c>
      <c r="V358" s="141">
        <f>Calculations!V119*(1+$D$246)</f>
        <v>0</v>
      </c>
      <c r="W358" s="141">
        <f>Calculations!W119*(1+$D$246)</f>
        <v>0</v>
      </c>
      <c r="X358" s="141">
        <f>Calculations!X119*(1+$D$246)</f>
        <v>0</v>
      </c>
      <c r="Y358" s="141">
        <f>Calculations!Y119*(1+$D$246)</f>
        <v>0</v>
      </c>
      <c r="Z358" s="287"/>
    </row>
    <row r="359" spans="1:26" ht="13.5" thickBot="1" x14ac:dyDescent="0.25">
      <c r="B359" s="107"/>
      <c r="C359" s="137" t="str">
        <f>'User Input'!D159</f>
        <v>Cost 2</v>
      </c>
      <c r="D359" s="67">
        <f t="shared" si="60"/>
        <v>0</v>
      </c>
      <c r="E359" s="141">
        <f>Calculations!E120*(1+$D$246)</f>
        <v>0</v>
      </c>
      <c r="F359" s="141">
        <f>Calculations!F120*(1+$D$246)</f>
        <v>0</v>
      </c>
      <c r="G359" s="141">
        <f>Calculations!G120*(1+$D$246)</f>
        <v>0</v>
      </c>
      <c r="H359" s="141">
        <f>Calculations!H120*(1+$D$246)</f>
        <v>0</v>
      </c>
      <c r="I359" s="141">
        <f>Calculations!I120*(1+$D$246)</f>
        <v>0</v>
      </c>
      <c r="J359" s="141">
        <f>Calculations!J120*(1+$D$246)</f>
        <v>0</v>
      </c>
      <c r="K359" s="141">
        <f>Calculations!K120*(1+$D$246)</f>
        <v>0</v>
      </c>
      <c r="L359" s="141">
        <f>Calculations!L120*(1+$D$246)</f>
        <v>0</v>
      </c>
      <c r="M359" s="141">
        <f>Calculations!M120*(1+$D$246)</f>
        <v>0</v>
      </c>
      <c r="N359" s="141">
        <f>Calculations!N120*(1+$D$246)</f>
        <v>0</v>
      </c>
      <c r="O359" s="141">
        <f>Calculations!O120*(1+$D$246)</f>
        <v>0</v>
      </c>
      <c r="P359" s="141">
        <f>Calculations!P120*(1+$D$246)</f>
        <v>0</v>
      </c>
      <c r="Q359" s="141">
        <f>Calculations!Q120*(1+$D$246)</f>
        <v>0</v>
      </c>
      <c r="R359" s="141">
        <f>Calculations!R120*(1+$D$246)</f>
        <v>0</v>
      </c>
      <c r="S359" s="141">
        <f>Calculations!S120*(1+$D$246)</f>
        <v>0</v>
      </c>
      <c r="T359" s="141">
        <f>Calculations!T120*(1+$D$246)</f>
        <v>0</v>
      </c>
      <c r="U359" s="141">
        <f>Calculations!U120*(1+$D$246)</f>
        <v>0</v>
      </c>
      <c r="V359" s="141">
        <f>Calculations!V120*(1+$D$246)</f>
        <v>0</v>
      </c>
      <c r="W359" s="141">
        <f>Calculations!W120*(1+$D$246)</f>
        <v>0</v>
      </c>
      <c r="X359" s="141">
        <f>Calculations!X120*(1+$D$246)</f>
        <v>0</v>
      </c>
      <c r="Y359" s="141">
        <f>Calculations!Y120*(1+$D$246)</f>
        <v>0</v>
      </c>
      <c r="Z359" s="287"/>
    </row>
    <row r="360" spans="1:26" ht="13.5" thickBot="1" x14ac:dyDescent="0.25">
      <c r="B360" s="107"/>
      <c r="C360" s="137" t="str">
        <f>'User Input'!D160</f>
        <v>Cost 3</v>
      </c>
      <c r="D360" s="67">
        <f t="shared" si="60"/>
        <v>0</v>
      </c>
      <c r="E360" s="141">
        <f>Calculations!E121*(1+$D$246)</f>
        <v>0</v>
      </c>
      <c r="F360" s="141">
        <f>Calculations!F121*(1+$D$246)</f>
        <v>0</v>
      </c>
      <c r="G360" s="141">
        <f>Calculations!G121*(1+$D$246)</f>
        <v>0</v>
      </c>
      <c r="H360" s="141">
        <f>Calculations!H121*(1+$D$246)</f>
        <v>0</v>
      </c>
      <c r="I360" s="141">
        <f>Calculations!I121*(1+$D$246)</f>
        <v>0</v>
      </c>
      <c r="J360" s="141">
        <f>Calculations!J121*(1+$D$246)</f>
        <v>0</v>
      </c>
      <c r="K360" s="141">
        <f>Calculations!K121*(1+$D$246)</f>
        <v>0</v>
      </c>
      <c r="L360" s="141">
        <f>Calculations!L121*(1+$D$246)</f>
        <v>0</v>
      </c>
      <c r="M360" s="141">
        <f>Calculations!M121*(1+$D$246)</f>
        <v>0</v>
      </c>
      <c r="N360" s="141">
        <f>Calculations!N121*(1+$D$246)</f>
        <v>0</v>
      </c>
      <c r="O360" s="141">
        <f>Calculations!O121*(1+$D$246)</f>
        <v>0</v>
      </c>
      <c r="P360" s="141">
        <f>Calculations!P121*(1+$D$246)</f>
        <v>0</v>
      </c>
      <c r="Q360" s="141">
        <f>Calculations!Q121*(1+$D$246)</f>
        <v>0</v>
      </c>
      <c r="R360" s="141">
        <f>Calculations!R121*(1+$D$246)</f>
        <v>0</v>
      </c>
      <c r="S360" s="141">
        <f>Calculations!S121*(1+$D$246)</f>
        <v>0</v>
      </c>
      <c r="T360" s="141">
        <f>Calculations!T121*(1+$D$246)</f>
        <v>0</v>
      </c>
      <c r="U360" s="141">
        <f>Calculations!U121*(1+$D$246)</f>
        <v>0</v>
      </c>
      <c r="V360" s="141">
        <f>Calculations!V121*(1+$D$246)</f>
        <v>0</v>
      </c>
      <c r="W360" s="141">
        <f>Calculations!W121*(1+$D$246)</f>
        <v>0</v>
      </c>
      <c r="X360" s="141">
        <f>Calculations!X121*(1+$D$246)</f>
        <v>0</v>
      </c>
      <c r="Y360" s="141">
        <f>Calculations!Y121*(1+$D$246)</f>
        <v>0</v>
      </c>
      <c r="Z360" s="287"/>
    </row>
    <row r="361" spans="1:26" ht="13.5" thickBot="1" x14ac:dyDescent="0.25">
      <c r="B361" s="107"/>
      <c r="C361" s="137" t="str">
        <f>'User Input'!D161</f>
        <v>Cost 4</v>
      </c>
      <c r="D361" s="67">
        <f t="shared" si="60"/>
        <v>0</v>
      </c>
      <c r="E361" s="141">
        <f>Calculations!E122*(1+$D$246)</f>
        <v>0</v>
      </c>
      <c r="F361" s="141">
        <f>Calculations!F122*(1+$D$246)</f>
        <v>0</v>
      </c>
      <c r="G361" s="141">
        <f>Calculations!G122*(1+$D$246)</f>
        <v>0</v>
      </c>
      <c r="H361" s="141">
        <f>Calculations!H122*(1+$D$246)</f>
        <v>0</v>
      </c>
      <c r="I361" s="141">
        <f>Calculations!I122*(1+$D$246)</f>
        <v>0</v>
      </c>
      <c r="J361" s="141">
        <f>Calculations!J122*(1+$D$246)</f>
        <v>0</v>
      </c>
      <c r="K361" s="141">
        <f>Calculations!K122*(1+$D$246)</f>
        <v>0</v>
      </c>
      <c r="L361" s="141">
        <f>Calculations!L122*(1+$D$246)</f>
        <v>0</v>
      </c>
      <c r="M361" s="141">
        <f>Calculations!M122*(1+$D$246)</f>
        <v>0</v>
      </c>
      <c r="N361" s="141">
        <f>Calculations!N122*(1+$D$246)</f>
        <v>0</v>
      </c>
      <c r="O361" s="141">
        <f>Calculations!O122*(1+$D$246)</f>
        <v>0</v>
      </c>
      <c r="P361" s="141">
        <f>Calculations!P122*(1+$D$246)</f>
        <v>0</v>
      </c>
      <c r="Q361" s="141">
        <f>Calculations!Q122*(1+$D$246)</f>
        <v>0</v>
      </c>
      <c r="R361" s="141">
        <f>Calculations!R122*(1+$D$246)</f>
        <v>0</v>
      </c>
      <c r="S361" s="141">
        <f>Calculations!S122*(1+$D$246)</f>
        <v>0</v>
      </c>
      <c r="T361" s="141">
        <f>Calculations!T122*(1+$D$246)</f>
        <v>0</v>
      </c>
      <c r="U361" s="141">
        <f>Calculations!U122*(1+$D$246)</f>
        <v>0</v>
      </c>
      <c r="V361" s="141">
        <f>Calculations!V122*(1+$D$246)</f>
        <v>0</v>
      </c>
      <c r="W361" s="141">
        <f>Calculations!W122*(1+$D$246)</f>
        <v>0</v>
      </c>
      <c r="X361" s="141">
        <f>Calculations!X122*(1+$D$246)</f>
        <v>0</v>
      </c>
      <c r="Y361" s="141">
        <f>Calculations!Y122*(1+$D$246)</f>
        <v>0</v>
      </c>
      <c r="Z361" s="287"/>
    </row>
    <row r="362" spans="1:26" ht="13.5" thickBot="1" x14ac:dyDescent="0.25">
      <c r="B362" s="107"/>
      <c r="C362" s="137" t="str">
        <f>'User Input'!D162</f>
        <v>Cost 5</v>
      </c>
      <c r="D362" s="67">
        <f t="shared" si="60"/>
        <v>0</v>
      </c>
      <c r="E362" s="141">
        <f>Calculations!E123*(1+$D$246)</f>
        <v>0</v>
      </c>
      <c r="F362" s="141">
        <f>Calculations!F123*(1+$D$246)</f>
        <v>0</v>
      </c>
      <c r="G362" s="141">
        <f>Calculations!G123*(1+$D$246)</f>
        <v>0</v>
      </c>
      <c r="H362" s="141">
        <f>Calculations!H123*(1+$D$246)</f>
        <v>0</v>
      </c>
      <c r="I362" s="141">
        <f>Calculations!I123*(1+$D$246)</f>
        <v>0</v>
      </c>
      <c r="J362" s="141">
        <f>Calculations!J123*(1+$D$246)</f>
        <v>0</v>
      </c>
      <c r="K362" s="141">
        <f>Calculations!K123*(1+$D$246)</f>
        <v>0</v>
      </c>
      <c r="L362" s="141">
        <f>Calculations!L123*(1+$D$246)</f>
        <v>0</v>
      </c>
      <c r="M362" s="141">
        <f>Calculations!M123*(1+$D$246)</f>
        <v>0</v>
      </c>
      <c r="N362" s="141">
        <f>Calculations!N123*(1+$D$246)</f>
        <v>0</v>
      </c>
      <c r="O362" s="141">
        <f>Calculations!O123*(1+$D$246)</f>
        <v>0</v>
      </c>
      <c r="P362" s="141">
        <f>Calculations!P123*(1+$D$246)</f>
        <v>0</v>
      </c>
      <c r="Q362" s="141">
        <f>Calculations!Q123*(1+$D$246)</f>
        <v>0</v>
      </c>
      <c r="R362" s="141">
        <f>Calculations!R123*(1+$D$246)</f>
        <v>0</v>
      </c>
      <c r="S362" s="141">
        <f>Calculations!S123*(1+$D$246)</f>
        <v>0</v>
      </c>
      <c r="T362" s="141">
        <f>Calculations!T123*(1+$D$246)</f>
        <v>0</v>
      </c>
      <c r="U362" s="141">
        <f>Calculations!U123*(1+$D$246)</f>
        <v>0</v>
      </c>
      <c r="V362" s="141">
        <f>Calculations!V123*(1+$D$246)</f>
        <v>0</v>
      </c>
      <c r="W362" s="141">
        <f>Calculations!W123*(1+$D$246)</f>
        <v>0</v>
      </c>
      <c r="X362" s="141">
        <f>Calculations!X123*(1+$D$246)</f>
        <v>0</v>
      </c>
      <c r="Y362" s="141">
        <f>Calculations!Y123*(1+$D$246)</f>
        <v>0</v>
      </c>
      <c r="Z362" s="287"/>
    </row>
    <row r="363" spans="1:26" ht="13.5" thickBot="1" x14ac:dyDescent="0.25">
      <c r="B363" s="107"/>
      <c r="C363" s="137" t="str">
        <f>'User Input'!D163</f>
        <v>Risk 1</v>
      </c>
      <c r="D363" s="67">
        <f>SUM(E363:Y363)</f>
        <v>0</v>
      </c>
      <c r="E363" s="141">
        <f>Calculations!E124*(1+$D$246)</f>
        <v>0</v>
      </c>
      <c r="F363" s="141">
        <f>Calculations!F124*(1+$D$246)</f>
        <v>0</v>
      </c>
      <c r="G363" s="141">
        <f>Calculations!G124*(1+$D$246)</f>
        <v>0</v>
      </c>
      <c r="H363" s="141">
        <f>Calculations!H124*(1+$D$246)</f>
        <v>0</v>
      </c>
      <c r="I363" s="141">
        <f>Calculations!I124*(1+$D$246)</f>
        <v>0</v>
      </c>
      <c r="J363" s="141">
        <f>Calculations!J124*(1+$D$246)</f>
        <v>0</v>
      </c>
      <c r="K363" s="141">
        <f>Calculations!K124*(1+$D$246)</f>
        <v>0</v>
      </c>
      <c r="L363" s="141">
        <f>Calculations!L124*(1+$D$246)</f>
        <v>0</v>
      </c>
      <c r="M363" s="141">
        <f>Calculations!M124*(1+$D$246)</f>
        <v>0</v>
      </c>
      <c r="N363" s="141">
        <f>Calculations!N124*(1+$D$246)</f>
        <v>0</v>
      </c>
      <c r="O363" s="141">
        <f>Calculations!O124*(1+$D$246)</f>
        <v>0</v>
      </c>
      <c r="P363" s="141">
        <f>Calculations!P124*(1+$D$246)</f>
        <v>0</v>
      </c>
      <c r="Q363" s="141">
        <f>Calculations!Q124*(1+$D$246)</f>
        <v>0</v>
      </c>
      <c r="R363" s="141">
        <f>Calculations!R124*(1+$D$246)</f>
        <v>0</v>
      </c>
      <c r="S363" s="141">
        <f>Calculations!S124*(1+$D$246)</f>
        <v>0</v>
      </c>
      <c r="T363" s="141">
        <f>Calculations!T124*(1+$D$246)</f>
        <v>0</v>
      </c>
      <c r="U363" s="141">
        <f>Calculations!U124*(1+$D$246)</f>
        <v>0</v>
      </c>
      <c r="V363" s="141">
        <f>Calculations!V124*(1+$D$246)</f>
        <v>0</v>
      </c>
      <c r="W363" s="141">
        <f>Calculations!W124*(1+$D$246)</f>
        <v>0</v>
      </c>
      <c r="X363" s="141">
        <f>Calculations!X124*(1+$D$246)</f>
        <v>0</v>
      </c>
      <c r="Y363" s="141">
        <f>Calculations!Y124*(1+$D$246)</f>
        <v>0</v>
      </c>
      <c r="Z363" s="287"/>
    </row>
    <row r="364" spans="1:26" ht="13.5" thickBot="1" x14ac:dyDescent="0.25">
      <c r="B364" s="107"/>
      <c r="C364" s="137" t="str">
        <f>'User Input'!D164</f>
        <v>Risk 2</v>
      </c>
      <c r="D364" s="67">
        <f>SUM(E364:Y364)</f>
        <v>0</v>
      </c>
      <c r="E364" s="141">
        <f>Calculations!E125*(1+$D$246)</f>
        <v>0</v>
      </c>
      <c r="F364" s="141">
        <f>Calculations!F125*(1+$D$246)</f>
        <v>0</v>
      </c>
      <c r="G364" s="141">
        <f>Calculations!G125*(1+$D$246)</f>
        <v>0</v>
      </c>
      <c r="H364" s="141">
        <f>Calculations!H125*(1+$D$246)</f>
        <v>0</v>
      </c>
      <c r="I364" s="141">
        <f>Calculations!I125*(1+$D$246)</f>
        <v>0</v>
      </c>
      <c r="J364" s="141">
        <f>Calculations!J125*(1+$D$246)</f>
        <v>0</v>
      </c>
      <c r="K364" s="141">
        <f>Calculations!K125*(1+$D$246)</f>
        <v>0</v>
      </c>
      <c r="L364" s="141">
        <f>Calculations!L125*(1+$D$246)</f>
        <v>0</v>
      </c>
      <c r="M364" s="141">
        <f>Calculations!M125*(1+$D$246)</f>
        <v>0</v>
      </c>
      <c r="N364" s="141">
        <f>Calculations!N125*(1+$D$246)</f>
        <v>0</v>
      </c>
      <c r="O364" s="141">
        <f>Calculations!O125*(1+$D$246)</f>
        <v>0</v>
      </c>
      <c r="P364" s="141">
        <f>Calculations!P125*(1+$D$246)</f>
        <v>0</v>
      </c>
      <c r="Q364" s="141">
        <f>Calculations!Q125*(1+$D$246)</f>
        <v>0</v>
      </c>
      <c r="R364" s="141">
        <f>Calculations!R125*(1+$D$246)</f>
        <v>0</v>
      </c>
      <c r="S364" s="141">
        <f>Calculations!S125*(1+$D$246)</f>
        <v>0</v>
      </c>
      <c r="T364" s="141">
        <f>Calculations!T125*(1+$D$246)</f>
        <v>0</v>
      </c>
      <c r="U364" s="141">
        <f>Calculations!U125*(1+$D$246)</f>
        <v>0</v>
      </c>
      <c r="V364" s="141">
        <f>Calculations!V125*(1+$D$246)</f>
        <v>0</v>
      </c>
      <c r="W364" s="141">
        <f>Calculations!W125*(1+$D$246)</f>
        <v>0</v>
      </c>
      <c r="X364" s="141">
        <f>Calculations!X125*(1+$D$246)</f>
        <v>0</v>
      </c>
      <c r="Y364" s="141">
        <f>Calculations!Y125*(1+$D$246)</f>
        <v>0</v>
      </c>
      <c r="Z364" s="287"/>
    </row>
    <row r="365" spans="1:26" ht="13.5" thickBot="1" x14ac:dyDescent="0.25">
      <c r="B365" s="107"/>
      <c r="C365" s="137" t="str">
        <f>'User Input'!D165</f>
        <v>Risk 3</v>
      </c>
      <c r="D365" s="67">
        <f>SUM(E365:Y365)</f>
        <v>0</v>
      </c>
      <c r="E365" s="141">
        <f>Calculations!E126*(1+$D$246)</f>
        <v>0</v>
      </c>
      <c r="F365" s="141">
        <f>Calculations!F126*(1+$D$246)</f>
        <v>0</v>
      </c>
      <c r="G365" s="141">
        <f>Calculations!G126*(1+$D$246)</f>
        <v>0</v>
      </c>
      <c r="H365" s="141">
        <f>Calculations!H126*(1+$D$246)</f>
        <v>0</v>
      </c>
      <c r="I365" s="141">
        <f>Calculations!I126*(1+$D$246)</f>
        <v>0</v>
      </c>
      <c r="J365" s="141">
        <f>Calculations!J126*(1+$D$246)</f>
        <v>0</v>
      </c>
      <c r="K365" s="141">
        <f>Calculations!K126*(1+$D$246)</f>
        <v>0</v>
      </c>
      <c r="L365" s="141">
        <f>Calculations!L126*(1+$D$246)</f>
        <v>0</v>
      </c>
      <c r="M365" s="141">
        <f>Calculations!M126*(1+$D$246)</f>
        <v>0</v>
      </c>
      <c r="N365" s="141">
        <f>Calculations!N126*(1+$D$246)</f>
        <v>0</v>
      </c>
      <c r="O365" s="141">
        <f>Calculations!O126*(1+$D$246)</f>
        <v>0</v>
      </c>
      <c r="P365" s="141">
        <f>Calculations!P126*(1+$D$246)</f>
        <v>0</v>
      </c>
      <c r="Q365" s="141">
        <f>Calculations!Q126*(1+$D$246)</f>
        <v>0</v>
      </c>
      <c r="R365" s="141">
        <f>Calculations!R126*(1+$D$246)</f>
        <v>0</v>
      </c>
      <c r="S365" s="141">
        <f>Calculations!S126*(1+$D$246)</f>
        <v>0</v>
      </c>
      <c r="T365" s="141">
        <f>Calculations!T126*(1+$D$246)</f>
        <v>0</v>
      </c>
      <c r="U365" s="141">
        <f>Calculations!U126*(1+$D$246)</f>
        <v>0</v>
      </c>
      <c r="V365" s="141">
        <f>Calculations!V126*(1+$D$246)</f>
        <v>0</v>
      </c>
      <c r="W365" s="141">
        <f>Calculations!W126*(1+$D$246)</f>
        <v>0</v>
      </c>
      <c r="X365" s="141">
        <f>Calculations!X126*(1+$D$246)</f>
        <v>0</v>
      </c>
      <c r="Y365" s="141">
        <f>Calculations!Y126*(1+$D$246)</f>
        <v>0</v>
      </c>
      <c r="Z365" s="287"/>
    </row>
    <row r="366" spans="1:26" ht="13.5" thickBot="1" x14ac:dyDescent="0.25">
      <c r="B366" s="107"/>
      <c r="C366" s="137" t="str">
        <f>'User Input'!D166</f>
        <v>Risk 4</v>
      </c>
      <c r="D366" s="67">
        <f>SUM(E366:Y366)</f>
        <v>0</v>
      </c>
      <c r="E366" s="141">
        <f>Calculations!E127*(1+$D$246)</f>
        <v>0</v>
      </c>
      <c r="F366" s="141">
        <f>Calculations!F127*(1+$D$246)</f>
        <v>0</v>
      </c>
      <c r="G366" s="141">
        <f>Calculations!G127*(1+$D$246)</f>
        <v>0</v>
      </c>
      <c r="H366" s="141">
        <f>Calculations!H127*(1+$D$246)</f>
        <v>0</v>
      </c>
      <c r="I366" s="141">
        <f>Calculations!I127*(1+$D$246)</f>
        <v>0</v>
      </c>
      <c r="J366" s="141">
        <f>Calculations!J127*(1+$D$246)</f>
        <v>0</v>
      </c>
      <c r="K366" s="141">
        <f>Calculations!K127*(1+$D$246)</f>
        <v>0</v>
      </c>
      <c r="L366" s="141">
        <f>Calculations!L127*(1+$D$246)</f>
        <v>0</v>
      </c>
      <c r="M366" s="141">
        <f>Calculations!M127*(1+$D$246)</f>
        <v>0</v>
      </c>
      <c r="N366" s="141">
        <f>Calculations!N127*(1+$D$246)</f>
        <v>0</v>
      </c>
      <c r="O366" s="141">
        <f>Calculations!O127*(1+$D$246)</f>
        <v>0</v>
      </c>
      <c r="P366" s="141">
        <f>Calculations!P127*(1+$D$246)</f>
        <v>0</v>
      </c>
      <c r="Q366" s="141">
        <f>Calculations!Q127*(1+$D$246)</f>
        <v>0</v>
      </c>
      <c r="R366" s="141">
        <f>Calculations!R127*(1+$D$246)</f>
        <v>0</v>
      </c>
      <c r="S366" s="141">
        <f>Calculations!S127*(1+$D$246)</f>
        <v>0</v>
      </c>
      <c r="T366" s="141">
        <f>Calculations!T127*(1+$D$246)</f>
        <v>0</v>
      </c>
      <c r="U366" s="141">
        <f>Calculations!U127*(1+$D$246)</f>
        <v>0</v>
      </c>
      <c r="V366" s="141">
        <f>Calculations!V127*(1+$D$246)</f>
        <v>0</v>
      </c>
      <c r="W366" s="141">
        <f>Calculations!W127*(1+$D$246)</f>
        <v>0</v>
      </c>
      <c r="X366" s="141">
        <f>Calculations!X127*(1+$D$246)</f>
        <v>0</v>
      </c>
      <c r="Y366" s="141">
        <f>Calculations!Y127*(1+$D$246)</f>
        <v>0</v>
      </c>
      <c r="Z366" s="287"/>
    </row>
    <row r="367" spans="1:26" ht="13.5" thickBot="1" x14ac:dyDescent="0.25">
      <c r="B367" s="107"/>
      <c r="C367" s="137" t="str">
        <f>'User Input'!D167</f>
        <v>Risk 5</v>
      </c>
      <c r="D367" s="67">
        <f>SUM(E367:Y367)</f>
        <v>0</v>
      </c>
      <c r="E367" s="141">
        <f>Calculations!E128*(1+$D$246)</f>
        <v>0</v>
      </c>
      <c r="F367" s="141">
        <f>Calculations!F128*(1+$D$246)</f>
        <v>0</v>
      </c>
      <c r="G367" s="141">
        <f>Calculations!G128*(1+$D$246)</f>
        <v>0</v>
      </c>
      <c r="H367" s="141">
        <f>Calculations!H128*(1+$D$246)</f>
        <v>0</v>
      </c>
      <c r="I367" s="141">
        <f>Calculations!I128*(1+$D$246)</f>
        <v>0</v>
      </c>
      <c r="J367" s="141">
        <f>Calculations!J128*(1+$D$246)</f>
        <v>0</v>
      </c>
      <c r="K367" s="141">
        <f>Calculations!K128*(1+$D$246)</f>
        <v>0</v>
      </c>
      <c r="L367" s="141">
        <f>Calculations!L128*(1+$D$246)</f>
        <v>0</v>
      </c>
      <c r="M367" s="141">
        <f>Calculations!M128*(1+$D$246)</f>
        <v>0</v>
      </c>
      <c r="N367" s="141">
        <f>Calculations!N128*(1+$D$246)</f>
        <v>0</v>
      </c>
      <c r="O367" s="141">
        <f>Calculations!O128*(1+$D$246)</f>
        <v>0</v>
      </c>
      <c r="P367" s="141">
        <f>Calculations!P128*(1+$D$246)</f>
        <v>0</v>
      </c>
      <c r="Q367" s="141">
        <f>Calculations!Q128*(1+$D$246)</f>
        <v>0</v>
      </c>
      <c r="R367" s="141">
        <f>Calculations!R128*(1+$D$246)</f>
        <v>0</v>
      </c>
      <c r="S367" s="141">
        <f>Calculations!S128*(1+$D$246)</f>
        <v>0</v>
      </c>
      <c r="T367" s="141">
        <f>Calculations!T128*(1+$D$246)</f>
        <v>0</v>
      </c>
      <c r="U367" s="141">
        <f>Calculations!U128*(1+$D$246)</f>
        <v>0</v>
      </c>
      <c r="V367" s="141">
        <f>Calculations!V128*(1+$D$246)</f>
        <v>0</v>
      </c>
      <c r="W367" s="141">
        <f>Calculations!W128*(1+$D$246)</f>
        <v>0</v>
      </c>
      <c r="X367" s="141">
        <f>Calculations!X128*(1+$D$246)</f>
        <v>0</v>
      </c>
      <c r="Y367" s="141">
        <f>Calculations!Y128*(1+$D$246)</f>
        <v>0</v>
      </c>
      <c r="Z367" s="287"/>
    </row>
    <row r="368" spans="1:26" ht="13.5" thickBot="1" x14ac:dyDescent="0.25">
      <c r="B368" s="107"/>
      <c r="C368" s="53" t="s">
        <v>2</v>
      </c>
      <c r="D368" s="67">
        <f t="shared" si="60"/>
        <v>0</v>
      </c>
      <c r="E368" s="68">
        <f>SUM(E349:E367)</f>
        <v>0</v>
      </c>
      <c r="F368" s="69">
        <f t="shared" ref="F368:Y368" si="61">SUM(F349:F367)</f>
        <v>0</v>
      </c>
      <c r="G368" s="69">
        <f t="shared" si="61"/>
        <v>0</v>
      </c>
      <c r="H368" s="69">
        <f t="shared" si="61"/>
        <v>0</v>
      </c>
      <c r="I368" s="69">
        <f t="shared" si="61"/>
        <v>0</v>
      </c>
      <c r="J368" s="69">
        <f t="shared" si="61"/>
        <v>0</v>
      </c>
      <c r="K368" s="69">
        <f t="shared" si="61"/>
        <v>0</v>
      </c>
      <c r="L368" s="69">
        <f t="shared" si="61"/>
        <v>0</v>
      </c>
      <c r="M368" s="69">
        <f t="shared" si="61"/>
        <v>0</v>
      </c>
      <c r="N368" s="69">
        <f t="shared" si="61"/>
        <v>0</v>
      </c>
      <c r="O368" s="69">
        <f t="shared" si="61"/>
        <v>0</v>
      </c>
      <c r="P368" s="69">
        <f t="shared" si="61"/>
        <v>0</v>
      </c>
      <c r="Q368" s="69">
        <f t="shared" si="61"/>
        <v>0</v>
      </c>
      <c r="R368" s="69">
        <f t="shared" si="61"/>
        <v>0</v>
      </c>
      <c r="S368" s="69">
        <f t="shared" si="61"/>
        <v>0</v>
      </c>
      <c r="T368" s="69">
        <f t="shared" si="61"/>
        <v>0</v>
      </c>
      <c r="U368" s="69">
        <f t="shared" si="61"/>
        <v>0</v>
      </c>
      <c r="V368" s="69">
        <f t="shared" si="61"/>
        <v>0</v>
      </c>
      <c r="W368" s="69">
        <f t="shared" si="61"/>
        <v>0</v>
      </c>
      <c r="X368" s="69">
        <f t="shared" si="61"/>
        <v>0</v>
      </c>
      <c r="Y368" s="150">
        <f t="shared" si="61"/>
        <v>0</v>
      </c>
      <c r="Z368" s="287"/>
    </row>
    <row r="369" spans="1:26" ht="13.5" thickBot="1" x14ac:dyDescent="0.25">
      <c r="B369" s="107"/>
      <c r="C369" s="54" t="s">
        <v>50</v>
      </c>
      <c r="D369" s="67">
        <f t="shared" si="60"/>
        <v>0</v>
      </c>
      <c r="E369" s="77">
        <f t="shared" ref="E369:Y369" si="62">E368/(1+$D$244)^E$238</f>
        <v>0</v>
      </c>
      <c r="F369" s="77">
        <f t="shared" si="62"/>
        <v>0</v>
      </c>
      <c r="G369" s="77">
        <f t="shared" si="62"/>
        <v>0</v>
      </c>
      <c r="H369" s="77">
        <f t="shared" si="62"/>
        <v>0</v>
      </c>
      <c r="I369" s="77">
        <f t="shared" si="62"/>
        <v>0</v>
      </c>
      <c r="J369" s="77">
        <f t="shared" si="62"/>
        <v>0</v>
      </c>
      <c r="K369" s="77">
        <f t="shared" si="62"/>
        <v>0</v>
      </c>
      <c r="L369" s="77">
        <f t="shared" si="62"/>
        <v>0</v>
      </c>
      <c r="M369" s="77">
        <f t="shared" si="62"/>
        <v>0</v>
      </c>
      <c r="N369" s="77">
        <f t="shared" si="62"/>
        <v>0</v>
      </c>
      <c r="O369" s="77">
        <f t="shared" si="62"/>
        <v>0</v>
      </c>
      <c r="P369" s="77">
        <f t="shared" si="62"/>
        <v>0</v>
      </c>
      <c r="Q369" s="77">
        <f t="shared" si="62"/>
        <v>0</v>
      </c>
      <c r="R369" s="77">
        <f t="shared" si="62"/>
        <v>0</v>
      </c>
      <c r="S369" s="77">
        <f t="shared" si="62"/>
        <v>0</v>
      </c>
      <c r="T369" s="77">
        <f t="shared" si="62"/>
        <v>0</v>
      </c>
      <c r="U369" s="77">
        <f t="shared" si="62"/>
        <v>0</v>
      </c>
      <c r="V369" s="77">
        <f t="shared" si="62"/>
        <v>0</v>
      </c>
      <c r="W369" s="77">
        <f t="shared" si="62"/>
        <v>0</v>
      </c>
      <c r="X369" s="77">
        <f t="shared" si="62"/>
        <v>0</v>
      </c>
      <c r="Y369" s="149">
        <f t="shared" si="62"/>
        <v>0</v>
      </c>
      <c r="Z369" s="287"/>
    </row>
    <row r="370" spans="1:26" x14ac:dyDescent="0.2">
      <c r="B370" s="227"/>
      <c r="C370" s="294"/>
      <c r="D370" s="294"/>
      <c r="E370" s="295"/>
      <c r="F370" s="295"/>
      <c r="G370" s="295"/>
      <c r="H370" s="295"/>
      <c r="I370" s="295"/>
      <c r="J370" s="295"/>
      <c r="K370" s="295"/>
      <c r="L370" s="295"/>
      <c r="M370" s="295"/>
      <c r="N370" s="295"/>
      <c r="O370" s="295"/>
      <c r="P370" s="295"/>
      <c r="Q370" s="295"/>
      <c r="R370" s="295"/>
      <c r="S370" s="295"/>
      <c r="T370" s="295"/>
      <c r="U370" s="295"/>
      <c r="V370" s="295"/>
      <c r="W370" s="295"/>
      <c r="X370" s="295"/>
      <c r="Y370" s="293"/>
      <c r="Z370" s="290"/>
    </row>
    <row r="371" spans="1:26" x14ac:dyDescent="0.2">
      <c r="B371" s="371" t="str">
        <f>'User Input'!D169</f>
        <v xml:space="preserve">Option 5: </v>
      </c>
      <c r="C371" s="367"/>
      <c r="D371" s="372"/>
      <c r="E371" s="369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0"/>
    </row>
    <row r="372" spans="1:26" ht="13.5" thickBot="1" x14ac:dyDescent="0.25">
      <c r="B372" s="20"/>
      <c r="C372" s="59"/>
      <c r="D372" s="59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185"/>
      <c r="Z372" s="287"/>
    </row>
    <row r="373" spans="1:26" ht="13.5" thickBot="1" x14ac:dyDescent="0.25">
      <c r="B373" s="52"/>
      <c r="C373" s="29" t="s">
        <v>76</v>
      </c>
      <c r="D373" s="67">
        <f>SUM(E373:Y373)</f>
        <v>0</v>
      </c>
      <c r="E373" s="141">
        <f>Calculations!E134*(1+$D$245)</f>
        <v>0</v>
      </c>
      <c r="F373" s="141">
        <f>Calculations!F134*(1+$D$245)</f>
        <v>0</v>
      </c>
      <c r="G373" s="141">
        <f>Calculations!G134*(1+$D$245)</f>
        <v>0</v>
      </c>
      <c r="H373" s="141">
        <f>Calculations!H134*(1+$D$245)</f>
        <v>0</v>
      </c>
      <c r="I373" s="141">
        <f>Calculations!I134*(1+$D$245)</f>
        <v>0</v>
      </c>
      <c r="J373" s="141">
        <f>Calculations!J134*(1+$D$245)</f>
        <v>0</v>
      </c>
      <c r="K373" s="141">
        <f>Calculations!K134*(1+$D$245)</f>
        <v>0</v>
      </c>
      <c r="L373" s="141">
        <f>Calculations!L134*(1+$D$245)</f>
        <v>0</v>
      </c>
      <c r="M373" s="141">
        <f>Calculations!M134*(1+$D$245)</f>
        <v>0</v>
      </c>
      <c r="N373" s="141">
        <f>Calculations!N134*(1+$D$245)</f>
        <v>0</v>
      </c>
      <c r="O373" s="141">
        <f>Calculations!O134*(1+$D$245)</f>
        <v>0</v>
      </c>
      <c r="P373" s="141">
        <f>Calculations!P134*(1+$D$245)</f>
        <v>0</v>
      </c>
      <c r="Q373" s="141">
        <f>Calculations!Q134*(1+$D$245)</f>
        <v>0</v>
      </c>
      <c r="R373" s="141">
        <f>Calculations!R134*(1+$D$245)</f>
        <v>0</v>
      </c>
      <c r="S373" s="141">
        <f>Calculations!S134*(1+$D$245)</f>
        <v>0</v>
      </c>
      <c r="T373" s="141">
        <f>Calculations!T134*(1+$D$245)</f>
        <v>0</v>
      </c>
      <c r="U373" s="141">
        <f>Calculations!U134*(1+$D$245)</f>
        <v>0</v>
      </c>
      <c r="V373" s="141">
        <f>Calculations!V134*(1+$D$245)</f>
        <v>0</v>
      </c>
      <c r="W373" s="141">
        <f>Calculations!W134*(1+$D$245)</f>
        <v>0</v>
      </c>
      <c r="X373" s="141">
        <f>Calculations!X134*(1+$D$245)</f>
        <v>0</v>
      </c>
      <c r="Y373" s="141">
        <f>Calculations!Y134*(1+$D$245)</f>
        <v>0</v>
      </c>
      <c r="Z373" s="287"/>
    </row>
    <row r="374" spans="1:26" ht="13.5" thickBot="1" x14ac:dyDescent="0.25">
      <c r="B374" s="107"/>
      <c r="C374" s="137" t="str">
        <f>'User Input'!D172</f>
        <v>Maintenance Costs</v>
      </c>
      <c r="D374" s="67">
        <f>SUM(E374:Y374)</f>
        <v>0</v>
      </c>
      <c r="E374" s="141">
        <f>Calculations!E135*(1+$D$246)</f>
        <v>0</v>
      </c>
      <c r="F374" s="141">
        <f>Calculations!F135*(1+$D$246)</f>
        <v>0</v>
      </c>
      <c r="G374" s="141">
        <f>Calculations!G135*(1+$D$246)</f>
        <v>0</v>
      </c>
      <c r="H374" s="141">
        <f>Calculations!H135*(1+$D$246)</f>
        <v>0</v>
      </c>
      <c r="I374" s="141">
        <f>Calculations!I135*(1+$D$246)</f>
        <v>0</v>
      </c>
      <c r="J374" s="141">
        <f>Calculations!J135*(1+$D$246)</f>
        <v>0</v>
      </c>
      <c r="K374" s="141">
        <f>Calculations!K135*(1+$D$246)</f>
        <v>0</v>
      </c>
      <c r="L374" s="141">
        <f>Calculations!L135*(1+$D$246)</f>
        <v>0</v>
      </c>
      <c r="M374" s="141">
        <f>Calculations!M135*(1+$D$246)</f>
        <v>0</v>
      </c>
      <c r="N374" s="141">
        <f>Calculations!N135*(1+$D$246)</f>
        <v>0</v>
      </c>
      <c r="O374" s="141">
        <f>Calculations!O135*(1+$D$246)</f>
        <v>0</v>
      </c>
      <c r="P374" s="141">
        <f>Calculations!P135*(1+$D$246)</f>
        <v>0</v>
      </c>
      <c r="Q374" s="141">
        <f>Calculations!Q135*(1+$D$246)</f>
        <v>0</v>
      </c>
      <c r="R374" s="141">
        <f>Calculations!R135*(1+$D$246)</f>
        <v>0</v>
      </c>
      <c r="S374" s="141">
        <f>Calculations!S135*(1+$D$246)</f>
        <v>0</v>
      </c>
      <c r="T374" s="141">
        <f>Calculations!T135*(1+$D$246)</f>
        <v>0</v>
      </c>
      <c r="U374" s="141">
        <f>Calculations!U135*(1+$D$246)</f>
        <v>0</v>
      </c>
      <c r="V374" s="141">
        <f>Calculations!V135*(1+$D$246)</f>
        <v>0</v>
      </c>
      <c r="W374" s="141">
        <f>Calculations!W135*(1+$D$246)</f>
        <v>0</v>
      </c>
      <c r="X374" s="141">
        <f>Calculations!X135*(1+$D$246)</f>
        <v>0</v>
      </c>
      <c r="Y374" s="141">
        <f>Calculations!Y135*(1+$D$246)</f>
        <v>0</v>
      </c>
      <c r="Z374" s="287"/>
    </row>
    <row r="375" spans="1:26" ht="13.5" thickBot="1" x14ac:dyDescent="0.25">
      <c r="B375" s="107"/>
      <c r="C375" s="137" t="str">
        <f>'User Input'!D174</f>
        <v>Negative Impact on Revenue (STPIS)</v>
      </c>
      <c r="D375" s="195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46"/>
      <c r="Z375" s="287"/>
    </row>
    <row r="376" spans="1:26" ht="13.5" thickBot="1" x14ac:dyDescent="0.25">
      <c r="B376" s="107"/>
      <c r="C376" s="136" t="str">
        <f>'User Input'!D175</f>
        <v>SAIFI sustained</v>
      </c>
      <c r="D376" s="67">
        <f t="shared" ref="D376:D393" si="63">SUM(E376:Y376)</f>
        <v>0</v>
      </c>
      <c r="E376" s="259">
        <v>0</v>
      </c>
      <c r="F376" s="259">
        <v>0</v>
      </c>
      <c r="G376" s="141">
        <f>Calculations!G137*(1+$D$248)</f>
        <v>0</v>
      </c>
      <c r="H376" s="141">
        <f>Calculations!H137*(1+$D$248)</f>
        <v>0</v>
      </c>
      <c r="I376" s="141">
        <f>Calculations!I137*(1+$D$248)</f>
        <v>0</v>
      </c>
      <c r="J376" s="141">
        <f>Calculations!J137*(1+$D$248)</f>
        <v>0</v>
      </c>
      <c r="K376" s="141">
        <f>Calculations!K137*(1+$D$248)</f>
        <v>0</v>
      </c>
      <c r="L376" s="141">
        <f>Calculations!L137*(1+$D$248)</f>
        <v>0</v>
      </c>
      <c r="M376" s="141">
        <f>Calculations!M137*(1+$D$248)</f>
        <v>0</v>
      </c>
      <c r="N376" s="141">
        <f>Calculations!N137*(1+$D$248)</f>
        <v>0</v>
      </c>
      <c r="O376" s="141">
        <f>Calculations!O137*(1+$D$248)</f>
        <v>0</v>
      </c>
      <c r="P376" s="141">
        <f>Calculations!P137*(1+$D$248)</f>
        <v>0</v>
      </c>
      <c r="Q376" s="141">
        <f>Calculations!Q137*(1+$D$248)</f>
        <v>0</v>
      </c>
      <c r="R376" s="141">
        <f>Calculations!R137*(1+$D$248)</f>
        <v>0</v>
      </c>
      <c r="S376" s="141">
        <f>Calculations!S137*(1+$D$248)</f>
        <v>0</v>
      </c>
      <c r="T376" s="141">
        <f>Calculations!T137*(1+$D$248)</f>
        <v>0</v>
      </c>
      <c r="U376" s="141">
        <f>Calculations!U137*(1+$D$248)</f>
        <v>0</v>
      </c>
      <c r="V376" s="141">
        <f>Calculations!V137*(1+$D$248)</f>
        <v>0</v>
      </c>
      <c r="W376" s="141">
        <f>Calculations!W137*(1+$D$248)</f>
        <v>0</v>
      </c>
      <c r="X376" s="141">
        <f>Calculations!X137*(1+$D$248)</f>
        <v>0</v>
      </c>
      <c r="Y376" s="141">
        <f>Calculations!Y137*(1+$D$248)</f>
        <v>0</v>
      </c>
      <c r="Z376" s="287"/>
    </row>
    <row r="377" spans="1:26" ht="13.5" thickBot="1" x14ac:dyDescent="0.25">
      <c r="B377" s="107"/>
      <c r="C377" s="136" t="str">
        <f>'User Input'!D176</f>
        <v>SAIDI accidental</v>
      </c>
      <c r="D377" s="67">
        <f t="shared" si="63"/>
        <v>0</v>
      </c>
      <c r="E377" s="259">
        <v>0</v>
      </c>
      <c r="F377" s="259">
        <v>0</v>
      </c>
      <c r="G377" s="141">
        <f>Calculations!G138*(1+$D$247)</f>
        <v>0</v>
      </c>
      <c r="H377" s="141">
        <f>Calculations!H138*(1+$D$247)</f>
        <v>0</v>
      </c>
      <c r="I377" s="141">
        <f>Calculations!I138*(1+$D$247)</f>
        <v>0</v>
      </c>
      <c r="J377" s="141">
        <f>Calculations!J138*(1+$D$247)</f>
        <v>0</v>
      </c>
      <c r="K377" s="141">
        <f>Calculations!K138*(1+$D$247)</f>
        <v>0</v>
      </c>
      <c r="L377" s="141">
        <f>Calculations!L138*(1+$D$247)</f>
        <v>0</v>
      </c>
      <c r="M377" s="141">
        <f>Calculations!M138*(1+$D$247)</f>
        <v>0</v>
      </c>
      <c r="N377" s="141">
        <f>Calculations!N138*(1+$D$247)</f>
        <v>0</v>
      </c>
      <c r="O377" s="141">
        <f>Calculations!O138*(1+$D$247)</f>
        <v>0</v>
      </c>
      <c r="P377" s="141">
        <f>Calculations!P138*(1+$D$247)</f>
        <v>0</v>
      </c>
      <c r="Q377" s="141">
        <f>Calculations!Q138*(1+$D$247)</f>
        <v>0</v>
      </c>
      <c r="R377" s="141">
        <f>Calculations!R138*(1+$D$247)</f>
        <v>0</v>
      </c>
      <c r="S377" s="141">
        <f>Calculations!S138*(1+$D$247)</f>
        <v>0</v>
      </c>
      <c r="T377" s="141">
        <f>Calculations!T138*(1+$D$247)</f>
        <v>0</v>
      </c>
      <c r="U377" s="141">
        <f>Calculations!U138*(1+$D$247)</f>
        <v>0</v>
      </c>
      <c r="V377" s="141">
        <f>Calculations!V138*(1+$D$247)</f>
        <v>0</v>
      </c>
      <c r="W377" s="141">
        <f>Calculations!W138*(1+$D$247)</f>
        <v>0</v>
      </c>
      <c r="X377" s="141">
        <f>Calculations!X138*(1+$D$247)</f>
        <v>0</v>
      </c>
      <c r="Y377" s="141">
        <f>Calculations!Y138*(1+$D$247)</f>
        <v>0</v>
      </c>
      <c r="Z377" s="287"/>
    </row>
    <row r="378" spans="1:26" ht="13.5" thickBot="1" x14ac:dyDescent="0.25">
      <c r="B378" s="107"/>
      <c r="C378" s="136" t="str">
        <f>'User Input'!D177</f>
        <v>MAIFI momentary</v>
      </c>
      <c r="D378" s="67">
        <f t="shared" si="63"/>
        <v>0</v>
      </c>
      <c r="E378" s="259">
        <v>0</v>
      </c>
      <c r="F378" s="259">
        <v>0</v>
      </c>
      <c r="G378" s="141">
        <f>Calculations!G139*(1+$D$249)</f>
        <v>0</v>
      </c>
      <c r="H378" s="141">
        <f>Calculations!H139*(1+$D$249)</f>
        <v>0</v>
      </c>
      <c r="I378" s="141">
        <f>Calculations!I139*(1+$D$249)</f>
        <v>0</v>
      </c>
      <c r="J378" s="141">
        <f>Calculations!J139*(1+$D$249)</f>
        <v>0</v>
      </c>
      <c r="K378" s="141">
        <f>Calculations!K139*(1+$D$249)</f>
        <v>0</v>
      </c>
      <c r="L378" s="141">
        <f>Calculations!L139*(1+$D$249)</f>
        <v>0</v>
      </c>
      <c r="M378" s="141">
        <f>Calculations!M139*(1+$D$249)</f>
        <v>0</v>
      </c>
      <c r="N378" s="141">
        <f>Calculations!N139*(1+$D$249)</f>
        <v>0</v>
      </c>
      <c r="O378" s="141">
        <f>Calculations!O139*(1+$D$249)</f>
        <v>0</v>
      </c>
      <c r="P378" s="141">
        <f>Calculations!P139*(1+$D$249)</f>
        <v>0</v>
      </c>
      <c r="Q378" s="141">
        <f>Calculations!Q139*(1+$D$249)</f>
        <v>0</v>
      </c>
      <c r="R378" s="141">
        <f>Calculations!R139*(1+$D$249)</f>
        <v>0</v>
      </c>
      <c r="S378" s="141">
        <f>Calculations!S139*(1+$D$249)</f>
        <v>0</v>
      </c>
      <c r="T378" s="141">
        <f>Calculations!T139*(1+$D$249)</f>
        <v>0</v>
      </c>
      <c r="U378" s="141">
        <f>Calculations!U139*(1+$D$249)</f>
        <v>0</v>
      </c>
      <c r="V378" s="141">
        <f>Calculations!V139*(1+$D$249)</f>
        <v>0</v>
      </c>
      <c r="W378" s="141">
        <f>Calculations!W139*(1+$D$249)</f>
        <v>0</v>
      </c>
      <c r="X378" s="141">
        <f>Calculations!X139*(1+$D$249)</f>
        <v>0</v>
      </c>
      <c r="Y378" s="141">
        <f>Calculations!Y139*(1+$D$249)</f>
        <v>0</v>
      </c>
      <c r="Z378" s="287"/>
    </row>
    <row r="379" spans="1:26" ht="13.5" thickBot="1" x14ac:dyDescent="0.25">
      <c r="B379" s="107"/>
      <c r="C379" s="136" t="str">
        <f>'User Input'!D178</f>
        <v>Call centre response</v>
      </c>
      <c r="D379" s="67">
        <f t="shared" si="63"/>
        <v>0</v>
      </c>
      <c r="E379" s="259">
        <v>0</v>
      </c>
      <c r="F379" s="259">
        <v>0</v>
      </c>
      <c r="G379" s="141">
        <f>Calculations!G140*(1+$D$246)</f>
        <v>0</v>
      </c>
      <c r="H379" s="141">
        <f>Calculations!H140*(1+$D$246)</f>
        <v>0</v>
      </c>
      <c r="I379" s="141">
        <f>Calculations!I140*(1+$D$246)</f>
        <v>0</v>
      </c>
      <c r="J379" s="141">
        <f>Calculations!J140*(1+$D$246)</f>
        <v>0</v>
      </c>
      <c r="K379" s="141">
        <f>Calculations!K140*(1+$D$246)</f>
        <v>0</v>
      </c>
      <c r="L379" s="141">
        <f>Calculations!L140*(1+$D$246)</f>
        <v>0</v>
      </c>
      <c r="M379" s="141">
        <f>Calculations!M140*(1+$D$246)</f>
        <v>0</v>
      </c>
      <c r="N379" s="141">
        <f>Calculations!N140*(1+$D$246)</f>
        <v>0</v>
      </c>
      <c r="O379" s="141">
        <f>Calculations!O140*(1+$D$246)</f>
        <v>0</v>
      </c>
      <c r="P379" s="141">
        <f>Calculations!P140*(1+$D$246)</f>
        <v>0</v>
      </c>
      <c r="Q379" s="141">
        <f>Calculations!Q140*(1+$D$246)</f>
        <v>0</v>
      </c>
      <c r="R379" s="141">
        <f>Calculations!R140*(1+$D$246)</f>
        <v>0</v>
      </c>
      <c r="S379" s="141">
        <f>Calculations!S140*(1+$D$246)</f>
        <v>0</v>
      </c>
      <c r="T379" s="141">
        <f>Calculations!T140*(1+$D$246)</f>
        <v>0</v>
      </c>
      <c r="U379" s="141">
        <f>Calculations!U140*(1+$D$246)</f>
        <v>0</v>
      </c>
      <c r="V379" s="141">
        <f>Calculations!V140*(1+$D$246)</f>
        <v>0</v>
      </c>
      <c r="W379" s="141">
        <f>Calculations!W140*(1+$D$246)</f>
        <v>0</v>
      </c>
      <c r="X379" s="141">
        <f>Calculations!X140*(1+$D$246)</f>
        <v>0</v>
      </c>
      <c r="Y379" s="141">
        <f>Calculations!Y140*(1+$D$246)</f>
        <v>0</v>
      </c>
      <c r="Z379" s="287"/>
    </row>
    <row r="380" spans="1:26" ht="13.5" thickBot="1" x14ac:dyDescent="0.25">
      <c r="A380" s="143"/>
      <c r="B380" s="144"/>
      <c r="C380" s="137" t="str">
        <f>'User Input'!D180</f>
        <v>Network Outage Costs</v>
      </c>
      <c r="D380" s="67">
        <f t="shared" si="63"/>
        <v>0</v>
      </c>
      <c r="E380" s="141">
        <f>Calculations!E141*(1+$D$246)</f>
        <v>0</v>
      </c>
      <c r="F380" s="141">
        <f>Calculations!F141*(1+$D$246)</f>
        <v>0</v>
      </c>
      <c r="G380" s="141">
        <f>Calculations!G141*(1+$D$246)</f>
        <v>0</v>
      </c>
      <c r="H380" s="141">
        <f>Calculations!H141*(1+$D$246)</f>
        <v>0</v>
      </c>
      <c r="I380" s="141">
        <f>Calculations!I141*(1+$D$246)</f>
        <v>0</v>
      </c>
      <c r="J380" s="141">
        <f>Calculations!J141*(1+$D$246)</f>
        <v>0</v>
      </c>
      <c r="K380" s="141">
        <f>Calculations!K141*(1+$D$246)</f>
        <v>0</v>
      </c>
      <c r="L380" s="141">
        <f>Calculations!L141*(1+$D$246)</f>
        <v>0</v>
      </c>
      <c r="M380" s="141">
        <f>Calculations!M141*(1+$D$246)</f>
        <v>0</v>
      </c>
      <c r="N380" s="141">
        <f>Calculations!N141*(1+$D$246)</f>
        <v>0</v>
      </c>
      <c r="O380" s="141">
        <f>Calculations!O141*(1+$D$246)</f>
        <v>0</v>
      </c>
      <c r="P380" s="141">
        <f>Calculations!P141*(1+$D$246)</f>
        <v>0</v>
      </c>
      <c r="Q380" s="141">
        <f>Calculations!Q141*(1+$D$246)</f>
        <v>0</v>
      </c>
      <c r="R380" s="141">
        <f>Calculations!R141*(1+$D$246)</f>
        <v>0</v>
      </c>
      <c r="S380" s="141">
        <f>Calculations!S141*(1+$D$246)</f>
        <v>0</v>
      </c>
      <c r="T380" s="141">
        <f>Calculations!T141*(1+$D$246)</f>
        <v>0</v>
      </c>
      <c r="U380" s="141">
        <f>Calculations!U141*(1+$D$246)</f>
        <v>0</v>
      </c>
      <c r="V380" s="141">
        <f>Calculations!V141*(1+$D$246)</f>
        <v>0</v>
      </c>
      <c r="W380" s="141">
        <f>Calculations!W141*(1+$D$246)</f>
        <v>0</v>
      </c>
      <c r="X380" s="141">
        <f>Calculations!X141*(1+$D$246)</f>
        <v>0</v>
      </c>
      <c r="Y380" s="141">
        <f>Calculations!Y141*(1+$D$246)</f>
        <v>0</v>
      </c>
      <c r="Z380" s="287"/>
    </row>
    <row r="381" spans="1:26" ht="13.5" thickBot="1" x14ac:dyDescent="0.25">
      <c r="A381" s="143"/>
      <c r="B381" s="144"/>
      <c r="C381" s="137" t="str">
        <f>'User Input'!D184</f>
        <v>Loss of F Factor Benefit</v>
      </c>
      <c r="D381" s="67">
        <f t="shared" si="63"/>
        <v>0</v>
      </c>
      <c r="E381" s="141">
        <f>Calculations!E142*(1+$D$246)</f>
        <v>0</v>
      </c>
      <c r="F381" s="141">
        <f>Calculations!F142*(1+$D$246)</f>
        <v>0</v>
      </c>
      <c r="G381" s="141">
        <f>Calculations!G142*(1+$D$246)</f>
        <v>0</v>
      </c>
      <c r="H381" s="141">
        <f>Calculations!H142*(1+$D$246)</f>
        <v>0</v>
      </c>
      <c r="I381" s="141">
        <f>Calculations!I142*(1+$D$246)</f>
        <v>0</v>
      </c>
      <c r="J381" s="141">
        <f>Calculations!J142*(1+$D$246)</f>
        <v>0</v>
      </c>
      <c r="K381" s="141">
        <f>Calculations!K142*(1+$D$246)</f>
        <v>0</v>
      </c>
      <c r="L381" s="141">
        <f>Calculations!L142*(1+$D$246)</f>
        <v>0</v>
      </c>
      <c r="M381" s="141">
        <f>Calculations!M142*(1+$D$246)</f>
        <v>0</v>
      </c>
      <c r="N381" s="141">
        <f>Calculations!N142*(1+$D$246)</f>
        <v>0</v>
      </c>
      <c r="O381" s="141">
        <f>Calculations!O142*(1+$D$246)</f>
        <v>0</v>
      </c>
      <c r="P381" s="141">
        <f>Calculations!P142*(1+$D$246)</f>
        <v>0</v>
      </c>
      <c r="Q381" s="141">
        <f>Calculations!Q142*(1+$D$246)</f>
        <v>0</v>
      </c>
      <c r="R381" s="141">
        <f>Calculations!R142*(1+$D$246)</f>
        <v>0</v>
      </c>
      <c r="S381" s="141">
        <f>Calculations!S142*(1+$D$246)</f>
        <v>0</v>
      </c>
      <c r="T381" s="141">
        <f>Calculations!T142*(1+$D$246)</f>
        <v>0</v>
      </c>
      <c r="U381" s="141">
        <f>Calculations!U142*(1+$D$246)</f>
        <v>0</v>
      </c>
      <c r="V381" s="141">
        <f>Calculations!V142*(1+$D$246)</f>
        <v>0</v>
      </c>
      <c r="W381" s="141">
        <f>Calculations!W142*(1+$D$246)</f>
        <v>0</v>
      </c>
      <c r="X381" s="141">
        <f>Calculations!X142*(1+$D$246)</f>
        <v>0</v>
      </c>
      <c r="Y381" s="141">
        <f>Calculations!Y142*(1+$D$246)</f>
        <v>0</v>
      </c>
      <c r="Z381" s="287"/>
    </row>
    <row r="382" spans="1:26" ht="13.5" thickBot="1" x14ac:dyDescent="0.25">
      <c r="B382" s="107"/>
      <c r="C382" s="137" t="str">
        <f>'User Input'!D187</f>
        <v>Cost 1</v>
      </c>
      <c r="D382" s="67">
        <f t="shared" si="63"/>
        <v>0</v>
      </c>
      <c r="E382" s="141">
        <f>Calculations!E143*(1+$D$246)</f>
        <v>0</v>
      </c>
      <c r="F382" s="141">
        <f>Calculations!F143*(1+$D$246)</f>
        <v>0</v>
      </c>
      <c r="G382" s="141">
        <f>Calculations!G143*(1+$D$246)</f>
        <v>0</v>
      </c>
      <c r="H382" s="141">
        <f>Calculations!H143*(1+$D$246)</f>
        <v>0</v>
      </c>
      <c r="I382" s="141">
        <f>Calculations!I143*(1+$D$246)</f>
        <v>0</v>
      </c>
      <c r="J382" s="141">
        <f>Calculations!J143*(1+$D$246)</f>
        <v>0</v>
      </c>
      <c r="K382" s="141">
        <f>Calculations!K143*(1+$D$246)</f>
        <v>0</v>
      </c>
      <c r="L382" s="141">
        <f>Calculations!L143*(1+$D$246)</f>
        <v>0</v>
      </c>
      <c r="M382" s="141">
        <f>Calculations!M143*(1+$D$246)</f>
        <v>0</v>
      </c>
      <c r="N382" s="141">
        <f>Calculations!N143*(1+$D$246)</f>
        <v>0</v>
      </c>
      <c r="O382" s="141">
        <f>Calculations!O143*(1+$D$246)</f>
        <v>0</v>
      </c>
      <c r="P382" s="141">
        <f>Calculations!P143*(1+$D$246)</f>
        <v>0</v>
      </c>
      <c r="Q382" s="141">
        <f>Calculations!Q143*(1+$D$246)</f>
        <v>0</v>
      </c>
      <c r="R382" s="141">
        <f>Calculations!R143*(1+$D$246)</f>
        <v>0</v>
      </c>
      <c r="S382" s="141">
        <f>Calculations!S143*(1+$D$246)</f>
        <v>0</v>
      </c>
      <c r="T382" s="141">
        <f>Calculations!T143*(1+$D$246)</f>
        <v>0</v>
      </c>
      <c r="U382" s="141">
        <f>Calculations!U143*(1+$D$246)</f>
        <v>0</v>
      </c>
      <c r="V382" s="141">
        <f>Calculations!V143*(1+$D$246)</f>
        <v>0</v>
      </c>
      <c r="W382" s="141">
        <f>Calculations!W143*(1+$D$246)</f>
        <v>0</v>
      </c>
      <c r="X382" s="141">
        <f>Calculations!X143*(1+$D$246)</f>
        <v>0</v>
      </c>
      <c r="Y382" s="141">
        <f>Calculations!Y143*(1+$D$246)</f>
        <v>0</v>
      </c>
      <c r="Z382" s="287"/>
    </row>
    <row r="383" spans="1:26" ht="13.5" thickBot="1" x14ac:dyDescent="0.25">
      <c r="B383" s="107"/>
      <c r="C383" s="137" t="str">
        <f>'User Input'!D188</f>
        <v>Cost 2</v>
      </c>
      <c r="D383" s="67">
        <f t="shared" si="63"/>
        <v>0</v>
      </c>
      <c r="E383" s="141">
        <f>Calculations!E144*(1+$D$246)</f>
        <v>0</v>
      </c>
      <c r="F383" s="141">
        <f>Calculations!F144*(1+$D$246)</f>
        <v>0</v>
      </c>
      <c r="G383" s="141">
        <f>Calculations!G144*(1+$D$246)</f>
        <v>0</v>
      </c>
      <c r="H383" s="141">
        <f>Calculations!H144*(1+$D$246)</f>
        <v>0</v>
      </c>
      <c r="I383" s="141">
        <f>Calculations!I144*(1+$D$246)</f>
        <v>0</v>
      </c>
      <c r="J383" s="141">
        <f>Calculations!J144*(1+$D$246)</f>
        <v>0</v>
      </c>
      <c r="K383" s="141">
        <f>Calculations!K144*(1+$D$246)</f>
        <v>0</v>
      </c>
      <c r="L383" s="141">
        <f>Calculations!L144*(1+$D$246)</f>
        <v>0</v>
      </c>
      <c r="M383" s="141">
        <f>Calculations!M144*(1+$D$246)</f>
        <v>0</v>
      </c>
      <c r="N383" s="141">
        <f>Calculations!N144*(1+$D$246)</f>
        <v>0</v>
      </c>
      <c r="O383" s="141">
        <f>Calculations!O144*(1+$D$246)</f>
        <v>0</v>
      </c>
      <c r="P383" s="141">
        <f>Calculations!P144*(1+$D$246)</f>
        <v>0</v>
      </c>
      <c r="Q383" s="141">
        <f>Calculations!Q144*(1+$D$246)</f>
        <v>0</v>
      </c>
      <c r="R383" s="141">
        <f>Calculations!R144*(1+$D$246)</f>
        <v>0</v>
      </c>
      <c r="S383" s="141">
        <f>Calculations!S144*(1+$D$246)</f>
        <v>0</v>
      </c>
      <c r="T383" s="141">
        <f>Calculations!T144*(1+$D$246)</f>
        <v>0</v>
      </c>
      <c r="U383" s="141">
        <f>Calculations!U144*(1+$D$246)</f>
        <v>0</v>
      </c>
      <c r="V383" s="141">
        <f>Calculations!V144*(1+$D$246)</f>
        <v>0</v>
      </c>
      <c r="W383" s="141">
        <f>Calculations!W144*(1+$D$246)</f>
        <v>0</v>
      </c>
      <c r="X383" s="141">
        <f>Calculations!X144*(1+$D$246)</f>
        <v>0</v>
      </c>
      <c r="Y383" s="141">
        <f>Calculations!Y144*(1+$D$246)</f>
        <v>0</v>
      </c>
      <c r="Z383" s="287"/>
    </row>
    <row r="384" spans="1:26" ht="13.5" thickBot="1" x14ac:dyDescent="0.25">
      <c r="B384" s="107"/>
      <c r="C384" s="137" t="str">
        <f>'User Input'!D189</f>
        <v>Cost 3</v>
      </c>
      <c r="D384" s="67">
        <f t="shared" si="63"/>
        <v>0</v>
      </c>
      <c r="E384" s="141">
        <f>Calculations!E145*(1+$D$246)</f>
        <v>0</v>
      </c>
      <c r="F384" s="141">
        <f>Calculations!F145*(1+$D$246)</f>
        <v>0</v>
      </c>
      <c r="G384" s="141">
        <f>Calculations!G145*(1+$D$246)</f>
        <v>0</v>
      </c>
      <c r="H384" s="141">
        <f>Calculations!H145*(1+$D$246)</f>
        <v>0</v>
      </c>
      <c r="I384" s="141">
        <f>Calculations!I145*(1+$D$246)</f>
        <v>0</v>
      </c>
      <c r="J384" s="141">
        <f>Calculations!J145*(1+$D$246)</f>
        <v>0</v>
      </c>
      <c r="K384" s="141">
        <f>Calculations!K145*(1+$D$246)</f>
        <v>0</v>
      </c>
      <c r="L384" s="141">
        <f>Calculations!L145*(1+$D$246)</f>
        <v>0</v>
      </c>
      <c r="M384" s="141">
        <f>Calculations!M145*(1+$D$246)</f>
        <v>0</v>
      </c>
      <c r="N384" s="141">
        <f>Calculations!N145*(1+$D$246)</f>
        <v>0</v>
      </c>
      <c r="O384" s="141">
        <f>Calculations!O145*(1+$D$246)</f>
        <v>0</v>
      </c>
      <c r="P384" s="141">
        <f>Calculations!P145*(1+$D$246)</f>
        <v>0</v>
      </c>
      <c r="Q384" s="141">
        <f>Calculations!Q145*(1+$D$246)</f>
        <v>0</v>
      </c>
      <c r="R384" s="141">
        <f>Calculations!R145*(1+$D$246)</f>
        <v>0</v>
      </c>
      <c r="S384" s="141">
        <f>Calculations!S145*(1+$D$246)</f>
        <v>0</v>
      </c>
      <c r="T384" s="141">
        <f>Calculations!T145*(1+$D$246)</f>
        <v>0</v>
      </c>
      <c r="U384" s="141">
        <f>Calculations!U145*(1+$D$246)</f>
        <v>0</v>
      </c>
      <c r="V384" s="141">
        <f>Calculations!V145*(1+$D$246)</f>
        <v>0</v>
      </c>
      <c r="W384" s="141">
        <f>Calculations!W145*(1+$D$246)</f>
        <v>0</v>
      </c>
      <c r="X384" s="141">
        <f>Calculations!X145*(1+$D$246)</f>
        <v>0</v>
      </c>
      <c r="Y384" s="141">
        <f>Calculations!Y145*(1+$D$246)</f>
        <v>0</v>
      </c>
      <c r="Z384" s="287"/>
    </row>
    <row r="385" spans="1:26" ht="13.5" thickBot="1" x14ac:dyDescent="0.25">
      <c r="B385" s="107"/>
      <c r="C385" s="137" t="str">
        <f>'User Input'!D190</f>
        <v>Cost 4</v>
      </c>
      <c r="D385" s="67">
        <f t="shared" si="63"/>
        <v>0</v>
      </c>
      <c r="E385" s="141">
        <f>Calculations!E146*(1+$D$246)</f>
        <v>0</v>
      </c>
      <c r="F385" s="141">
        <f>Calculations!F146*(1+$D$246)</f>
        <v>0</v>
      </c>
      <c r="G385" s="141">
        <f>Calculations!G146*(1+$D$246)</f>
        <v>0</v>
      </c>
      <c r="H385" s="141">
        <f>Calculations!H146*(1+$D$246)</f>
        <v>0</v>
      </c>
      <c r="I385" s="141">
        <f>Calculations!I146*(1+$D$246)</f>
        <v>0</v>
      </c>
      <c r="J385" s="141">
        <f>Calculations!J146*(1+$D$246)</f>
        <v>0</v>
      </c>
      <c r="K385" s="141">
        <f>Calculations!K146*(1+$D$246)</f>
        <v>0</v>
      </c>
      <c r="L385" s="141">
        <f>Calculations!L146*(1+$D$246)</f>
        <v>0</v>
      </c>
      <c r="M385" s="141">
        <f>Calculations!M146*(1+$D$246)</f>
        <v>0</v>
      </c>
      <c r="N385" s="141">
        <f>Calculations!N146*(1+$D$246)</f>
        <v>0</v>
      </c>
      <c r="O385" s="141">
        <f>Calculations!O146*(1+$D$246)</f>
        <v>0</v>
      </c>
      <c r="P385" s="141">
        <f>Calculations!P146*(1+$D$246)</f>
        <v>0</v>
      </c>
      <c r="Q385" s="141">
        <f>Calculations!Q146*(1+$D$246)</f>
        <v>0</v>
      </c>
      <c r="R385" s="141">
        <f>Calculations!R146*(1+$D$246)</f>
        <v>0</v>
      </c>
      <c r="S385" s="141">
        <f>Calculations!S146*(1+$D$246)</f>
        <v>0</v>
      </c>
      <c r="T385" s="141">
        <f>Calculations!T146*(1+$D$246)</f>
        <v>0</v>
      </c>
      <c r="U385" s="141">
        <f>Calculations!U146*(1+$D$246)</f>
        <v>0</v>
      </c>
      <c r="V385" s="141">
        <f>Calculations!V146*(1+$D$246)</f>
        <v>0</v>
      </c>
      <c r="W385" s="141">
        <f>Calculations!W146*(1+$D$246)</f>
        <v>0</v>
      </c>
      <c r="X385" s="141">
        <f>Calculations!X146*(1+$D$246)</f>
        <v>0</v>
      </c>
      <c r="Y385" s="141">
        <f>Calculations!Y146*(1+$D$246)</f>
        <v>0</v>
      </c>
      <c r="Z385" s="287"/>
    </row>
    <row r="386" spans="1:26" ht="13.5" thickBot="1" x14ac:dyDescent="0.25">
      <c r="B386" s="107"/>
      <c r="C386" s="137" t="str">
        <f>'User Input'!D191</f>
        <v>Cost 5</v>
      </c>
      <c r="D386" s="67">
        <f t="shared" si="63"/>
        <v>0</v>
      </c>
      <c r="E386" s="141">
        <f>Calculations!E147*(1+$D$246)</f>
        <v>0</v>
      </c>
      <c r="F386" s="141">
        <f>Calculations!F147*(1+$D$246)</f>
        <v>0</v>
      </c>
      <c r="G386" s="141">
        <f>Calculations!G147*(1+$D$246)</f>
        <v>0</v>
      </c>
      <c r="H386" s="141">
        <f>Calculations!H147*(1+$D$246)</f>
        <v>0</v>
      </c>
      <c r="I386" s="141">
        <f>Calculations!I147*(1+$D$246)</f>
        <v>0</v>
      </c>
      <c r="J386" s="141">
        <f>Calculations!J147*(1+$D$246)</f>
        <v>0</v>
      </c>
      <c r="K386" s="141">
        <f>Calculations!K147*(1+$D$246)</f>
        <v>0</v>
      </c>
      <c r="L386" s="141">
        <f>Calculations!L147*(1+$D$246)</f>
        <v>0</v>
      </c>
      <c r="M386" s="141">
        <f>Calculations!M147*(1+$D$246)</f>
        <v>0</v>
      </c>
      <c r="N386" s="141">
        <f>Calculations!N147*(1+$D$246)</f>
        <v>0</v>
      </c>
      <c r="O386" s="141">
        <f>Calculations!O147*(1+$D$246)</f>
        <v>0</v>
      </c>
      <c r="P386" s="141">
        <f>Calculations!P147*(1+$D$246)</f>
        <v>0</v>
      </c>
      <c r="Q386" s="141">
        <f>Calculations!Q147*(1+$D$246)</f>
        <v>0</v>
      </c>
      <c r="R386" s="141">
        <f>Calculations!R147*(1+$D$246)</f>
        <v>0</v>
      </c>
      <c r="S386" s="141">
        <f>Calculations!S147*(1+$D$246)</f>
        <v>0</v>
      </c>
      <c r="T386" s="141">
        <f>Calculations!T147*(1+$D$246)</f>
        <v>0</v>
      </c>
      <c r="U386" s="141">
        <f>Calculations!U147*(1+$D$246)</f>
        <v>0</v>
      </c>
      <c r="V386" s="141">
        <f>Calculations!V147*(1+$D$246)</f>
        <v>0</v>
      </c>
      <c r="W386" s="141">
        <f>Calculations!W147*(1+$D$246)</f>
        <v>0</v>
      </c>
      <c r="X386" s="141">
        <f>Calculations!X147*(1+$D$246)</f>
        <v>0</v>
      </c>
      <c r="Y386" s="141">
        <f>Calculations!Y147*(1+$D$246)</f>
        <v>0</v>
      </c>
      <c r="Z386" s="287"/>
    </row>
    <row r="387" spans="1:26" ht="13.5" thickBot="1" x14ac:dyDescent="0.25">
      <c r="B387" s="107"/>
      <c r="C387" s="137" t="str">
        <f>'User Input'!D192</f>
        <v>Risk 1</v>
      </c>
      <c r="D387" s="67">
        <f>SUM(E387:Y387)</f>
        <v>0</v>
      </c>
      <c r="E387" s="141">
        <f>Calculations!E148*(1+$D$246)</f>
        <v>0</v>
      </c>
      <c r="F387" s="141">
        <f>Calculations!F148*(1+$D$246)</f>
        <v>0</v>
      </c>
      <c r="G387" s="141">
        <f>Calculations!G148*(1+$D$246)</f>
        <v>0</v>
      </c>
      <c r="H387" s="141">
        <f>Calculations!H148*(1+$D$246)</f>
        <v>0</v>
      </c>
      <c r="I387" s="141">
        <f>Calculations!I148*(1+$D$246)</f>
        <v>0</v>
      </c>
      <c r="J387" s="141">
        <f>Calculations!J148*(1+$D$246)</f>
        <v>0</v>
      </c>
      <c r="K387" s="141">
        <f>Calculations!K148*(1+$D$246)</f>
        <v>0</v>
      </c>
      <c r="L387" s="141">
        <f>Calculations!L148*(1+$D$246)</f>
        <v>0</v>
      </c>
      <c r="M387" s="141">
        <f>Calculations!M148*(1+$D$246)</f>
        <v>0</v>
      </c>
      <c r="N387" s="141">
        <f>Calculations!N148*(1+$D$246)</f>
        <v>0</v>
      </c>
      <c r="O387" s="141">
        <f>Calculations!O148*(1+$D$246)</f>
        <v>0</v>
      </c>
      <c r="P387" s="141">
        <f>Calculations!P148*(1+$D$246)</f>
        <v>0</v>
      </c>
      <c r="Q387" s="141">
        <f>Calculations!Q148*(1+$D$246)</f>
        <v>0</v>
      </c>
      <c r="R387" s="141">
        <f>Calculations!R148*(1+$D$246)</f>
        <v>0</v>
      </c>
      <c r="S387" s="141">
        <f>Calculations!S148*(1+$D$246)</f>
        <v>0</v>
      </c>
      <c r="T387" s="141">
        <f>Calculations!T148*(1+$D$246)</f>
        <v>0</v>
      </c>
      <c r="U387" s="141">
        <f>Calculations!U148*(1+$D$246)</f>
        <v>0</v>
      </c>
      <c r="V387" s="141">
        <f>Calculations!V148*(1+$D$246)</f>
        <v>0</v>
      </c>
      <c r="W387" s="141">
        <f>Calculations!W148*(1+$D$246)</f>
        <v>0</v>
      </c>
      <c r="X387" s="141">
        <f>Calculations!X148*(1+$D$246)</f>
        <v>0</v>
      </c>
      <c r="Y387" s="141">
        <f>Calculations!Y148*(1+$D$246)</f>
        <v>0</v>
      </c>
      <c r="Z387" s="287"/>
    </row>
    <row r="388" spans="1:26" ht="13.5" thickBot="1" x14ac:dyDescent="0.25">
      <c r="B388" s="107"/>
      <c r="C388" s="137" t="str">
        <f>'User Input'!D193</f>
        <v>Risk 2</v>
      </c>
      <c r="D388" s="67">
        <f>SUM(E388:Y388)</f>
        <v>0</v>
      </c>
      <c r="E388" s="141">
        <f>Calculations!E149*(1+$D$246)</f>
        <v>0</v>
      </c>
      <c r="F388" s="141">
        <f>Calculations!F149*(1+$D$246)</f>
        <v>0</v>
      </c>
      <c r="G388" s="141">
        <f>Calculations!G149*(1+$D$246)</f>
        <v>0</v>
      </c>
      <c r="H388" s="141">
        <f>Calculations!H149*(1+$D$246)</f>
        <v>0</v>
      </c>
      <c r="I388" s="141">
        <f>Calculations!I149*(1+$D$246)</f>
        <v>0</v>
      </c>
      <c r="J388" s="141">
        <f>Calculations!J149*(1+$D$246)</f>
        <v>0</v>
      </c>
      <c r="K388" s="141">
        <f>Calculations!K149*(1+$D$246)</f>
        <v>0</v>
      </c>
      <c r="L388" s="141">
        <f>Calculations!L149*(1+$D$246)</f>
        <v>0</v>
      </c>
      <c r="M388" s="141">
        <f>Calculations!M149*(1+$D$246)</f>
        <v>0</v>
      </c>
      <c r="N388" s="141">
        <f>Calculations!N149*(1+$D$246)</f>
        <v>0</v>
      </c>
      <c r="O388" s="141">
        <f>Calculations!O149*(1+$D$246)</f>
        <v>0</v>
      </c>
      <c r="P388" s="141">
        <f>Calculations!P149*(1+$D$246)</f>
        <v>0</v>
      </c>
      <c r="Q388" s="141">
        <f>Calculations!Q149*(1+$D$246)</f>
        <v>0</v>
      </c>
      <c r="R388" s="141">
        <f>Calculations!R149*(1+$D$246)</f>
        <v>0</v>
      </c>
      <c r="S388" s="141">
        <f>Calculations!S149*(1+$D$246)</f>
        <v>0</v>
      </c>
      <c r="T388" s="141">
        <f>Calculations!T149*(1+$D$246)</f>
        <v>0</v>
      </c>
      <c r="U388" s="141">
        <f>Calculations!U149*(1+$D$246)</f>
        <v>0</v>
      </c>
      <c r="V388" s="141">
        <f>Calculations!V149*(1+$D$246)</f>
        <v>0</v>
      </c>
      <c r="W388" s="141">
        <f>Calculations!W149*(1+$D$246)</f>
        <v>0</v>
      </c>
      <c r="X388" s="141">
        <f>Calculations!X149*(1+$D$246)</f>
        <v>0</v>
      </c>
      <c r="Y388" s="141">
        <f>Calculations!Y149*(1+$D$246)</f>
        <v>0</v>
      </c>
      <c r="Z388" s="287"/>
    </row>
    <row r="389" spans="1:26" ht="13.5" thickBot="1" x14ac:dyDescent="0.25">
      <c r="B389" s="107"/>
      <c r="C389" s="137" t="str">
        <f>'User Input'!D194</f>
        <v>Risk 3</v>
      </c>
      <c r="D389" s="67">
        <f>SUM(E389:Y389)</f>
        <v>0</v>
      </c>
      <c r="E389" s="141">
        <f>Calculations!E150*(1+$D$246)</f>
        <v>0</v>
      </c>
      <c r="F389" s="141">
        <f>Calculations!F150*(1+$D$246)</f>
        <v>0</v>
      </c>
      <c r="G389" s="141">
        <f>Calculations!G150*(1+$D$246)</f>
        <v>0</v>
      </c>
      <c r="H389" s="141">
        <f>Calculations!H150*(1+$D$246)</f>
        <v>0</v>
      </c>
      <c r="I389" s="141">
        <f>Calculations!I150*(1+$D$246)</f>
        <v>0</v>
      </c>
      <c r="J389" s="141">
        <f>Calculations!J150*(1+$D$246)</f>
        <v>0</v>
      </c>
      <c r="K389" s="141">
        <f>Calculations!K150*(1+$D$246)</f>
        <v>0</v>
      </c>
      <c r="L389" s="141">
        <f>Calculations!L150*(1+$D$246)</f>
        <v>0</v>
      </c>
      <c r="M389" s="141">
        <f>Calculations!M150*(1+$D$246)</f>
        <v>0</v>
      </c>
      <c r="N389" s="141">
        <f>Calculations!N150*(1+$D$246)</f>
        <v>0</v>
      </c>
      <c r="O389" s="141">
        <f>Calculations!O150*(1+$D$246)</f>
        <v>0</v>
      </c>
      <c r="P389" s="141">
        <f>Calculations!P150*(1+$D$246)</f>
        <v>0</v>
      </c>
      <c r="Q389" s="141">
        <f>Calculations!Q150*(1+$D$246)</f>
        <v>0</v>
      </c>
      <c r="R389" s="141">
        <f>Calculations!R150*(1+$D$246)</f>
        <v>0</v>
      </c>
      <c r="S389" s="141">
        <f>Calculations!S150*(1+$D$246)</f>
        <v>0</v>
      </c>
      <c r="T389" s="141">
        <f>Calculations!T150*(1+$D$246)</f>
        <v>0</v>
      </c>
      <c r="U389" s="141">
        <f>Calculations!U150*(1+$D$246)</f>
        <v>0</v>
      </c>
      <c r="V389" s="141">
        <f>Calculations!V150*(1+$D$246)</f>
        <v>0</v>
      </c>
      <c r="W389" s="141">
        <f>Calculations!W150*(1+$D$246)</f>
        <v>0</v>
      </c>
      <c r="X389" s="141">
        <f>Calculations!X150*(1+$D$246)</f>
        <v>0</v>
      </c>
      <c r="Y389" s="141">
        <f>Calculations!Y150*(1+$D$246)</f>
        <v>0</v>
      </c>
      <c r="Z389" s="287"/>
    </row>
    <row r="390" spans="1:26" ht="13.5" thickBot="1" x14ac:dyDescent="0.25">
      <c r="B390" s="107"/>
      <c r="C390" s="137" t="str">
        <f>'User Input'!D195</f>
        <v>Risk 4</v>
      </c>
      <c r="D390" s="67">
        <f>SUM(E390:Y390)</f>
        <v>0</v>
      </c>
      <c r="E390" s="141">
        <f>Calculations!E151*(1+$D$246)</f>
        <v>0</v>
      </c>
      <c r="F390" s="141">
        <f>Calculations!F151*(1+$D$246)</f>
        <v>0</v>
      </c>
      <c r="G390" s="141">
        <f>Calculations!G151*(1+$D$246)</f>
        <v>0</v>
      </c>
      <c r="H390" s="141">
        <f>Calculations!H151*(1+$D$246)</f>
        <v>0</v>
      </c>
      <c r="I390" s="141">
        <f>Calculations!I151*(1+$D$246)</f>
        <v>0</v>
      </c>
      <c r="J390" s="141">
        <f>Calculations!J151*(1+$D$246)</f>
        <v>0</v>
      </c>
      <c r="K390" s="141">
        <f>Calculations!K151*(1+$D$246)</f>
        <v>0</v>
      </c>
      <c r="L390" s="141">
        <f>Calculations!L151*(1+$D$246)</f>
        <v>0</v>
      </c>
      <c r="M390" s="141">
        <f>Calculations!M151*(1+$D$246)</f>
        <v>0</v>
      </c>
      <c r="N390" s="141">
        <f>Calculations!N151*(1+$D$246)</f>
        <v>0</v>
      </c>
      <c r="O390" s="141">
        <f>Calculations!O151*(1+$D$246)</f>
        <v>0</v>
      </c>
      <c r="P390" s="141">
        <f>Calculations!P151*(1+$D$246)</f>
        <v>0</v>
      </c>
      <c r="Q390" s="141">
        <f>Calculations!Q151*(1+$D$246)</f>
        <v>0</v>
      </c>
      <c r="R390" s="141">
        <f>Calculations!R151*(1+$D$246)</f>
        <v>0</v>
      </c>
      <c r="S390" s="141">
        <f>Calculations!S151*(1+$D$246)</f>
        <v>0</v>
      </c>
      <c r="T390" s="141">
        <f>Calculations!T151*(1+$D$246)</f>
        <v>0</v>
      </c>
      <c r="U390" s="141">
        <f>Calculations!U151*(1+$D$246)</f>
        <v>0</v>
      </c>
      <c r="V390" s="141">
        <f>Calculations!V151*(1+$D$246)</f>
        <v>0</v>
      </c>
      <c r="W390" s="141">
        <f>Calculations!W151*(1+$D$246)</f>
        <v>0</v>
      </c>
      <c r="X390" s="141">
        <f>Calculations!X151*(1+$D$246)</f>
        <v>0</v>
      </c>
      <c r="Y390" s="141">
        <f>Calculations!Y151*(1+$D$246)</f>
        <v>0</v>
      </c>
      <c r="Z390" s="287"/>
    </row>
    <row r="391" spans="1:26" ht="13.5" thickBot="1" x14ac:dyDescent="0.25">
      <c r="B391" s="107"/>
      <c r="C391" s="137" t="str">
        <f>'User Input'!D196</f>
        <v>Risk 5</v>
      </c>
      <c r="D391" s="67">
        <f>SUM(E391:Y391)</f>
        <v>0</v>
      </c>
      <c r="E391" s="141">
        <f>Calculations!E152*(1+$D$246)</f>
        <v>0</v>
      </c>
      <c r="F391" s="141">
        <f>Calculations!F152*(1+$D$246)</f>
        <v>0</v>
      </c>
      <c r="G391" s="141">
        <f>Calculations!G152*(1+$D$246)</f>
        <v>0</v>
      </c>
      <c r="H391" s="141">
        <f>Calculations!H152*(1+$D$246)</f>
        <v>0</v>
      </c>
      <c r="I391" s="141">
        <f>Calculations!I152*(1+$D$246)</f>
        <v>0</v>
      </c>
      <c r="J391" s="141">
        <f>Calculations!J152*(1+$D$246)</f>
        <v>0</v>
      </c>
      <c r="K391" s="141">
        <f>Calculations!K152*(1+$D$246)</f>
        <v>0</v>
      </c>
      <c r="L391" s="141">
        <f>Calculations!L152*(1+$D$246)</f>
        <v>0</v>
      </c>
      <c r="M391" s="141">
        <f>Calculations!M152*(1+$D$246)</f>
        <v>0</v>
      </c>
      <c r="N391" s="141">
        <f>Calculations!N152*(1+$D$246)</f>
        <v>0</v>
      </c>
      <c r="O391" s="141">
        <f>Calculations!O152*(1+$D$246)</f>
        <v>0</v>
      </c>
      <c r="P391" s="141">
        <f>Calculations!P152*(1+$D$246)</f>
        <v>0</v>
      </c>
      <c r="Q391" s="141">
        <f>Calculations!Q152*(1+$D$246)</f>
        <v>0</v>
      </c>
      <c r="R391" s="141">
        <f>Calculations!R152*(1+$D$246)</f>
        <v>0</v>
      </c>
      <c r="S391" s="141">
        <f>Calculations!S152*(1+$D$246)</f>
        <v>0</v>
      </c>
      <c r="T391" s="141">
        <f>Calculations!T152*(1+$D$246)</f>
        <v>0</v>
      </c>
      <c r="U391" s="141">
        <f>Calculations!U152*(1+$D$246)</f>
        <v>0</v>
      </c>
      <c r="V391" s="141">
        <f>Calculations!V152*(1+$D$246)</f>
        <v>0</v>
      </c>
      <c r="W391" s="141">
        <f>Calculations!W152*(1+$D$246)</f>
        <v>0</v>
      </c>
      <c r="X391" s="141">
        <f>Calculations!X152*(1+$D$246)</f>
        <v>0</v>
      </c>
      <c r="Y391" s="141">
        <f>Calculations!Y152*(1+$D$246)</f>
        <v>0</v>
      </c>
      <c r="Z391" s="287"/>
    </row>
    <row r="392" spans="1:26" ht="13.5" thickBot="1" x14ac:dyDescent="0.25">
      <c r="B392" s="107"/>
      <c r="C392" s="53" t="s">
        <v>2</v>
      </c>
      <c r="D392" s="67">
        <f t="shared" si="63"/>
        <v>0</v>
      </c>
      <c r="E392" s="68">
        <f>SUM(E373:E391)</f>
        <v>0</v>
      </c>
      <c r="F392" s="69">
        <f t="shared" ref="F392:Y392" si="64">SUM(F373:F391)</f>
        <v>0</v>
      </c>
      <c r="G392" s="69">
        <f t="shared" si="64"/>
        <v>0</v>
      </c>
      <c r="H392" s="69">
        <f t="shared" si="64"/>
        <v>0</v>
      </c>
      <c r="I392" s="69">
        <f t="shared" si="64"/>
        <v>0</v>
      </c>
      <c r="J392" s="69">
        <f t="shared" si="64"/>
        <v>0</v>
      </c>
      <c r="K392" s="69">
        <f t="shared" si="64"/>
        <v>0</v>
      </c>
      <c r="L392" s="69">
        <f t="shared" si="64"/>
        <v>0</v>
      </c>
      <c r="M392" s="69">
        <f t="shared" si="64"/>
        <v>0</v>
      </c>
      <c r="N392" s="69">
        <f t="shared" si="64"/>
        <v>0</v>
      </c>
      <c r="O392" s="69">
        <f t="shared" si="64"/>
        <v>0</v>
      </c>
      <c r="P392" s="69">
        <f t="shared" si="64"/>
        <v>0</v>
      </c>
      <c r="Q392" s="69">
        <f t="shared" si="64"/>
        <v>0</v>
      </c>
      <c r="R392" s="69">
        <f t="shared" si="64"/>
        <v>0</v>
      </c>
      <c r="S392" s="69">
        <f t="shared" si="64"/>
        <v>0</v>
      </c>
      <c r="T392" s="69">
        <f t="shared" si="64"/>
        <v>0</v>
      </c>
      <c r="U392" s="69">
        <f t="shared" si="64"/>
        <v>0</v>
      </c>
      <c r="V392" s="69">
        <f t="shared" si="64"/>
        <v>0</v>
      </c>
      <c r="W392" s="69">
        <f t="shared" si="64"/>
        <v>0</v>
      </c>
      <c r="X392" s="69">
        <f t="shared" si="64"/>
        <v>0</v>
      </c>
      <c r="Y392" s="150">
        <f t="shared" si="64"/>
        <v>0</v>
      </c>
      <c r="Z392" s="287"/>
    </row>
    <row r="393" spans="1:26" ht="13.5" thickBot="1" x14ac:dyDescent="0.25">
      <c r="B393" s="107"/>
      <c r="C393" s="54" t="s">
        <v>50</v>
      </c>
      <c r="D393" s="67">
        <f t="shared" si="63"/>
        <v>0</v>
      </c>
      <c r="E393" s="77">
        <f t="shared" ref="E393:Y393" si="65">E392/(1+$D$244)^E$238</f>
        <v>0</v>
      </c>
      <c r="F393" s="77">
        <f t="shared" si="65"/>
        <v>0</v>
      </c>
      <c r="G393" s="77">
        <f t="shared" si="65"/>
        <v>0</v>
      </c>
      <c r="H393" s="77">
        <f t="shared" si="65"/>
        <v>0</v>
      </c>
      <c r="I393" s="77">
        <f t="shared" si="65"/>
        <v>0</v>
      </c>
      <c r="J393" s="77">
        <f t="shared" si="65"/>
        <v>0</v>
      </c>
      <c r="K393" s="77">
        <f t="shared" si="65"/>
        <v>0</v>
      </c>
      <c r="L393" s="77">
        <f t="shared" si="65"/>
        <v>0</v>
      </c>
      <c r="M393" s="77">
        <f t="shared" si="65"/>
        <v>0</v>
      </c>
      <c r="N393" s="77">
        <f t="shared" si="65"/>
        <v>0</v>
      </c>
      <c r="O393" s="77">
        <f t="shared" si="65"/>
        <v>0</v>
      </c>
      <c r="P393" s="77">
        <f t="shared" si="65"/>
        <v>0</v>
      </c>
      <c r="Q393" s="77">
        <f t="shared" si="65"/>
        <v>0</v>
      </c>
      <c r="R393" s="77">
        <f t="shared" si="65"/>
        <v>0</v>
      </c>
      <c r="S393" s="77">
        <f t="shared" si="65"/>
        <v>0</v>
      </c>
      <c r="T393" s="77">
        <f t="shared" si="65"/>
        <v>0</v>
      </c>
      <c r="U393" s="77">
        <f t="shared" si="65"/>
        <v>0</v>
      </c>
      <c r="V393" s="77">
        <f t="shared" si="65"/>
        <v>0</v>
      </c>
      <c r="W393" s="77">
        <f t="shared" si="65"/>
        <v>0</v>
      </c>
      <c r="X393" s="77">
        <f t="shared" si="65"/>
        <v>0</v>
      </c>
      <c r="Y393" s="149">
        <f t="shared" si="65"/>
        <v>0</v>
      </c>
      <c r="Z393" s="287"/>
    </row>
    <row r="394" spans="1:26" ht="13.5" thickBot="1" x14ac:dyDescent="0.25">
      <c r="B394" s="108"/>
      <c r="C394" s="297"/>
      <c r="D394" s="297"/>
      <c r="E394" s="298"/>
      <c r="F394" s="298"/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  <c r="X394" s="298"/>
      <c r="Y394" s="299"/>
      <c r="Z394" s="300"/>
    </row>
    <row r="395" spans="1:26" s="291" customFormat="1" ht="13.5" thickBot="1" x14ac:dyDescent="0.25">
      <c r="A395" s="80"/>
      <c r="B395" s="60"/>
      <c r="C395" s="80"/>
      <c r="D395" s="80"/>
      <c r="E395" s="80"/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  <c r="P395" s="185"/>
      <c r="Q395" s="185"/>
      <c r="R395" s="185"/>
      <c r="S395" s="185"/>
      <c r="T395" s="185"/>
      <c r="U395" s="185"/>
      <c r="V395" s="185"/>
      <c r="W395" s="185"/>
      <c r="X395" s="80"/>
      <c r="Y395" s="80"/>
    </row>
    <row r="396" spans="1:26" s="291" customFormat="1" x14ac:dyDescent="0.2">
      <c r="A396" s="80"/>
      <c r="B396" s="374" t="s">
        <v>79</v>
      </c>
      <c r="C396" s="375"/>
      <c r="D396" s="375"/>
      <c r="E396" s="375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  <c r="W396" s="376"/>
      <c r="X396" s="375"/>
      <c r="Y396" s="375"/>
      <c r="Z396" s="377"/>
    </row>
    <row r="397" spans="1:26" s="291" customFormat="1" x14ac:dyDescent="0.2">
      <c r="A397" s="80"/>
      <c r="B397" s="107"/>
      <c r="C397" s="80"/>
      <c r="D397" s="80"/>
      <c r="E397" s="80"/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  <c r="V397" s="185"/>
      <c r="W397" s="185"/>
      <c r="X397" s="80"/>
      <c r="Y397" s="80"/>
      <c r="Z397" s="301"/>
    </row>
    <row r="398" spans="1:26" s="291" customFormat="1" x14ac:dyDescent="0.2">
      <c r="A398" s="85"/>
      <c r="B398" s="107"/>
      <c r="C398" s="79" t="s">
        <v>2</v>
      </c>
      <c r="D398" s="80"/>
      <c r="E398" s="80"/>
      <c r="F398" s="185"/>
      <c r="G398" s="185"/>
      <c r="H398" s="185"/>
      <c r="I398" s="185"/>
      <c r="J398" s="185"/>
      <c r="K398" s="185"/>
      <c r="L398" s="185"/>
      <c r="M398" s="185"/>
      <c r="N398" s="185"/>
      <c r="O398" s="185"/>
      <c r="P398" s="185"/>
      <c r="Q398" s="185"/>
      <c r="R398" s="185"/>
      <c r="S398" s="185"/>
      <c r="T398" s="185"/>
      <c r="U398" s="185"/>
      <c r="V398" s="185"/>
      <c r="W398" s="185"/>
      <c r="X398" s="80"/>
      <c r="Y398" s="80"/>
      <c r="Z398" s="301"/>
    </row>
    <row r="399" spans="1:26" s="291" customFormat="1" x14ac:dyDescent="0.2">
      <c r="A399" s="85"/>
      <c r="B399" s="107"/>
      <c r="C399" s="80"/>
      <c r="D399" s="80"/>
      <c r="E399" s="80"/>
      <c r="F399" s="185"/>
      <c r="G399" s="185"/>
      <c r="H399" s="185"/>
      <c r="I399" s="185"/>
      <c r="J399" s="185"/>
      <c r="K399" s="185"/>
      <c r="L399" s="185"/>
      <c r="M399" s="185"/>
      <c r="N399" s="185"/>
      <c r="O399" s="185"/>
      <c r="P399" s="185"/>
      <c r="Q399" s="185"/>
      <c r="R399" s="185"/>
      <c r="S399" s="185"/>
      <c r="T399" s="185"/>
      <c r="U399" s="185"/>
      <c r="V399" s="185"/>
      <c r="W399" s="185"/>
      <c r="X399" s="80"/>
      <c r="Y399" s="80"/>
      <c r="Z399" s="301"/>
    </row>
    <row r="400" spans="1:26" s="291" customFormat="1" x14ac:dyDescent="0.2">
      <c r="A400" s="130">
        <v>1</v>
      </c>
      <c r="B400" s="107"/>
      <c r="C400" s="80" t="str">
        <f>B251</f>
        <v>"Status Quo" Reference Case</v>
      </c>
      <c r="D400" s="80"/>
      <c r="E400" s="145">
        <f t="shared" ref="E400:Y400" si="66">E272</f>
        <v>0</v>
      </c>
      <c r="F400" s="145">
        <f t="shared" si="66"/>
        <v>151.36513216305212</v>
      </c>
      <c r="G400" s="145">
        <f t="shared" si="66"/>
        <v>308.60323145403072</v>
      </c>
      <c r="H400" s="145">
        <f t="shared" si="66"/>
        <v>314.59013414423896</v>
      </c>
      <c r="I400" s="145">
        <f t="shared" si="66"/>
        <v>320.69318274663715</v>
      </c>
      <c r="J400" s="145">
        <f t="shared" si="66"/>
        <v>326.91463049192191</v>
      </c>
      <c r="K400" s="145">
        <f t="shared" si="66"/>
        <v>333.25677432346515</v>
      </c>
      <c r="L400" s="145">
        <f t="shared" si="66"/>
        <v>339.72195574534038</v>
      </c>
      <c r="M400" s="145">
        <f t="shared" si="66"/>
        <v>346.3125616868</v>
      </c>
      <c r="N400" s="145">
        <f t="shared" si="66"/>
        <v>353.03102538352391</v>
      </c>
      <c r="O400" s="145">
        <f t="shared" si="66"/>
        <v>359.87982727596432</v>
      </c>
      <c r="P400" s="145">
        <f t="shared" si="66"/>
        <v>366.86149592511799</v>
      </c>
      <c r="Q400" s="145">
        <f t="shared" si="66"/>
        <v>373.97860894606526</v>
      </c>
      <c r="R400" s="145">
        <f t="shared" si="66"/>
        <v>381.23379395961894</v>
      </c>
      <c r="S400" s="145">
        <f t="shared" si="66"/>
        <v>388.62972956243556</v>
      </c>
      <c r="T400" s="145">
        <f t="shared" si="66"/>
        <v>396.1691463159467</v>
      </c>
      <c r="U400" s="145">
        <f t="shared" si="66"/>
        <v>403.8548277544761</v>
      </c>
      <c r="V400" s="145">
        <f t="shared" si="66"/>
        <v>411.68961141291294</v>
      </c>
      <c r="W400" s="145">
        <f t="shared" si="66"/>
        <v>419.67638987432343</v>
      </c>
      <c r="X400" s="145">
        <f t="shared" si="66"/>
        <v>427.81811183788528</v>
      </c>
      <c r="Y400" s="145">
        <f t="shared" si="66"/>
        <v>436.1177832075403</v>
      </c>
      <c r="Z400" s="301"/>
    </row>
    <row r="401" spans="1:26" s="291" customFormat="1" x14ac:dyDescent="0.2">
      <c r="A401" s="130">
        <v>2</v>
      </c>
      <c r="B401" s="107"/>
      <c r="C401" s="80" t="str">
        <f>B275</f>
        <v>Option 1: Provide In Meter Capabilities</v>
      </c>
      <c r="D401" s="80"/>
      <c r="E401" s="302">
        <f t="shared" ref="E401:Y401" si="67">E296</f>
        <v>1592.5653862840418</v>
      </c>
      <c r="F401" s="302">
        <f t="shared" si="67"/>
        <v>1272.3183876729231</v>
      </c>
      <c r="G401" s="302">
        <f t="shared" si="67"/>
        <v>0</v>
      </c>
      <c r="H401" s="302">
        <f t="shared" si="67"/>
        <v>0</v>
      </c>
      <c r="I401" s="302">
        <f t="shared" si="67"/>
        <v>0</v>
      </c>
      <c r="J401" s="302">
        <f t="shared" si="67"/>
        <v>0</v>
      </c>
      <c r="K401" s="302">
        <f t="shared" si="67"/>
        <v>0</v>
      </c>
      <c r="L401" s="302">
        <f t="shared" si="67"/>
        <v>0</v>
      </c>
      <c r="M401" s="302">
        <f t="shared" si="67"/>
        <v>0</v>
      </c>
      <c r="N401" s="302">
        <f t="shared" si="67"/>
        <v>0</v>
      </c>
      <c r="O401" s="302">
        <f t="shared" si="67"/>
        <v>0</v>
      </c>
      <c r="P401" s="302">
        <f t="shared" si="67"/>
        <v>0</v>
      </c>
      <c r="Q401" s="302">
        <f t="shared" si="67"/>
        <v>0</v>
      </c>
      <c r="R401" s="302">
        <f t="shared" si="67"/>
        <v>0</v>
      </c>
      <c r="S401" s="302">
        <f t="shared" si="67"/>
        <v>0</v>
      </c>
      <c r="T401" s="302">
        <f t="shared" si="67"/>
        <v>0</v>
      </c>
      <c r="U401" s="302">
        <f t="shared" si="67"/>
        <v>0</v>
      </c>
      <c r="V401" s="302">
        <f t="shared" si="67"/>
        <v>0</v>
      </c>
      <c r="W401" s="302">
        <f t="shared" si="67"/>
        <v>0</v>
      </c>
      <c r="X401" s="302">
        <f t="shared" si="67"/>
        <v>0</v>
      </c>
      <c r="Y401" s="302">
        <f t="shared" si="67"/>
        <v>0</v>
      </c>
      <c r="Z401" s="301"/>
    </row>
    <row r="402" spans="1:26" s="291" customFormat="1" x14ac:dyDescent="0.2">
      <c r="A402" s="130">
        <v>3</v>
      </c>
      <c r="B402" s="107"/>
      <c r="C402" s="80" t="str">
        <f>B299</f>
        <v>Option 2: Provide In Meter Capabilities with Near Real-time Centralised Analytics</v>
      </c>
      <c r="D402" s="80"/>
      <c r="E402" s="302">
        <f t="shared" ref="E402:Y402" si="68">E320</f>
        <v>7127.2575474068108</v>
      </c>
      <c r="F402" s="302">
        <f t="shared" si="68"/>
        <v>5692.5398903880641</v>
      </c>
      <c r="G402" s="302">
        <f t="shared" si="68"/>
        <v>0</v>
      </c>
      <c r="H402" s="302">
        <f t="shared" si="68"/>
        <v>0</v>
      </c>
      <c r="I402" s="302">
        <f t="shared" si="68"/>
        <v>0</v>
      </c>
      <c r="J402" s="302">
        <f t="shared" si="68"/>
        <v>0</v>
      </c>
      <c r="K402" s="302">
        <f t="shared" si="68"/>
        <v>0</v>
      </c>
      <c r="L402" s="302">
        <f t="shared" si="68"/>
        <v>0</v>
      </c>
      <c r="M402" s="302">
        <f t="shared" si="68"/>
        <v>0</v>
      </c>
      <c r="N402" s="302">
        <f t="shared" si="68"/>
        <v>0</v>
      </c>
      <c r="O402" s="302">
        <f t="shared" si="68"/>
        <v>0</v>
      </c>
      <c r="P402" s="302">
        <f t="shared" si="68"/>
        <v>0</v>
      </c>
      <c r="Q402" s="302">
        <f t="shared" si="68"/>
        <v>0</v>
      </c>
      <c r="R402" s="302">
        <f t="shared" si="68"/>
        <v>0</v>
      </c>
      <c r="S402" s="302">
        <f t="shared" si="68"/>
        <v>0</v>
      </c>
      <c r="T402" s="302">
        <f t="shared" si="68"/>
        <v>0</v>
      </c>
      <c r="U402" s="302">
        <f t="shared" si="68"/>
        <v>0</v>
      </c>
      <c r="V402" s="302">
        <f t="shared" si="68"/>
        <v>0</v>
      </c>
      <c r="W402" s="302">
        <f t="shared" si="68"/>
        <v>0</v>
      </c>
      <c r="X402" s="302">
        <f t="shared" si="68"/>
        <v>0</v>
      </c>
      <c r="Y402" s="302">
        <f t="shared" si="68"/>
        <v>0</v>
      </c>
      <c r="Z402" s="301"/>
    </row>
    <row r="403" spans="1:26" s="291" customFormat="1" x14ac:dyDescent="0.2">
      <c r="A403" s="131">
        <v>4</v>
      </c>
      <c r="B403" s="107"/>
      <c r="C403" s="80" t="str">
        <f>B323</f>
        <v xml:space="preserve">Option 3: </v>
      </c>
      <c r="D403" s="80"/>
      <c r="E403" s="302">
        <f t="shared" ref="E403:Y403" si="69">E344</f>
        <v>0</v>
      </c>
      <c r="F403" s="302">
        <f t="shared" si="69"/>
        <v>0</v>
      </c>
      <c r="G403" s="302">
        <f t="shared" si="69"/>
        <v>0</v>
      </c>
      <c r="H403" s="302">
        <f t="shared" si="69"/>
        <v>0</v>
      </c>
      <c r="I403" s="302">
        <f t="shared" si="69"/>
        <v>0</v>
      </c>
      <c r="J403" s="302">
        <f t="shared" si="69"/>
        <v>0</v>
      </c>
      <c r="K403" s="302">
        <f t="shared" si="69"/>
        <v>0</v>
      </c>
      <c r="L403" s="302">
        <f t="shared" si="69"/>
        <v>0</v>
      </c>
      <c r="M403" s="302">
        <f t="shared" si="69"/>
        <v>0</v>
      </c>
      <c r="N403" s="302">
        <f t="shared" si="69"/>
        <v>0</v>
      </c>
      <c r="O403" s="302">
        <f t="shared" si="69"/>
        <v>0</v>
      </c>
      <c r="P403" s="302">
        <f t="shared" si="69"/>
        <v>0</v>
      </c>
      <c r="Q403" s="302">
        <f t="shared" si="69"/>
        <v>0</v>
      </c>
      <c r="R403" s="302">
        <f t="shared" si="69"/>
        <v>0</v>
      </c>
      <c r="S403" s="302">
        <f t="shared" si="69"/>
        <v>0</v>
      </c>
      <c r="T403" s="302">
        <f t="shared" si="69"/>
        <v>0</v>
      </c>
      <c r="U403" s="302">
        <f t="shared" si="69"/>
        <v>0</v>
      </c>
      <c r="V403" s="302">
        <f t="shared" si="69"/>
        <v>0</v>
      </c>
      <c r="W403" s="302">
        <f t="shared" si="69"/>
        <v>0</v>
      </c>
      <c r="X403" s="302">
        <f t="shared" si="69"/>
        <v>0</v>
      </c>
      <c r="Y403" s="302">
        <f t="shared" si="69"/>
        <v>0</v>
      </c>
      <c r="Z403" s="301"/>
    </row>
    <row r="404" spans="1:26" s="291" customFormat="1" x14ac:dyDescent="0.2">
      <c r="A404" s="131">
        <v>5</v>
      </c>
      <c r="B404" s="107"/>
      <c r="C404" s="80" t="str">
        <f>B347</f>
        <v xml:space="preserve">Option 4: </v>
      </c>
      <c r="D404" s="80"/>
      <c r="E404" s="302">
        <f t="shared" ref="E404:Y404" si="70">E368</f>
        <v>0</v>
      </c>
      <c r="F404" s="302">
        <f t="shared" si="70"/>
        <v>0</v>
      </c>
      <c r="G404" s="302">
        <f t="shared" si="70"/>
        <v>0</v>
      </c>
      <c r="H404" s="302">
        <f t="shared" si="70"/>
        <v>0</v>
      </c>
      <c r="I404" s="302">
        <f t="shared" si="70"/>
        <v>0</v>
      </c>
      <c r="J404" s="302">
        <f t="shared" si="70"/>
        <v>0</v>
      </c>
      <c r="K404" s="302">
        <f t="shared" si="70"/>
        <v>0</v>
      </c>
      <c r="L404" s="302">
        <f t="shared" si="70"/>
        <v>0</v>
      </c>
      <c r="M404" s="302">
        <f t="shared" si="70"/>
        <v>0</v>
      </c>
      <c r="N404" s="302">
        <f t="shared" si="70"/>
        <v>0</v>
      </c>
      <c r="O404" s="302">
        <f t="shared" si="70"/>
        <v>0</v>
      </c>
      <c r="P404" s="302">
        <f t="shared" si="70"/>
        <v>0</v>
      </c>
      <c r="Q404" s="302">
        <f t="shared" si="70"/>
        <v>0</v>
      </c>
      <c r="R404" s="302">
        <f t="shared" si="70"/>
        <v>0</v>
      </c>
      <c r="S404" s="302">
        <f t="shared" si="70"/>
        <v>0</v>
      </c>
      <c r="T404" s="302">
        <f t="shared" si="70"/>
        <v>0</v>
      </c>
      <c r="U404" s="302">
        <f t="shared" si="70"/>
        <v>0</v>
      </c>
      <c r="V404" s="302">
        <f t="shared" si="70"/>
        <v>0</v>
      </c>
      <c r="W404" s="302">
        <f t="shared" si="70"/>
        <v>0</v>
      </c>
      <c r="X404" s="302">
        <f t="shared" si="70"/>
        <v>0</v>
      </c>
      <c r="Y404" s="302">
        <f t="shared" si="70"/>
        <v>0</v>
      </c>
      <c r="Z404" s="301"/>
    </row>
    <row r="405" spans="1:26" s="291" customFormat="1" x14ac:dyDescent="0.2">
      <c r="A405" s="131">
        <v>6</v>
      </c>
      <c r="B405" s="107"/>
      <c r="C405" s="80" t="str">
        <f>B371</f>
        <v xml:space="preserve">Option 5: </v>
      </c>
      <c r="D405" s="80"/>
      <c r="E405" s="302">
        <f t="shared" ref="E405:Y405" si="71">E392</f>
        <v>0</v>
      </c>
      <c r="F405" s="302">
        <f t="shared" si="71"/>
        <v>0</v>
      </c>
      <c r="G405" s="302">
        <f t="shared" si="71"/>
        <v>0</v>
      </c>
      <c r="H405" s="302">
        <f t="shared" si="71"/>
        <v>0</v>
      </c>
      <c r="I405" s="302">
        <f t="shared" si="71"/>
        <v>0</v>
      </c>
      <c r="J405" s="302">
        <f t="shared" si="71"/>
        <v>0</v>
      </c>
      <c r="K405" s="302">
        <f t="shared" si="71"/>
        <v>0</v>
      </c>
      <c r="L405" s="302">
        <f t="shared" si="71"/>
        <v>0</v>
      </c>
      <c r="M405" s="302">
        <f t="shared" si="71"/>
        <v>0</v>
      </c>
      <c r="N405" s="302">
        <f t="shared" si="71"/>
        <v>0</v>
      </c>
      <c r="O405" s="302">
        <f t="shared" si="71"/>
        <v>0</v>
      </c>
      <c r="P405" s="302">
        <f t="shared" si="71"/>
        <v>0</v>
      </c>
      <c r="Q405" s="302">
        <f t="shared" si="71"/>
        <v>0</v>
      </c>
      <c r="R405" s="302">
        <f t="shared" si="71"/>
        <v>0</v>
      </c>
      <c r="S405" s="302">
        <f t="shared" si="71"/>
        <v>0</v>
      </c>
      <c r="T405" s="302">
        <f t="shared" si="71"/>
        <v>0</v>
      </c>
      <c r="U405" s="302">
        <f t="shared" si="71"/>
        <v>0</v>
      </c>
      <c r="V405" s="302">
        <f t="shared" si="71"/>
        <v>0</v>
      </c>
      <c r="W405" s="302">
        <f t="shared" si="71"/>
        <v>0</v>
      </c>
      <c r="X405" s="302">
        <f t="shared" si="71"/>
        <v>0</v>
      </c>
      <c r="Y405" s="302">
        <f t="shared" si="71"/>
        <v>0</v>
      </c>
      <c r="Z405" s="301"/>
    </row>
    <row r="406" spans="1:26" s="291" customFormat="1" x14ac:dyDescent="0.2">
      <c r="A406" s="85"/>
      <c r="B406" s="107"/>
      <c r="C406" s="80"/>
      <c r="D406" s="80"/>
      <c r="E406" s="80"/>
      <c r="F406" s="185"/>
      <c r="G406" s="185"/>
      <c r="H406" s="185"/>
      <c r="I406" s="185"/>
      <c r="J406" s="185"/>
      <c r="K406" s="185"/>
      <c r="L406" s="185"/>
      <c r="M406" s="185"/>
      <c r="N406" s="185"/>
      <c r="O406" s="185"/>
      <c r="P406" s="185"/>
      <c r="Q406" s="185"/>
      <c r="R406" s="185"/>
      <c r="S406" s="185"/>
      <c r="T406" s="185"/>
      <c r="U406" s="185"/>
      <c r="V406" s="185"/>
      <c r="W406" s="185"/>
      <c r="X406" s="80"/>
      <c r="Y406" s="80"/>
      <c r="Z406" s="301"/>
    </row>
    <row r="407" spans="1:26" s="291" customFormat="1" x14ac:dyDescent="0.2">
      <c r="A407" s="85"/>
      <c r="B407" s="107"/>
      <c r="C407" s="79" t="s">
        <v>80</v>
      </c>
      <c r="D407" s="80"/>
      <c r="E407" s="80"/>
      <c r="F407" s="185"/>
      <c r="G407" s="185"/>
      <c r="H407" s="185"/>
      <c r="I407" s="185"/>
      <c r="J407" s="185"/>
      <c r="K407" s="185"/>
      <c r="L407" s="185"/>
      <c r="M407" s="185"/>
      <c r="N407" s="185"/>
      <c r="O407" s="185"/>
      <c r="P407" s="185"/>
      <c r="Q407" s="185"/>
      <c r="R407" s="185"/>
      <c r="S407" s="185"/>
      <c r="T407" s="185"/>
      <c r="U407" s="185"/>
      <c r="V407" s="185"/>
      <c r="W407" s="185"/>
      <c r="X407" s="80"/>
      <c r="Y407" s="80"/>
      <c r="Z407" s="301"/>
    </row>
    <row r="408" spans="1:26" s="291" customFormat="1" x14ac:dyDescent="0.2">
      <c r="A408" s="85"/>
      <c r="B408" s="107"/>
      <c r="C408" s="80"/>
      <c r="D408" s="80"/>
      <c r="E408" s="80"/>
      <c r="F408" s="185"/>
      <c r="G408" s="185"/>
      <c r="H408" s="185"/>
      <c r="I408" s="185"/>
      <c r="J408" s="185"/>
      <c r="K408" s="185"/>
      <c r="L408" s="185"/>
      <c r="M408" s="185"/>
      <c r="N408" s="185"/>
      <c r="O408" s="185"/>
      <c r="P408" s="185"/>
      <c r="Q408" s="185"/>
      <c r="R408" s="185"/>
      <c r="S408" s="185"/>
      <c r="T408" s="185"/>
      <c r="U408" s="185"/>
      <c r="V408" s="185"/>
      <c r="W408" s="185"/>
      <c r="X408" s="80"/>
      <c r="Y408" s="80"/>
      <c r="Z408" s="301"/>
    </row>
    <row r="409" spans="1:26" s="291" customFormat="1" x14ac:dyDescent="0.2">
      <c r="A409" s="130">
        <v>1</v>
      </c>
      <c r="B409" s="107"/>
      <c r="C409" s="80" t="str">
        <f>B251</f>
        <v>"Status Quo" Reference Case</v>
      </c>
      <c r="D409" s="80"/>
      <c r="E409" s="145">
        <f t="shared" ref="E409:Y409" si="72">E273</f>
        <v>0</v>
      </c>
      <c r="F409" s="145">
        <f t="shared" si="72"/>
        <v>138.0187217680789</v>
      </c>
      <c r="G409" s="145">
        <f t="shared" si="72"/>
        <v>256.58117073106524</v>
      </c>
      <c r="H409" s="145">
        <f t="shared" si="72"/>
        <v>238.49625735684137</v>
      </c>
      <c r="I409" s="145">
        <f t="shared" si="72"/>
        <v>221.68604426877366</v>
      </c>
      <c r="J409" s="145">
        <f t="shared" si="72"/>
        <v>206.06068526268612</v>
      </c>
      <c r="K409" s="145">
        <f t="shared" si="72"/>
        <v>191.53666687041323</v>
      </c>
      <c r="L409" s="145">
        <f t="shared" si="72"/>
        <v>178.0363620020965</v>
      </c>
      <c r="M409" s="145">
        <f t="shared" si="72"/>
        <v>165.48761504963724</v>
      </c>
      <c r="N409" s="145">
        <f t="shared" si="72"/>
        <v>153.82335623379248</v>
      </c>
      <c r="O409" s="145">
        <f t="shared" si="72"/>
        <v>142.98124313369934</v>
      </c>
      <c r="P409" s="145">
        <f t="shared" si="72"/>
        <v>132.90332748289694</v>
      </c>
      <c r="Q409" s="145">
        <f t="shared" si="72"/>
        <v>123.53574545095755</v>
      </c>
      <c r="R409" s="145">
        <f t="shared" si="72"/>
        <v>114.82842975536256</v>
      </c>
      <c r="S409" s="145">
        <f t="shared" si="72"/>
        <v>106.73484206493715</v>
      </c>
      <c r="T409" s="145">
        <f t="shared" si="72"/>
        <v>99.211724264609202</v>
      </c>
      <c r="U409" s="145">
        <f t="shared" si="72"/>
        <v>92.218867252067696</v>
      </c>
      <c r="V409" s="145">
        <f t="shared" si="72"/>
        <v>85.718896030598884</v>
      </c>
      <c r="W409" s="145">
        <f t="shared" si="72"/>
        <v>79.677069949477982</v>
      </c>
      <c r="X409" s="145">
        <f t="shared" si="72"/>
        <v>74.061097024252618</v>
      </c>
      <c r="Y409" s="145">
        <f t="shared" si="72"/>
        <v>68.840961344509083</v>
      </c>
      <c r="Z409" s="301"/>
    </row>
    <row r="410" spans="1:26" s="291" customFormat="1" x14ac:dyDescent="0.2">
      <c r="A410" s="130">
        <v>2</v>
      </c>
      <c r="B410" s="107"/>
      <c r="C410" s="80" t="str">
        <f>B275</f>
        <v>Option 1: Provide In Meter Capabilities</v>
      </c>
      <c r="D410" s="80"/>
      <c r="E410" s="145">
        <f t="shared" ref="E410:Y410" si="73">E297</f>
        <v>1592.5653862840418</v>
      </c>
      <c r="F410" s="145">
        <f t="shared" si="73"/>
        <v>1160.1334801430867</v>
      </c>
      <c r="G410" s="145">
        <f t="shared" si="73"/>
        <v>0</v>
      </c>
      <c r="H410" s="145">
        <f t="shared" si="73"/>
        <v>0</v>
      </c>
      <c r="I410" s="145">
        <f t="shared" si="73"/>
        <v>0</v>
      </c>
      <c r="J410" s="145">
        <f t="shared" si="73"/>
        <v>0</v>
      </c>
      <c r="K410" s="145">
        <f t="shared" si="73"/>
        <v>0</v>
      </c>
      <c r="L410" s="145">
        <f t="shared" si="73"/>
        <v>0</v>
      </c>
      <c r="M410" s="145">
        <f t="shared" si="73"/>
        <v>0</v>
      </c>
      <c r="N410" s="145">
        <f t="shared" si="73"/>
        <v>0</v>
      </c>
      <c r="O410" s="145">
        <f t="shared" si="73"/>
        <v>0</v>
      </c>
      <c r="P410" s="145">
        <f t="shared" si="73"/>
        <v>0</v>
      </c>
      <c r="Q410" s="145">
        <f t="shared" si="73"/>
        <v>0</v>
      </c>
      <c r="R410" s="145">
        <f t="shared" si="73"/>
        <v>0</v>
      </c>
      <c r="S410" s="145">
        <f t="shared" si="73"/>
        <v>0</v>
      </c>
      <c r="T410" s="145">
        <f t="shared" si="73"/>
        <v>0</v>
      </c>
      <c r="U410" s="145">
        <f t="shared" si="73"/>
        <v>0</v>
      </c>
      <c r="V410" s="145">
        <f t="shared" si="73"/>
        <v>0</v>
      </c>
      <c r="W410" s="145">
        <f t="shared" si="73"/>
        <v>0</v>
      </c>
      <c r="X410" s="145">
        <f t="shared" si="73"/>
        <v>0</v>
      </c>
      <c r="Y410" s="145">
        <f t="shared" si="73"/>
        <v>0</v>
      </c>
      <c r="Z410" s="301"/>
    </row>
    <row r="411" spans="1:26" s="291" customFormat="1" x14ac:dyDescent="0.2">
      <c r="A411" s="130">
        <v>3</v>
      </c>
      <c r="B411" s="107"/>
      <c r="C411" s="80" t="str">
        <f>B299</f>
        <v>Option 2: Provide In Meter Capabilities with Near Real-time Centralised Analytics</v>
      </c>
      <c r="D411" s="80"/>
      <c r="E411" s="145">
        <f t="shared" ref="E411:Y411" si="74">E321</f>
        <v>7127.2575474068108</v>
      </c>
      <c r="F411" s="145">
        <f t="shared" si="74"/>
        <v>5190.6080882539109</v>
      </c>
      <c r="G411" s="145">
        <f t="shared" si="74"/>
        <v>0</v>
      </c>
      <c r="H411" s="145">
        <f t="shared" si="74"/>
        <v>0</v>
      </c>
      <c r="I411" s="145">
        <f t="shared" si="74"/>
        <v>0</v>
      </c>
      <c r="J411" s="145">
        <f t="shared" si="74"/>
        <v>0</v>
      </c>
      <c r="K411" s="145">
        <f t="shared" si="74"/>
        <v>0</v>
      </c>
      <c r="L411" s="145">
        <f t="shared" si="74"/>
        <v>0</v>
      </c>
      <c r="M411" s="145">
        <f t="shared" si="74"/>
        <v>0</v>
      </c>
      <c r="N411" s="145">
        <f t="shared" si="74"/>
        <v>0</v>
      </c>
      <c r="O411" s="145">
        <f t="shared" si="74"/>
        <v>0</v>
      </c>
      <c r="P411" s="145">
        <f t="shared" si="74"/>
        <v>0</v>
      </c>
      <c r="Q411" s="145">
        <f t="shared" si="74"/>
        <v>0</v>
      </c>
      <c r="R411" s="145">
        <f t="shared" si="74"/>
        <v>0</v>
      </c>
      <c r="S411" s="145">
        <f t="shared" si="74"/>
        <v>0</v>
      </c>
      <c r="T411" s="145">
        <f t="shared" si="74"/>
        <v>0</v>
      </c>
      <c r="U411" s="145">
        <f t="shared" si="74"/>
        <v>0</v>
      </c>
      <c r="V411" s="145">
        <f t="shared" si="74"/>
        <v>0</v>
      </c>
      <c r="W411" s="145">
        <f t="shared" si="74"/>
        <v>0</v>
      </c>
      <c r="X411" s="145">
        <f t="shared" si="74"/>
        <v>0</v>
      </c>
      <c r="Y411" s="145">
        <f t="shared" si="74"/>
        <v>0</v>
      </c>
      <c r="Z411" s="301"/>
    </row>
    <row r="412" spans="1:26" s="291" customFormat="1" x14ac:dyDescent="0.2">
      <c r="A412" s="131">
        <v>4</v>
      </c>
      <c r="B412" s="107"/>
      <c r="C412" s="80" t="str">
        <f>B323</f>
        <v xml:space="preserve">Option 3: </v>
      </c>
      <c r="D412" s="80"/>
      <c r="E412" s="145">
        <f t="shared" ref="E412:Y412" si="75">E345</f>
        <v>0</v>
      </c>
      <c r="F412" s="145">
        <f t="shared" si="75"/>
        <v>0</v>
      </c>
      <c r="G412" s="145">
        <f t="shared" si="75"/>
        <v>0</v>
      </c>
      <c r="H412" s="145">
        <f t="shared" si="75"/>
        <v>0</v>
      </c>
      <c r="I412" s="145">
        <f t="shared" si="75"/>
        <v>0</v>
      </c>
      <c r="J412" s="145">
        <f t="shared" si="75"/>
        <v>0</v>
      </c>
      <c r="K412" s="145">
        <f t="shared" si="75"/>
        <v>0</v>
      </c>
      <c r="L412" s="145">
        <f t="shared" si="75"/>
        <v>0</v>
      </c>
      <c r="M412" s="145">
        <f t="shared" si="75"/>
        <v>0</v>
      </c>
      <c r="N412" s="145">
        <f t="shared" si="75"/>
        <v>0</v>
      </c>
      <c r="O412" s="145">
        <f t="shared" si="75"/>
        <v>0</v>
      </c>
      <c r="P412" s="145">
        <f t="shared" si="75"/>
        <v>0</v>
      </c>
      <c r="Q412" s="145">
        <f t="shared" si="75"/>
        <v>0</v>
      </c>
      <c r="R412" s="145">
        <f t="shared" si="75"/>
        <v>0</v>
      </c>
      <c r="S412" s="145">
        <f t="shared" si="75"/>
        <v>0</v>
      </c>
      <c r="T412" s="145">
        <f t="shared" si="75"/>
        <v>0</v>
      </c>
      <c r="U412" s="145">
        <f t="shared" si="75"/>
        <v>0</v>
      </c>
      <c r="V412" s="145">
        <f t="shared" si="75"/>
        <v>0</v>
      </c>
      <c r="W412" s="145">
        <f t="shared" si="75"/>
        <v>0</v>
      </c>
      <c r="X412" s="145">
        <f t="shared" si="75"/>
        <v>0</v>
      </c>
      <c r="Y412" s="145">
        <f t="shared" si="75"/>
        <v>0</v>
      </c>
      <c r="Z412" s="301"/>
    </row>
    <row r="413" spans="1:26" s="291" customFormat="1" x14ac:dyDescent="0.2">
      <c r="A413" s="131">
        <v>5</v>
      </c>
      <c r="B413" s="107"/>
      <c r="C413" s="80" t="str">
        <f>B347</f>
        <v xml:space="preserve">Option 4: </v>
      </c>
      <c r="D413" s="80"/>
      <c r="E413" s="145">
        <f t="shared" ref="E413:Y413" si="76">E369</f>
        <v>0</v>
      </c>
      <c r="F413" s="145">
        <f t="shared" si="76"/>
        <v>0</v>
      </c>
      <c r="G413" s="145">
        <f t="shared" si="76"/>
        <v>0</v>
      </c>
      <c r="H413" s="145">
        <f t="shared" si="76"/>
        <v>0</v>
      </c>
      <c r="I413" s="145">
        <f t="shared" si="76"/>
        <v>0</v>
      </c>
      <c r="J413" s="145">
        <f t="shared" si="76"/>
        <v>0</v>
      </c>
      <c r="K413" s="145">
        <f t="shared" si="76"/>
        <v>0</v>
      </c>
      <c r="L413" s="145">
        <f t="shared" si="76"/>
        <v>0</v>
      </c>
      <c r="M413" s="145">
        <f t="shared" si="76"/>
        <v>0</v>
      </c>
      <c r="N413" s="145">
        <f t="shared" si="76"/>
        <v>0</v>
      </c>
      <c r="O413" s="145">
        <f t="shared" si="76"/>
        <v>0</v>
      </c>
      <c r="P413" s="145">
        <f t="shared" si="76"/>
        <v>0</v>
      </c>
      <c r="Q413" s="145">
        <f t="shared" si="76"/>
        <v>0</v>
      </c>
      <c r="R413" s="145">
        <f t="shared" si="76"/>
        <v>0</v>
      </c>
      <c r="S413" s="145">
        <f t="shared" si="76"/>
        <v>0</v>
      </c>
      <c r="T413" s="145">
        <f t="shared" si="76"/>
        <v>0</v>
      </c>
      <c r="U413" s="145">
        <f t="shared" si="76"/>
        <v>0</v>
      </c>
      <c r="V413" s="145">
        <f t="shared" si="76"/>
        <v>0</v>
      </c>
      <c r="W413" s="145">
        <f t="shared" si="76"/>
        <v>0</v>
      </c>
      <c r="X413" s="145">
        <f t="shared" si="76"/>
        <v>0</v>
      </c>
      <c r="Y413" s="145">
        <f t="shared" si="76"/>
        <v>0</v>
      </c>
      <c r="Z413" s="301"/>
    </row>
    <row r="414" spans="1:26" s="291" customFormat="1" x14ac:dyDescent="0.2">
      <c r="A414" s="131">
        <v>6</v>
      </c>
      <c r="B414" s="107"/>
      <c r="C414" s="80" t="str">
        <f>B371</f>
        <v xml:space="preserve">Option 5: </v>
      </c>
      <c r="D414" s="80"/>
      <c r="E414" s="145">
        <f t="shared" ref="E414:Y414" si="77">E393</f>
        <v>0</v>
      </c>
      <c r="F414" s="145">
        <f t="shared" si="77"/>
        <v>0</v>
      </c>
      <c r="G414" s="145">
        <f t="shared" si="77"/>
        <v>0</v>
      </c>
      <c r="H414" s="145">
        <f t="shared" si="77"/>
        <v>0</v>
      </c>
      <c r="I414" s="145">
        <f t="shared" si="77"/>
        <v>0</v>
      </c>
      <c r="J414" s="145">
        <f t="shared" si="77"/>
        <v>0</v>
      </c>
      <c r="K414" s="145">
        <f t="shared" si="77"/>
        <v>0</v>
      </c>
      <c r="L414" s="145">
        <f t="shared" si="77"/>
        <v>0</v>
      </c>
      <c r="M414" s="145">
        <f t="shared" si="77"/>
        <v>0</v>
      </c>
      <c r="N414" s="145">
        <f t="shared" si="77"/>
        <v>0</v>
      </c>
      <c r="O414" s="145">
        <f t="shared" si="77"/>
        <v>0</v>
      </c>
      <c r="P414" s="145">
        <f t="shared" si="77"/>
        <v>0</v>
      </c>
      <c r="Q414" s="145">
        <f t="shared" si="77"/>
        <v>0</v>
      </c>
      <c r="R414" s="145">
        <f t="shared" si="77"/>
        <v>0</v>
      </c>
      <c r="S414" s="145">
        <f t="shared" si="77"/>
        <v>0</v>
      </c>
      <c r="T414" s="145">
        <f t="shared" si="77"/>
        <v>0</v>
      </c>
      <c r="U414" s="145">
        <f t="shared" si="77"/>
        <v>0</v>
      </c>
      <c r="V414" s="145">
        <f t="shared" si="77"/>
        <v>0</v>
      </c>
      <c r="W414" s="145">
        <f t="shared" si="77"/>
        <v>0</v>
      </c>
      <c r="X414" s="145">
        <f t="shared" si="77"/>
        <v>0</v>
      </c>
      <c r="Y414" s="145">
        <f t="shared" si="77"/>
        <v>0</v>
      </c>
      <c r="Z414" s="301"/>
    </row>
    <row r="415" spans="1:26" s="291" customFormat="1" x14ac:dyDescent="0.2">
      <c r="A415" s="85"/>
      <c r="B415" s="107"/>
      <c r="C415" s="96"/>
      <c r="D415" s="96"/>
      <c r="E415" s="96"/>
      <c r="F415" s="293"/>
      <c r="G415" s="293"/>
      <c r="H415" s="293"/>
      <c r="I415" s="293"/>
      <c r="J415" s="293"/>
      <c r="K415" s="293"/>
      <c r="L415" s="293"/>
      <c r="M415" s="293"/>
      <c r="N415" s="293"/>
      <c r="O415" s="293"/>
      <c r="P415" s="293"/>
      <c r="Q415" s="293"/>
      <c r="R415" s="293"/>
      <c r="S415" s="293"/>
      <c r="T415" s="293"/>
      <c r="U415" s="293"/>
      <c r="V415" s="293"/>
      <c r="W415" s="293"/>
      <c r="X415" s="96"/>
      <c r="Y415" s="96"/>
      <c r="Z415" s="303"/>
    </row>
    <row r="416" spans="1:26" s="291" customFormat="1" x14ac:dyDescent="0.2">
      <c r="A416" s="80"/>
      <c r="B416" s="107"/>
      <c r="C416" s="80"/>
      <c r="D416" s="80"/>
      <c r="E416" s="80"/>
      <c r="F416" s="185"/>
      <c r="G416" s="185"/>
      <c r="H416" s="185"/>
      <c r="I416" s="185"/>
      <c r="J416" s="185"/>
      <c r="K416" s="185"/>
      <c r="L416" s="185"/>
      <c r="M416" s="185"/>
      <c r="N416" s="185"/>
      <c r="O416" s="185"/>
      <c r="P416" s="185"/>
      <c r="Q416" s="185"/>
      <c r="R416" s="185"/>
      <c r="S416" s="185"/>
      <c r="T416" s="185"/>
      <c r="U416" s="185"/>
      <c r="V416" s="185"/>
      <c r="W416" s="185"/>
      <c r="X416" s="80"/>
      <c r="Y416" s="80"/>
      <c r="Z416" s="301"/>
    </row>
    <row r="417" spans="1:26" s="291" customFormat="1" ht="102" x14ac:dyDescent="0.2">
      <c r="A417" s="80"/>
      <c r="B417" s="107"/>
      <c r="C417" s="385"/>
      <c r="D417" s="386" t="str">
        <f>B251</f>
        <v>"Status Quo" Reference Case</v>
      </c>
      <c r="E417" s="386" t="str">
        <f>B275</f>
        <v>Option 1: Provide In Meter Capabilities</v>
      </c>
      <c r="F417" s="387" t="str">
        <f>B299</f>
        <v>Option 2: Provide In Meter Capabilities with Near Real-time Centralised Analytics</v>
      </c>
      <c r="G417" s="388" t="str">
        <f>B323</f>
        <v xml:space="preserve">Option 3: </v>
      </c>
      <c r="H417" s="388" t="str">
        <f>B347</f>
        <v xml:space="preserve">Option 4: </v>
      </c>
      <c r="I417" s="388" t="str">
        <f>B371</f>
        <v xml:space="preserve">Option 5: </v>
      </c>
      <c r="J417" s="185"/>
      <c r="K417" s="185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5"/>
      <c r="W417" s="185"/>
      <c r="X417" s="80"/>
      <c r="Y417" s="80"/>
      <c r="Z417" s="301"/>
    </row>
    <row r="418" spans="1:26" s="291" customFormat="1" x14ac:dyDescent="0.2">
      <c r="A418" s="80"/>
      <c r="B418" s="107"/>
      <c r="C418" s="114"/>
      <c r="D418" s="120"/>
      <c r="E418" s="120"/>
      <c r="F418" s="124"/>
      <c r="G418" s="113"/>
      <c r="H418" s="113"/>
      <c r="I418" s="113"/>
      <c r="J418" s="185"/>
      <c r="K418" s="185"/>
      <c r="L418" s="185"/>
      <c r="M418" s="185"/>
      <c r="N418" s="185"/>
      <c r="O418" s="185"/>
      <c r="P418" s="185"/>
      <c r="Q418" s="185"/>
      <c r="R418" s="185"/>
      <c r="S418" s="185"/>
      <c r="T418" s="185"/>
      <c r="U418" s="185"/>
      <c r="V418" s="185"/>
      <c r="W418" s="185"/>
      <c r="X418" s="80"/>
      <c r="Y418" s="80"/>
      <c r="Z418" s="301"/>
    </row>
    <row r="419" spans="1:26" s="291" customFormat="1" x14ac:dyDescent="0.2">
      <c r="A419" s="80"/>
      <c r="B419" s="107"/>
      <c r="C419" s="114" t="str">
        <f>C253</f>
        <v>Capital Costs</v>
      </c>
      <c r="D419" s="304">
        <f>D253</f>
        <v>7160.3979542112966</v>
      </c>
      <c r="E419" s="304">
        <f>D277</f>
        <v>2864.8837739569649</v>
      </c>
      <c r="F419" s="305">
        <f>D301</f>
        <v>12819.797437794874</v>
      </c>
      <c r="G419" s="306">
        <f>D325</f>
        <v>0</v>
      </c>
      <c r="H419" s="306">
        <f>D349</f>
        <v>0</v>
      </c>
      <c r="I419" s="306">
        <f>D373</f>
        <v>0</v>
      </c>
      <c r="J419" s="185"/>
      <c r="K419" s="185"/>
      <c r="L419" s="185"/>
      <c r="M419" s="185"/>
      <c r="N419" s="185"/>
      <c r="O419" s="185"/>
      <c r="P419" s="185"/>
      <c r="Q419" s="185"/>
      <c r="R419" s="185"/>
      <c r="S419" s="185"/>
      <c r="T419" s="185"/>
      <c r="U419" s="185"/>
      <c r="V419" s="185"/>
      <c r="W419" s="185"/>
      <c r="X419" s="80"/>
      <c r="Y419" s="80"/>
      <c r="Z419" s="301"/>
    </row>
    <row r="420" spans="1:26" s="291" customFormat="1" x14ac:dyDescent="0.2">
      <c r="A420" s="80"/>
      <c r="B420" s="107"/>
      <c r="C420" s="114" t="str">
        <f>C254</f>
        <v>Maintenance Costs</v>
      </c>
      <c r="D420" s="304">
        <f>D254</f>
        <v>0</v>
      </c>
      <c r="E420" s="304">
        <f>D278</f>
        <v>0</v>
      </c>
      <c r="F420" s="305">
        <f>D302</f>
        <v>0</v>
      </c>
      <c r="G420" s="306">
        <f>D326</f>
        <v>0</v>
      </c>
      <c r="H420" s="306">
        <f>D350</f>
        <v>0</v>
      </c>
      <c r="I420" s="306">
        <f>D374</f>
        <v>0</v>
      </c>
      <c r="J420" s="185"/>
      <c r="K420" s="185"/>
      <c r="L420" s="185"/>
      <c r="M420" s="185"/>
      <c r="N420" s="185"/>
      <c r="O420" s="185"/>
      <c r="P420" s="185"/>
      <c r="Q420" s="185"/>
      <c r="R420" s="185"/>
      <c r="S420" s="185"/>
      <c r="T420" s="185"/>
      <c r="U420" s="185"/>
      <c r="V420" s="185"/>
      <c r="W420" s="185"/>
      <c r="X420" s="80"/>
      <c r="Y420" s="80"/>
      <c r="Z420" s="301"/>
    </row>
    <row r="421" spans="1:26" s="291" customFormat="1" x14ac:dyDescent="0.2">
      <c r="A421" s="80"/>
      <c r="B421" s="107"/>
      <c r="C421" s="114" t="str">
        <f>C255</f>
        <v>Negative Impact on Revenue (STPIS)</v>
      </c>
      <c r="D421" s="304">
        <f>SUM(D256:D259)</f>
        <v>0</v>
      </c>
      <c r="E421" s="304">
        <f>SUM(D280:D283)</f>
        <v>0</v>
      </c>
      <c r="F421" s="305">
        <f>SUM(D304:D307)</f>
        <v>0</v>
      </c>
      <c r="G421" s="306">
        <f>SUM(D328:D331)</f>
        <v>0</v>
      </c>
      <c r="H421" s="306">
        <f>SUM(D352:D355)</f>
        <v>0</v>
      </c>
      <c r="I421" s="306">
        <f>SUM(D376:D379)</f>
        <v>0</v>
      </c>
      <c r="J421" s="185"/>
      <c r="K421" s="185"/>
      <c r="L421" s="185"/>
      <c r="M421" s="185"/>
      <c r="N421" s="185"/>
      <c r="O421" s="185"/>
      <c r="P421" s="185"/>
      <c r="Q421" s="185"/>
      <c r="R421" s="185"/>
      <c r="S421" s="185"/>
      <c r="T421" s="185"/>
      <c r="U421" s="185"/>
      <c r="V421" s="185"/>
      <c r="W421" s="185"/>
      <c r="X421" s="80"/>
      <c r="Y421" s="80"/>
      <c r="Z421" s="301"/>
    </row>
    <row r="422" spans="1:26" s="291" customFormat="1" x14ac:dyDescent="0.2">
      <c r="A422" s="80"/>
      <c r="B422" s="107"/>
      <c r="C422" s="114" t="str">
        <f>C260</f>
        <v>Network Outage Costs</v>
      </c>
      <c r="D422" s="304">
        <f>D260</f>
        <v>0</v>
      </c>
      <c r="E422" s="304">
        <f t="shared" ref="E422:E428" si="78">D284</f>
        <v>0</v>
      </c>
      <c r="F422" s="305">
        <f t="shared" ref="F422:F428" si="79">D308</f>
        <v>0</v>
      </c>
      <c r="G422" s="306">
        <f t="shared" ref="G422:G428" si="80">D332</f>
        <v>0</v>
      </c>
      <c r="H422" s="306">
        <f t="shared" ref="H422:H428" si="81">D356</f>
        <v>0</v>
      </c>
      <c r="I422" s="306">
        <f t="shared" ref="I422:I428" si="82">D380</f>
        <v>0</v>
      </c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80"/>
      <c r="Y422" s="80"/>
      <c r="Z422" s="301"/>
    </row>
    <row r="423" spans="1:26" s="291" customFormat="1" x14ac:dyDescent="0.2">
      <c r="A423" s="80"/>
      <c r="B423" s="107"/>
      <c r="C423" s="114" t="str">
        <f>C261</f>
        <v>Loss of F Factor Benefit</v>
      </c>
      <c r="D423" s="304">
        <f>D261</f>
        <v>0</v>
      </c>
      <c r="E423" s="304">
        <f t="shared" si="78"/>
        <v>0</v>
      </c>
      <c r="F423" s="305">
        <f t="shared" si="79"/>
        <v>0</v>
      </c>
      <c r="G423" s="306">
        <f t="shared" si="80"/>
        <v>0</v>
      </c>
      <c r="H423" s="306">
        <f t="shared" si="81"/>
        <v>0</v>
      </c>
      <c r="I423" s="306">
        <f t="shared" si="82"/>
        <v>0</v>
      </c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80"/>
      <c r="Y423" s="80"/>
      <c r="Z423" s="301"/>
    </row>
    <row r="424" spans="1:26" s="291" customFormat="1" x14ac:dyDescent="0.2">
      <c r="A424" s="80"/>
      <c r="B424" s="107"/>
      <c r="C424" s="114" t="str">
        <f t="shared" ref="C424:D428" si="83">C262</f>
        <v>Cost 1</v>
      </c>
      <c r="D424" s="304">
        <f t="shared" si="83"/>
        <v>0</v>
      </c>
      <c r="E424" s="304">
        <f t="shared" si="78"/>
        <v>0</v>
      </c>
      <c r="F424" s="305">
        <f t="shared" si="79"/>
        <v>0</v>
      </c>
      <c r="G424" s="306">
        <f t="shared" si="80"/>
        <v>0</v>
      </c>
      <c r="H424" s="306">
        <f t="shared" si="81"/>
        <v>0</v>
      </c>
      <c r="I424" s="306">
        <f t="shared" si="82"/>
        <v>0</v>
      </c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80"/>
      <c r="Y424" s="80"/>
      <c r="Z424" s="301"/>
    </row>
    <row r="425" spans="1:26" s="291" customFormat="1" x14ac:dyDescent="0.2">
      <c r="A425" s="80"/>
      <c r="B425" s="107"/>
      <c r="C425" s="114" t="str">
        <f t="shared" si="83"/>
        <v>Cost 2</v>
      </c>
      <c r="D425" s="304">
        <f t="shared" si="83"/>
        <v>0</v>
      </c>
      <c r="E425" s="304">
        <f t="shared" si="78"/>
        <v>0</v>
      </c>
      <c r="F425" s="305">
        <f t="shared" si="79"/>
        <v>0</v>
      </c>
      <c r="G425" s="306">
        <f t="shared" si="80"/>
        <v>0</v>
      </c>
      <c r="H425" s="306">
        <f t="shared" si="81"/>
        <v>0</v>
      </c>
      <c r="I425" s="306">
        <f t="shared" si="82"/>
        <v>0</v>
      </c>
      <c r="J425" s="185"/>
      <c r="K425" s="185"/>
      <c r="L425" s="185"/>
      <c r="M425" s="185"/>
      <c r="N425" s="185"/>
      <c r="O425" s="185"/>
      <c r="P425" s="185"/>
      <c r="Q425" s="185"/>
      <c r="R425" s="185"/>
      <c r="S425" s="185"/>
      <c r="T425" s="185"/>
      <c r="U425" s="185"/>
      <c r="V425" s="185"/>
      <c r="W425" s="185"/>
      <c r="X425" s="80"/>
      <c r="Y425" s="80"/>
      <c r="Z425" s="301"/>
    </row>
    <row r="426" spans="1:26" s="291" customFormat="1" x14ac:dyDescent="0.2">
      <c r="A426" s="80"/>
      <c r="B426" s="107"/>
      <c r="C426" s="114" t="str">
        <f t="shared" si="83"/>
        <v>Cost 3</v>
      </c>
      <c r="D426" s="304">
        <f t="shared" si="83"/>
        <v>0</v>
      </c>
      <c r="E426" s="304">
        <f t="shared" si="78"/>
        <v>0</v>
      </c>
      <c r="F426" s="305">
        <f t="shared" si="79"/>
        <v>0</v>
      </c>
      <c r="G426" s="306">
        <f t="shared" si="80"/>
        <v>0</v>
      </c>
      <c r="H426" s="306">
        <f t="shared" si="81"/>
        <v>0</v>
      </c>
      <c r="I426" s="306">
        <f t="shared" si="82"/>
        <v>0</v>
      </c>
      <c r="J426" s="185"/>
      <c r="K426" s="185"/>
      <c r="L426" s="185"/>
      <c r="M426" s="185"/>
      <c r="N426" s="185"/>
      <c r="O426" s="185"/>
      <c r="P426" s="185"/>
      <c r="Q426" s="185"/>
      <c r="R426" s="185"/>
      <c r="S426" s="185"/>
      <c r="T426" s="185"/>
      <c r="U426" s="185"/>
      <c r="V426" s="185"/>
      <c r="W426" s="185"/>
      <c r="X426" s="80"/>
      <c r="Y426" s="80"/>
      <c r="Z426" s="301"/>
    </row>
    <row r="427" spans="1:26" s="291" customFormat="1" x14ac:dyDescent="0.2">
      <c r="A427" s="80"/>
      <c r="B427" s="107"/>
      <c r="C427" s="114" t="str">
        <f t="shared" si="83"/>
        <v>Cost 4</v>
      </c>
      <c r="D427" s="304">
        <f t="shared" si="83"/>
        <v>0</v>
      </c>
      <c r="E427" s="304">
        <f t="shared" si="78"/>
        <v>0</v>
      </c>
      <c r="F427" s="305">
        <f t="shared" si="79"/>
        <v>0</v>
      </c>
      <c r="G427" s="306">
        <f t="shared" si="80"/>
        <v>0</v>
      </c>
      <c r="H427" s="306">
        <f t="shared" si="81"/>
        <v>0</v>
      </c>
      <c r="I427" s="306">
        <f t="shared" si="82"/>
        <v>0</v>
      </c>
      <c r="J427" s="185"/>
      <c r="K427" s="185"/>
      <c r="L427" s="185"/>
      <c r="M427" s="185"/>
      <c r="N427" s="185"/>
      <c r="O427" s="185"/>
      <c r="P427" s="185"/>
      <c r="Q427" s="185"/>
      <c r="R427" s="185"/>
      <c r="S427" s="185"/>
      <c r="T427" s="185"/>
      <c r="U427" s="185"/>
      <c r="V427" s="185"/>
      <c r="W427" s="185"/>
      <c r="X427" s="80"/>
      <c r="Y427" s="80"/>
      <c r="Z427" s="301"/>
    </row>
    <row r="428" spans="1:26" s="291" customFormat="1" x14ac:dyDescent="0.2">
      <c r="A428" s="80"/>
      <c r="B428" s="107"/>
      <c r="C428" s="114" t="str">
        <f t="shared" si="83"/>
        <v>Cost 5</v>
      </c>
      <c r="D428" s="304">
        <f t="shared" si="83"/>
        <v>0</v>
      </c>
      <c r="E428" s="304">
        <f t="shared" si="78"/>
        <v>0</v>
      </c>
      <c r="F428" s="305">
        <f t="shared" si="79"/>
        <v>0</v>
      </c>
      <c r="G428" s="306">
        <f t="shared" si="80"/>
        <v>0</v>
      </c>
      <c r="H428" s="306">
        <f t="shared" si="81"/>
        <v>0</v>
      </c>
      <c r="I428" s="306">
        <f t="shared" si="82"/>
        <v>0</v>
      </c>
      <c r="J428" s="185"/>
      <c r="K428" s="185"/>
      <c r="L428" s="185"/>
      <c r="M428" s="185"/>
      <c r="N428" s="185"/>
      <c r="O428" s="185"/>
      <c r="P428" s="185"/>
      <c r="Q428" s="185"/>
      <c r="R428" s="185"/>
      <c r="S428" s="185"/>
      <c r="T428" s="185"/>
      <c r="U428" s="185"/>
      <c r="V428" s="185"/>
      <c r="W428" s="185"/>
      <c r="X428" s="80"/>
      <c r="Y428" s="80"/>
      <c r="Z428" s="301"/>
    </row>
    <row r="429" spans="1:26" s="291" customFormat="1" x14ac:dyDescent="0.2">
      <c r="A429" s="80"/>
      <c r="B429" s="107"/>
      <c r="C429" s="114" t="s">
        <v>190</v>
      </c>
      <c r="D429" s="304">
        <f>SUM(D267:D271)</f>
        <v>0</v>
      </c>
      <c r="E429" s="304">
        <f>SUM(D291:D295)</f>
        <v>0</v>
      </c>
      <c r="F429" s="305">
        <f>SUM(D315:D319)</f>
        <v>0</v>
      </c>
      <c r="G429" s="306">
        <f>SUM(D339:D343)</f>
        <v>0</v>
      </c>
      <c r="H429" s="306">
        <f>SUM(D363:D367)</f>
        <v>0</v>
      </c>
      <c r="I429" s="306">
        <f>SUM(D387:D391)</f>
        <v>0</v>
      </c>
      <c r="J429" s="185"/>
      <c r="K429" s="185"/>
      <c r="L429" s="185"/>
      <c r="M429" s="185"/>
      <c r="N429" s="185"/>
      <c r="O429" s="185"/>
      <c r="P429" s="185"/>
      <c r="Q429" s="185"/>
      <c r="R429" s="185"/>
      <c r="S429" s="185"/>
      <c r="T429" s="185"/>
      <c r="U429" s="185"/>
      <c r="V429" s="185"/>
      <c r="W429" s="185"/>
      <c r="X429" s="80"/>
      <c r="Y429" s="80"/>
      <c r="Z429" s="301"/>
    </row>
    <row r="430" spans="1:26" s="291" customFormat="1" x14ac:dyDescent="0.2">
      <c r="A430" s="80"/>
      <c r="B430" s="107"/>
      <c r="C430" s="116" t="str">
        <f>C272</f>
        <v>Total Costs</v>
      </c>
      <c r="D430" s="122">
        <f t="shared" ref="D430:I430" si="84">SUM(D419:D429)</f>
        <v>7160.3979542112966</v>
      </c>
      <c r="E430" s="122">
        <f t="shared" si="84"/>
        <v>2864.8837739569649</v>
      </c>
      <c r="F430" s="122">
        <f t="shared" si="84"/>
        <v>12819.797437794874</v>
      </c>
      <c r="G430" s="122">
        <f t="shared" si="84"/>
        <v>0</v>
      </c>
      <c r="H430" s="122">
        <f t="shared" si="84"/>
        <v>0</v>
      </c>
      <c r="I430" s="126">
        <f t="shared" si="84"/>
        <v>0</v>
      </c>
      <c r="J430" s="185"/>
      <c r="K430" s="185"/>
      <c r="L430" s="185"/>
      <c r="M430" s="185"/>
      <c r="N430" s="185"/>
      <c r="O430" s="185"/>
      <c r="P430" s="185"/>
      <c r="Q430" s="185"/>
      <c r="R430" s="185"/>
      <c r="S430" s="185"/>
      <c r="T430" s="185"/>
      <c r="U430" s="185"/>
      <c r="V430" s="185"/>
      <c r="W430" s="185"/>
      <c r="X430" s="80"/>
      <c r="Y430" s="80"/>
      <c r="Z430" s="301"/>
    </row>
    <row r="431" spans="1:26" s="291" customFormat="1" x14ac:dyDescent="0.2">
      <c r="A431" s="80"/>
      <c r="B431" s="107"/>
      <c r="C431" s="114"/>
      <c r="D431" s="114"/>
      <c r="E431" s="114"/>
      <c r="F431" s="307"/>
      <c r="G431" s="308"/>
      <c r="H431" s="308"/>
      <c r="I431" s="308"/>
      <c r="J431" s="185"/>
      <c r="K431" s="185"/>
      <c r="L431" s="185"/>
      <c r="M431" s="185"/>
      <c r="N431" s="185"/>
      <c r="O431" s="185"/>
      <c r="P431" s="185"/>
      <c r="Q431" s="185"/>
      <c r="R431" s="185"/>
      <c r="S431" s="185"/>
      <c r="T431" s="185"/>
      <c r="U431" s="185"/>
      <c r="V431" s="185"/>
      <c r="W431" s="185"/>
      <c r="X431" s="80"/>
      <c r="Y431" s="80"/>
      <c r="Z431" s="301"/>
    </row>
    <row r="432" spans="1:26" s="291" customFormat="1" x14ac:dyDescent="0.2">
      <c r="A432" s="80"/>
      <c r="B432" s="107"/>
      <c r="C432" s="118" t="s">
        <v>80</v>
      </c>
      <c r="D432" s="123">
        <f>IF(D430=0," ",D273)</f>
        <v>2870.4390832967542</v>
      </c>
      <c r="E432" s="123">
        <f>IF(E430=0," ",D297)</f>
        <v>2752.6988664271285</v>
      </c>
      <c r="F432" s="128">
        <f>IF(F430=0," ",D321)</f>
        <v>12317.865635660721</v>
      </c>
      <c r="G432" s="119" t="str">
        <f>IF(G430=0," ",D345)</f>
        <v xml:space="preserve"> </v>
      </c>
      <c r="H432" s="119" t="str">
        <f>IF(H430=0," ",D369)</f>
        <v xml:space="preserve"> </v>
      </c>
      <c r="I432" s="119" t="str">
        <f>IF(I430=0," ",D393)</f>
        <v xml:space="preserve"> </v>
      </c>
      <c r="J432" s="185"/>
      <c r="K432" s="185"/>
      <c r="L432" s="185"/>
      <c r="M432" s="185"/>
      <c r="N432" s="185"/>
      <c r="O432" s="185"/>
      <c r="P432" s="185"/>
      <c r="Q432" s="185"/>
      <c r="R432" s="185"/>
      <c r="S432" s="185"/>
      <c r="T432" s="185"/>
      <c r="U432" s="185"/>
      <c r="V432" s="185"/>
      <c r="W432" s="185"/>
      <c r="X432" s="80"/>
      <c r="Y432" s="80"/>
      <c r="Z432" s="301"/>
    </row>
    <row r="433" spans="1:26" s="291" customFormat="1" x14ac:dyDescent="0.2">
      <c r="A433" s="80"/>
      <c r="B433" s="107"/>
      <c r="C433" s="80"/>
      <c r="D433" s="80"/>
      <c r="E433" s="80"/>
      <c r="F433" s="185"/>
      <c r="G433" s="185"/>
      <c r="H433" s="185"/>
      <c r="I433" s="185"/>
      <c r="J433" s="185"/>
      <c r="K433" s="185"/>
      <c r="L433" s="185"/>
      <c r="M433" s="185"/>
      <c r="N433" s="185"/>
      <c r="O433" s="185"/>
      <c r="P433" s="185"/>
      <c r="Q433" s="185"/>
      <c r="R433" s="185"/>
      <c r="S433" s="185"/>
      <c r="T433" s="185"/>
      <c r="U433" s="185"/>
      <c r="V433" s="185"/>
      <c r="W433" s="185"/>
      <c r="X433" s="80"/>
      <c r="Y433" s="80"/>
      <c r="Z433" s="301"/>
    </row>
    <row r="434" spans="1:26" s="291" customFormat="1" x14ac:dyDescent="0.2">
      <c r="A434" s="80"/>
      <c r="B434" s="107"/>
      <c r="C434" s="6" t="s">
        <v>92</v>
      </c>
      <c r="D434" s="83">
        <f>MIN(D432:I432)</f>
        <v>2752.6988664271285</v>
      </c>
      <c r="E434" s="80"/>
      <c r="F434" s="185"/>
      <c r="G434" s="185"/>
      <c r="H434" s="185"/>
      <c r="I434" s="185"/>
      <c r="J434" s="185"/>
      <c r="K434" s="185"/>
      <c r="L434" s="185"/>
      <c r="M434" s="185"/>
      <c r="N434" s="185"/>
      <c r="O434" s="185"/>
      <c r="P434" s="185"/>
      <c r="Q434" s="185"/>
      <c r="R434" s="185"/>
      <c r="S434" s="185"/>
      <c r="T434" s="185"/>
      <c r="U434" s="185"/>
      <c r="V434" s="185"/>
      <c r="W434" s="185"/>
      <c r="X434" s="80"/>
      <c r="Y434" s="80"/>
      <c r="Z434" s="301"/>
    </row>
    <row r="435" spans="1:26" s="291" customFormat="1" x14ac:dyDescent="0.2">
      <c r="A435" s="80"/>
      <c r="B435" s="107"/>
      <c r="C435" s="6" t="s">
        <v>81</v>
      </c>
      <c r="D435" s="6" t="str">
        <f>IF(D434=D432,D417,IF(D434=E432,E417,IF(D434=F432,F417,IF(D434=G432,G417,IF(D434=H432,H417,IF(D434=I432,I417,"N/A"))))))</f>
        <v>Option 1: Provide In Meter Capabilities</v>
      </c>
      <c r="E435" s="80"/>
      <c r="F435" s="185"/>
      <c r="G435" s="185"/>
      <c r="H435" s="185"/>
      <c r="I435" s="185"/>
      <c r="J435" s="185"/>
      <c r="K435" s="185"/>
      <c r="L435" s="185"/>
      <c r="M435" s="185"/>
      <c r="N435" s="185"/>
      <c r="O435" s="185"/>
      <c r="P435" s="185"/>
      <c r="Q435" s="185"/>
      <c r="R435" s="185"/>
      <c r="S435" s="185"/>
      <c r="T435" s="185"/>
      <c r="U435" s="185"/>
      <c r="V435" s="185"/>
      <c r="W435" s="185"/>
      <c r="X435" s="80"/>
      <c r="Y435" s="80"/>
      <c r="Z435" s="301"/>
    </row>
    <row r="436" spans="1:26" s="291" customFormat="1" ht="13.5" thickBot="1" x14ac:dyDescent="0.25">
      <c r="A436" s="80"/>
      <c r="B436" s="108"/>
      <c r="C436" s="309"/>
      <c r="D436" s="309"/>
      <c r="E436" s="30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309"/>
      <c r="Y436" s="309"/>
      <c r="Z436" s="310"/>
    </row>
    <row r="437" spans="1:26" s="291" customFormat="1" x14ac:dyDescent="0.2">
      <c r="A437" s="80"/>
      <c r="B437" s="80"/>
      <c r="C437" s="80"/>
      <c r="D437" s="80"/>
      <c r="E437" s="80"/>
      <c r="F437" s="185"/>
      <c r="G437" s="185"/>
      <c r="H437" s="185"/>
      <c r="I437" s="185"/>
      <c r="J437" s="185"/>
      <c r="K437" s="185"/>
      <c r="L437" s="185"/>
      <c r="M437" s="185"/>
      <c r="N437" s="185"/>
      <c r="O437" s="185"/>
      <c r="P437" s="185"/>
      <c r="Q437" s="185"/>
      <c r="R437" s="185"/>
      <c r="S437" s="185"/>
      <c r="T437" s="185"/>
      <c r="U437" s="185"/>
      <c r="V437" s="185"/>
      <c r="W437" s="185"/>
      <c r="X437" s="80"/>
      <c r="Y437" s="80"/>
    </row>
    <row r="438" spans="1:26" s="291" customFormat="1" x14ac:dyDescent="0.2">
      <c r="A438" s="80"/>
      <c r="B438" s="80"/>
      <c r="C438" s="80"/>
      <c r="D438" s="80"/>
      <c r="E438" s="80"/>
      <c r="F438" s="185"/>
      <c r="G438" s="185"/>
      <c r="H438" s="185"/>
      <c r="I438" s="185"/>
      <c r="J438" s="185"/>
      <c r="K438" s="185"/>
      <c r="L438" s="185"/>
      <c r="M438" s="185"/>
      <c r="N438" s="185"/>
      <c r="O438" s="185"/>
      <c r="P438" s="185"/>
      <c r="Q438" s="185"/>
      <c r="R438" s="185"/>
      <c r="S438" s="185"/>
      <c r="T438" s="185"/>
      <c r="U438" s="185"/>
      <c r="V438" s="185"/>
      <c r="W438" s="185"/>
      <c r="X438" s="80"/>
      <c r="Y438" s="80"/>
    </row>
    <row r="439" spans="1:26" s="311" customFormat="1" hidden="1" x14ac:dyDescent="0.2">
      <c r="B439" s="314" t="s">
        <v>103</v>
      </c>
      <c r="C439" s="315"/>
      <c r="D439" s="315"/>
      <c r="E439" s="315"/>
      <c r="F439" s="316"/>
      <c r="G439" s="316"/>
      <c r="H439" s="316"/>
      <c r="I439" s="316"/>
      <c r="J439" s="316"/>
      <c r="K439" s="316"/>
      <c r="L439" s="316"/>
      <c r="M439" s="316"/>
      <c r="N439" s="316"/>
      <c r="O439" s="316"/>
      <c r="P439" s="316"/>
      <c r="Q439" s="316"/>
      <c r="R439" s="316"/>
      <c r="S439" s="316"/>
      <c r="T439" s="316"/>
      <c r="U439" s="316"/>
      <c r="V439" s="316"/>
      <c r="W439" s="316"/>
      <c r="X439" s="315"/>
      <c r="Y439" s="315"/>
      <c r="Z439" s="317"/>
    </row>
    <row r="440" spans="1:26" s="311" customFormat="1" hidden="1" x14ac:dyDescent="0.2">
      <c r="B440" s="318"/>
      <c r="C440" s="319"/>
      <c r="D440" s="319"/>
      <c r="E440" s="319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19"/>
      <c r="Y440" s="319"/>
      <c r="Z440" s="321"/>
    </row>
    <row r="441" spans="1:26" s="311" customFormat="1" hidden="1" x14ac:dyDescent="0.2">
      <c r="B441" s="318"/>
      <c r="C441" s="319"/>
      <c r="E441" s="311">
        <f t="shared" ref="E441:O441" si="85">E236</f>
        <v>2019</v>
      </c>
      <c r="F441" s="311">
        <f t="shared" si="85"/>
        <v>2020</v>
      </c>
      <c r="G441" s="311">
        <f t="shared" si="85"/>
        <v>2021</v>
      </c>
      <c r="H441" s="311">
        <f t="shared" si="85"/>
        <v>2022</v>
      </c>
      <c r="I441" s="311">
        <f t="shared" si="85"/>
        <v>2023</v>
      </c>
      <c r="J441" s="311">
        <f t="shared" si="85"/>
        <v>2024</v>
      </c>
      <c r="K441" s="311">
        <f t="shared" si="85"/>
        <v>2025</v>
      </c>
      <c r="L441" s="311">
        <f t="shared" si="85"/>
        <v>2026</v>
      </c>
      <c r="M441" s="311">
        <f t="shared" si="85"/>
        <v>2027</v>
      </c>
      <c r="N441" s="311">
        <f t="shared" si="85"/>
        <v>2028</v>
      </c>
      <c r="O441" s="311">
        <f t="shared" si="85"/>
        <v>2029</v>
      </c>
      <c r="P441" s="312"/>
      <c r="Q441" s="312"/>
      <c r="R441" s="312"/>
      <c r="S441" s="312"/>
      <c r="T441" s="312"/>
      <c r="U441" s="312"/>
      <c r="V441" s="312"/>
      <c r="W441" s="312"/>
      <c r="Z441" s="321"/>
    </row>
    <row r="442" spans="1:26" s="311" customFormat="1" hidden="1" x14ac:dyDescent="0.2">
      <c r="B442" s="318"/>
      <c r="C442" s="319"/>
      <c r="D442" s="322" t="s">
        <v>164</v>
      </c>
      <c r="E442" s="313">
        <f t="shared" ref="E442:Y442" si="86">E449</f>
        <v>0</v>
      </c>
      <c r="F442" s="313">
        <f t="shared" si="86"/>
        <v>13.123356958536618</v>
      </c>
      <c r="G442" s="313">
        <f t="shared" si="86"/>
        <v>39.879257125601079</v>
      </c>
      <c r="H442" s="313">
        <f t="shared" si="86"/>
        <v>67.154221755906605</v>
      </c>
      <c r="I442" s="313">
        <f t="shared" si="86"/>
        <v>94.958320700040048</v>
      </c>
      <c r="J442" s="313">
        <f t="shared" si="86"/>
        <v>123.30181916368967</v>
      </c>
      <c r="K442" s="313">
        <f t="shared" si="86"/>
        <v>152.19518149753409</v>
      </c>
      <c r="L442" s="313">
        <f t="shared" si="86"/>
        <v>181.64907506065509</v>
      </c>
      <c r="M442" s="313">
        <f t="shared" si="86"/>
        <v>211.67437415890066</v>
      </c>
      <c r="N442" s="313">
        <f t="shared" si="86"/>
        <v>242.28216405965216</v>
      </c>
      <c r="O442" s="313">
        <f t="shared" si="86"/>
        <v>273.48374508447824</v>
      </c>
      <c r="P442" s="313">
        <f t="shared" si="86"/>
        <v>305.29063678118598</v>
      </c>
      <c r="Q442" s="313">
        <f t="shared" si="86"/>
        <v>337.71458217680987</v>
      </c>
      <c r="R442" s="313">
        <f t="shared" si="86"/>
        <v>370.76755211310882</v>
      </c>
      <c r="S442" s="313">
        <f t="shared" si="86"/>
        <v>404.46174966617195</v>
      </c>
      <c r="T442" s="313">
        <f t="shared" si="86"/>
        <v>438.80961465176455</v>
      </c>
      <c r="U442" s="313">
        <f t="shared" si="86"/>
        <v>473.82382821807761</v>
      </c>
      <c r="V442" s="313">
        <f t="shared" si="86"/>
        <v>509.51731752757718</v>
      </c>
      <c r="W442" s="313">
        <f t="shared" si="86"/>
        <v>545.90326052968101</v>
      </c>
      <c r="X442" s="313">
        <f t="shared" si="86"/>
        <v>582.99509082602572</v>
      </c>
      <c r="Y442" s="313">
        <f t="shared" si="86"/>
        <v>620.80650263011944</v>
      </c>
      <c r="Z442" s="321"/>
    </row>
    <row r="443" spans="1:26" s="311" customFormat="1" hidden="1" x14ac:dyDescent="0.2">
      <c r="B443" s="323"/>
      <c r="C443" s="319"/>
      <c r="D443" s="322" t="str">
        <f>D435&amp;+" annual carrying costs"</f>
        <v>Option 1: Provide In Meter Capabilities annual carrying costs</v>
      </c>
      <c r="E443" s="313">
        <f t="shared" ref="E443:Y443" si="87">E454</f>
        <v>138.07541899082642</v>
      </c>
      <c r="F443" s="313">
        <f t="shared" si="87"/>
        <v>248.38542320206886</v>
      </c>
      <c r="G443" s="313">
        <f t="shared" si="87"/>
        <v>248.38542320206886</v>
      </c>
      <c r="H443" s="313">
        <f t="shared" si="87"/>
        <v>248.38542320206886</v>
      </c>
      <c r="I443" s="313">
        <f t="shared" si="87"/>
        <v>248.38542320206886</v>
      </c>
      <c r="J443" s="313">
        <f t="shared" si="87"/>
        <v>248.38542320206886</v>
      </c>
      <c r="K443" s="313">
        <f t="shared" si="87"/>
        <v>248.38542320206886</v>
      </c>
      <c r="L443" s="313">
        <f t="shared" si="87"/>
        <v>248.38542320206886</v>
      </c>
      <c r="M443" s="313">
        <f t="shared" si="87"/>
        <v>248.38542320206886</v>
      </c>
      <c r="N443" s="313">
        <f t="shared" si="87"/>
        <v>248.38542320206886</v>
      </c>
      <c r="O443" s="313">
        <f t="shared" si="87"/>
        <v>248.38542320206886</v>
      </c>
      <c r="P443" s="313">
        <f t="shared" si="87"/>
        <v>248.38542320206886</v>
      </c>
      <c r="Q443" s="313">
        <f t="shared" si="87"/>
        <v>248.38542320206886</v>
      </c>
      <c r="R443" s="313">
        <f t="shared" si="87"/>
        <v>248.38542320206886</v>
      </c>
      <c r="S443" s="313">
        <f t="shared" si="87"/>
        <v>248.38542320206886</v>
      </c>
      <c r="T443" s="313">
        <f t="shared" si="87"/>
        <v>248.38542320206886</v>
      </c>
      <c r="U443" s="313">
        <f t="shared" si="87"/>
        <v>248.38542320206886</v>
      </c>
      <c r="V443" s="313">
        <f t="shared" si="87"/>
        <v>248.38542320206886</v>
      </c>
      <c r="W443" s="313">
        <f t="shared" si="87"/>
        <v>248.38542320206886</v>
      </c>
      <c r="X443" s="313">
        <f t="shared" si="87"/>
        <v>248.38542320206886</v>
      </c>
      <c r="Y443" s="313">
        <f t="shared" si="87"/>
        <v>248.38542320206886</v>
      </c>
      <c r="Z443" s="321"/>
    </row>
    <row r="444" spans="1:26" s="311" customFormat="1" hidden="1" x14ac:dyDescent="0.2">
      <c r="B444" s="318"/>
      <c r="C444" s="319"/>
      <c r="D444" s="322" t="str">
        <f>D435&amp;+" PV of costs"</f>
        <v>Option 1: Provide In Meter Capabilities PV of costs</v>
      </c>
      <c r="E444" s="313">
        <f>VLOOKUP($B$451,$A$409:$Y$414,5)</f>
        <v>1592.5653862840418</v>
      </c>
      <c r="F444" s="313">
        <f>VLOOKUP($B$451,$A$409:$Y$414,6)</f>
        <v>1160.1334801430867</v>
      </c>
      <c r="G444" s="313">
        <f>VLOOKUP($B$451,$A$409:$Y$414,7)</f>
        <v>0</v>
      </c>
      <c r="H444" s="313">
        <f>VLOOKUP($B$451,$A$409:$Y$414,8)</f>
        <v>0</v>
      </c>
      <c r="I444" s="313">
        <f>VLOOKUP($B$451,$A$409:$Y$414,9)</f>
        <v>0</v>
      </c>
      <c r="J444" s="313">
        <f>VLOOKUP($B$451,$A$409:$Y$414,10)</f>
        <v>0</v>
      </c>
      <c r="K444" s="313">
        <f>VLOOKUP($B$451,$A$409:$Y$414,11)</f>
        <v>0</v>
      </c>
      <c r="L444" s="313">
        <f>VLOOKUP($B$451,$A$409:$Y$414,12)</f>
        <v>0</v>
      </c>
      <c r="M444" s="313">
        <f>VLOOKUP($B$451,$A$409:$Y$414,13)</f>
        <v>0</v>
      </c>
      <c r="N444" s="313">
        <f>VLOOKUP($B$451,$A$409:$Y$414,14)</f>
        <v>0</v>
      </c>
      <c r="O444" s="313">
        <f>VLOOKUP($B$451,$A$409:$Y$414,15)</f>
        <v>0</v>
      </c>
      <c r="P444" s="313">
        <f>VLOOKUP($B$451,$A$409:$Y$414,16)</f>
        <v>0</v>
      </c>
      <c r="Q444" s="313">
        <f>VLOOKUP($B$451,$A$409:$Y$414,17)</f>
        <v>0</v>
      </c>
      <c r="R444" s="313">
        <f>VLOOKUP($B$451,$A$409:$Y$414,18)</f>
        <v>0</v>
      </c>
      <c r="S444" s="313">
        <f>VLOOKUP($B$451,$A$409:$Y$414,19)</f>
        <v>0</v>
      </c>
      <c r="T444" s="313">
        <f>VLOOKUP($B$451,$A$409:$Y$414,20)</f>
        <v>0</v>
      </c>
      <c r="U444" s="313">
        <f>VLOOKUP($B$451,$A$409:$Y$414,21)</f>
        <v>0</v>
      </c>
      <c r="V444" s="313">
        <f>VLOOKUP($B$451,$A$409:$Y$414,22)</f>
        <v>0</v>
      </c>
      <c r="W444" s="313">
        <f>VLOOKUP($B$451,$A$409:$Y$414,23)</f>
        <v>0</v>
      </c>
      <c r="X444" s="313">
        <f>VLOOKUP($B$451,$A$409:$Y$414,24)</f>
        <v>0</v>
      </c>
      <c r="Y444" s="313">
        <f>VLOOKUP($B$451,$A$409:$Y$414,25)</f>
        <v>0</v>
      </c>
      <c r="Z444" s="321"/>
    </row>
    <row r="445" spans="1:26" s="311" customFormat="1" hidden="1" x14ac:dyDescent="0.2">
      <c r="B445" s="323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  <c r="T445" s="312"/>
      <c r="U445" s="312"/>
      <c r="V445" s="312"/>
      <c r="W445" s="312"/>
      <c r="Z445" s="321"/>
    </row>
    <row r="446" spans="1:26" s="324" customFormat="1" hidden="1" x14ac:dyDescent="0.2">
      <c r="B446" s="323"/>
      <c r="C446" s="311"/>
      <c r="D446" s="325" t="str">
        <f>B251</f>
        <v>"Status Quo" Reference Case</v>
      </c>
      <c r="E446" s="311"/>
      <c r="F446" s="311"/>
      <c r="G446" s="311"/>
      <c r="H446" s="311"/>
      <c r="I446" s="311"/>
      <c r="J446" s="311"/>
      <c r="K446" s="311"/>
      <c r="L446" s="311"/>
      <c r="M446" s="311"/>
      <c r="N446" s="311"/>
      <c r="O446" s="311"/>
      <c r="P446" s="311"/>
      <c r="Q446" s="311"/>
      <c r="R446" s="311"/>
      <c r="S446" s="311"/>
      <c r="T446" s="311"/>
      <c r="U446" s="311"/>
      <c r="V446" s="311"/>
      <c r="W446" s="311"/>
      <c r="X446" s="311"/>
      <c r="Y446" s="311"/>
      <c r="Z446" s="321"/>
    </row>
    <row r="447" spans="1:26" s="324" customFormat="1" hidden="1" x14ac:dyDescent="0.2">
      <c r="B447" s="323"/>
      <c r="C447" s="311"/>
      <c r="D447" s="322" t="s">
        <v>158</v>
      </c>
      <c r="E447" s="313">
        <f t="shared" ref="E447:Y447" si="88">E272</f>
        <v>0</v>
      </c>
      <c r="F447" s="313">
        <f t="shared" si="88"/>
        <v>151.36513216305212</v>
      </c>
      <c r="G447" s="313">
        <f t="shared" si="88"/>
        <v>308.60323145403072</v>
      </c>
      <c r="H447" s="313">
        <f t="shared" si="88"/>
        <v>314.59013414423896</v>
      </c>
      <c r="I447" s="313">
        <f t="shared" si="88"/>
        <v>320.69318274663715</v>
      </c>
      <c r="J447" s="313">
        <f t="shared" si="88"/>
        <v>326.91463049192191</v>
      </c>
      <c r="K447" s="313">
        <f t="shared" si="88"/>
        <v>333.25677432346515</v>
      </c>
      <c r="L447" s="313">
        <f t="shared" si="88"/>
        <v>339.72195574534038</v>
      </c>
      <c r="M447" s="313">
        <f t="shared" si="88"/>
        <v>346.3125616868</v>
      </c>
      <c r="N447" s="313">
        <f t="shared" si="88"/>
        <v>353.03102538352391</v>
      </c>
      <c r="O447" s="313">
        <f t="shared" si="88"/>
        <v>359.87982727596432</v>
      </c>
      <c r="P447" s="313">
        <f t="shared" si="88"/>
        <v>366.86149592511799</v>
      </c>
      <c r="Q447" s="313">
        <f t="shared" si="88"/>
        <v>373.97860894606526</v>
      </c>
      <c r="R447" s="313">
        <f t="shared" si="88"/>
        <v>381.23379395961894</v>
      </c>
      <c r="S447" s="313">
        <f t="shared" si="88"/>
        <v>388.62972956243556</v>
      </c>
      <c r="T447" s="313">
        <f t="shared" si="88"/>
        <v>396.1691463159467</v>
      </c>
      <c r="U447" s="313">
        <f t="shared" si="88"/>
        <v>403.8548277544761</v>
      </c>
      <c r="V447" s="313">
        <f t="shared" si="88"/>
        <v>411.68961141291294</v>
      </c>
      <c r="W447" s="313">
        <f t="shared" si="88"/>
        <v>419.67638987432343</v>
      </c>
      <c r="X447" s="313">
        <f t="shared" si="88"/>
        <v>427.81811183788528</v>
      </c>
      <c r="Y447" s="313">
        <f t="shared" si="88"/>
        <v>436.1177832075403</v>
      </c>
      <c r="Z447" s="321"/>
    </row>
    <row r="448" spans="1:26" s="324" customFormat="1" hidden="1" x14ac:dyDescent="0.2">
      <c r="B448" s="323"/>
      <c r="C448" s="311"/>
      <c r="D448" s="322" t="s">
        <v>159</v>
      </c>
      <c r="E448" s="313">
        <f>E447</f>
        <v>0</v>
      </c>
      <c r="F448" s="313">
        <f t="shared" ref="F448:Y448" si="89">F447+E448</f>
        <v>151.36513216305212</v>
      </c>
      <c r="G448" s="313">
        <f t="shared" si="89"/>
        <v>459.96836361708284</v>
      </c>
      <c r="H448" s="313">
        <f t="shared" si="89"/>
        <v>774.55849776132186</v>
      </c>
      <c r="I448" s="313">
        <f t="shared" si="89"/>
        <v>1095.251680507959</v>
      </c>
      <c r="J448" s="313">
        <f t="shared" si="89"/>
        <v>1422.1663109998808</v>
      </c>
      <c r="K448" s="313">
        <f t="shared" si="89"/>
        <v>1755.423085323346</v>
      </c>
      <c r="L448" s="313">
        <f t="shared" si="89"/>
        <v>2095.1450410686862</v>
      </c>
      <c r="M448" s="313">
        <f t="shared" si="89"/>
        <v>2441.4576027554863</v>
      </c>
      <c r="N448" s="313">
        <f t="shared" si="89"/>
        <v>2794.48862813901</v>
      </c>
      <c r="O448" s="313">
        <f t="shared" si="89"/>
        <v>3154.3684554149741</v>
      </c>
      <c r="P448" s="313">
        <f t="shared" si="89"/>
        <v>3521.2299513400922</v>
      </c>
      <c r="Q448" s="313">
        <f t="shared" si="89"/>
        <v>3895.2085602861575</v>
      </c>
      <c r="R448" s="313">
        <f t="shared" si="89"/>
        <v>4276.4423542457762</v>
      </c>
      <c r="S448" s="313">
        <f t="shared" si="89"/>
        <v>4665.0720838082116</v>
      </c>
      <c r="T448" s="313">
        <f t="shared" si="89"/>
        <v>5061.2412301241584</v>
      </c>
      <c r="U448" s="313">
        <f t="shared" si="89"/>
        <v>5465.0960578786344</v>
      </c>
      <c r="V448" s="313">
        <f t="shared" si="89"/>
        <v>5876.7856692915475</v>
      </c>
      <c r="W448" s="313">
        <f t="shared" si="89"/>
        <v>6296.4620591658713</v>
      </c>
      <c r="X448" s="313">
        <f t="shared" si="89"/>
        <v>6724.2801710037565</v>
      </c>
      <c r="Y448" s="313">
        <f t="shared" si="89"/>
        <v>7160.3979542112966</v>
      </c>
      <c r="Z448" s="321"/>
    </row>
    <row r="449" spans="2:26" s="324" customFormat="1" hidden="1" x14ac:dyDescent="0.2">
      <c r="B449" s="323"/>
      <c r="C449" s="311"/>
      <c r="D449" s="322" t="s">
        <v>160</v>
      </c>
      <c r="E449" s="326">
        <f>E448*'Administrator Input'!$F$22</f>
        <v>0</v>
      </c>
      <c r="F449" s="326">
        <f>F448*'Administrator Input'!$F$22</f>
        <v>13.123356958536618</v>
      </c>
      <c r="G449" s="326">
        <f>G448*'Administrator Input'!$F$22</f>
        <v>39.879257125601079</v>
      </c>
      <c r="H449" s="326">
        <f>H448*'Administrator Input'!$F$22</f>
        <v>67.154221755906605</v>
      </c>
      <c r="I449" s="326">
        <f>I448*'Administrator Input'!$F$22</f>
        <v>94.958320700040048</v>
      </c>
      <c r="J449" s="326">
        <f>J448*'Administrator Input'!$F$22</f>
        <v>123.30181916368967</v>
      </c>
      <c r="K449" s="326">
        <f>K448*'Administrator Input'!$F$22</f>
        <v>152.19518149753409</v>
      </c>
      <c r="L449" s="326">
        <f>L448*'Administrator Input'!$F$22</f>
        <v>181.64907506065509</v>
      </c>
      <c r="M449" s="326">
        <f>M448*'Administrator Input'!$F$22</f>
        <v>211.67437415890066</v>
      </c>
      <c r="N449" s="326">
        <f>N448*'Administrator Input'!$F$22</f>
        <v>242.28216405965216</v>
      </c>
      <c r="O449" s="326">
        <f>O448*'Administrator Input'!$F$22</f>
        <v>273.48374508447824</v>
      </c>
      <c r="P449" s="326">
        <f>P448*'Administrator Input'!$F$22</f>
        <v>305.29063678118598</v>
      </c>
      <c r="Q449" s="326">
        <f>Q448*'Administrator Input'!$F$22</f>
        <v>337.71458217680987</v>
      </c>
      <c r="R449" s="326">
        <f>R448*'Administrator Input'!$F$22</f>
        <v>370.76755211310882</v>
      </c>
      <c r="S449" s="326">
        <f>S448*'Administrator Input'!$F$22</f>
        <v>404.46174966617195</v>
      </c>
      <c r="T449" s="326">
        <f>T448*'Administrator Input'!$F$22</f>
        <v>438.80961465176455</v>
      </c>
      <c r="U449" s="326">
        <f>U448*'Administrator Input'!$F$22</f>
        <v>473.82382821807761</v>
      </c>
      <c r="V449" s="326">
        <f>V448*'Administrator Input'!$F$22</f>
        <v>509.51731752757718</v>
      </c>
      <c r="W449" s="326">
        <f>W448*'Administrator Input'!$F$22</f>
        <v>545.90326052968101</v>
      </c>
      <c r="X449" s="326">
        <f>X448*'Administrator Input'!$F$22</f>
        <v>582.99509082602572</v>
      </c>
      <c r="Y449" s="326">
        <f>Y448*'Administrator Input'!$F$22</f>
        <v>620.80650263011944</v>
      </c>
      <c r="Z449" s="321"/>
    </row>
    <row r="450" spans="2:26" s="324" customFormat="1" hidden="1" x14ac:dyDescent="0.2">
      <c r="B450" s="323"/>
      <c r="C450" s="311"/>
      <c r="D450" s="311"/>
      <c r="E450" s="311"/>
      <c r="F450" s="311"/>
      <c r="G450" s="311"/>
      <c r="H450" s="311"/>
      <c r="I450" s="311"/>
      <c r="J450" s="311"/>
      <c r="K450" s="311"/>
      <c r="L450" s="311"/>
      <c r="M450" s="311"/>
      <c r="N450" s="311"/>
      <c r="O450" s="311"/>
      <c r="P450" s="311"/>
      <c r="Q450" s="311"/>
      <c r="R450" s="311"/>
      <c r="S450" s="311"/>
      <c r="T450" s="311"/>
      <c r="U450" s="311"/>
      <c r="V450" s="311"/>
      <c r="W450" s="311"/>
      <c r="X450" s="311"/>
      <c r="Y450" s="311"/>
      <c r="Z450" s="321"/>
    </row>
    <row r="451" spans="2:26" s="324" customFormat="1" hidden="1" x14ac:dyDescent="0.2">
      <c r="B451" s="318">
        <f>IF(D435=D417,1,IF(D435=E417,2,IF(D435=F417,3,IF(D435=G417,4,IF(D435=H417,5,IF(D435=I417,6,"N/A"))))))</f>
        <v>2</v>
      </c>
      <c r="C451" s="311"/>
      <c r="D451" s="325" t="str">
        <f>"Recommended Case: "&amp;+D435</f>
        <v>Recommended Case: Option 1: Provide In Meter Capabilities</v>
      </c>
      <c r="E451" s="311"/>
      <c r="F451" s="311"/>
      <c r="G451" s="311"/>
      <c r="H451" s="311"/>
      <c r="I451" s="311"/>
      <c r="J451" s="311"/>
      <c r="K451" s="311"/>
      <c r="L451" s="311"/>
      <c r="M451" s="311"/>
      <c r="N451" s="311"/>
      <c r="O451" s="311"/>
      <c r="P451" s="311"/>
      <c r="Q451" s="311"/>
      <c r="R451" s="311"/>
      <c r="S451" s="311"/>
      <c r="T451" s="311"/>
      <c r="U451" s="311"/>
      <c r="V451" s="311"/>
      <c r="W451" s="311"/>
      <c r="X451" s="311"/>
      <c r="Y451" s="311"/>
      <c r="Z451" s="321"/>
    </row>
    <row r="452" spans="2:26" s="324" customFormat="1" hidden="1" x14ac:dyDescent="0.2">
      <c r="B452" s="323"/>
      <c r="C452" s="311"/>
      <c r="D452" s="322" t="s">
        <v>158</v>
      </c>
      <c r="E452" s="313">
        <f>VLOOKUP($B$451,$A$400:$Y$405,5)</f>
        <v>1592.5653862840418</v>
      </c>
      <c r="F452" s="313">
        <f>VLOOKUP($B$451,$A$400:$Y$405,6)</f>
        <v>1272.3183876729231</v>
      </c>
      <c r="G452" s="313">
        <f>VLOOKUP($B$451,$A$400:$Y$405,7)</f>
        <v>0</v>
      </c>
      <c r="H452" s="313">
        <f>VLOOKUP($B$451,$A$400:$Y$405,8)</f>
        <v>0</v>
      </c>
      <c r="I452" s="313">
        <f>VLOOKUP($B$451,$A$400:$Y$405,9)</f>
        <v>0</v>
      </c>
      <c r="J452" s="313">
        <f>VLOOKUP($B$451,$A$400:$Y$405,10)</f>
        <v>0</v>
      </c>
      <c r="K452" s="313">
        <f>VLOOKUP($B$451,$A$400:$Y$405,11)</f>
        <v>0</v>
      </c>
      <c r="L452" s="313">
        <f>VLOOKUP($B$451,$A$400:$Y$405,12)</f>
        <v>0</v>
      </c>
      <c r="M452" s="313">
        <f>VLOOKUP($B$451,$A$400:$Y$405,13)</f>
        <v>0</v>
      </c>
      <c r="N452" s="313">
        <f>VLOOKUP($B$451,$A$400:$Y$405,14)</f>
        <v>0</v>
      </c>
      <c r="O452" s="313">
        <f>VLOOKUP($B$451,$A$400:$Y$405,15)</f>
        <v>0</v>
      </c>
      <c r="P452" s="313">
        <f>VLOOKUP($B$451,$A$400:$Y$405,16)</f>
        <v>0</v>
      </c>
      <c r="Q452" s="313">
        <f>VLOOKUP($B$451,$A$400:$Y$405,17)</f>
        <v>0</v>
      </c>
      <c r="R452" s="313">
        <f>VLOOKUP($B$451,$A$400:$Y$405,18)</f>
        <v>0</v>
      </c>
      <c r="S452" s="313">
        <f>VLOOKUP($B$451,$A$400:$Y$405,19)</f>
        <v>0</v>
      </c>
      <c r="T452" s="313">
        <f>VLOOKUP($B$451,$A$400:$Y$405,20)</f>
        <v>0</v>
      </c>
      <c r="U452" s="313">
        <f>VLOOKUP($B$451,$A$400:$Y$405,21)</f>
        <v>0</v>
      </c>
      <c r="V452" s="313">
        <f>VLOOKUP($B$451,$A$400:$Y$405,22)</f>
        <v>0</v>
      </c>
      <c r="W452" s="313">
        <f>VLOOKUP($B$451,$A$400:$Y$405,23)</f>
        <v>0</v>
      </c>
      <c r="X452" s="313">
        <f>VLOOKUP($B$451,$A$400:$Y$405,24)</f>
        <v>0</v>
      </c>
      <c r="Y452" s="313">
        <f>VLOOKUP($B$451,$A$400:$Y$405,25)</f>
        <v>0</v>
      </c>
      <c r="Z452" s="321"/>
    </row>
    <row r="453" spans="2:26" s="324" customFormat="1" hidden="1" x14ac:dyDescent="0.2">
      <c r="B453" s="323"/>
      <c r="C453" s="311"/>
      <c r="D453" s="322" t="s">
        <v>159</v>
      </c>
      <c r="E453" s="313">
        <f>E452</f>
        <v>1592.5653862840418</v>
      </c>
      <c r="F453" s="313">
        <f t="shared" ref="F453:Y453" si="90">E453+F452</f>
        <v>2864.8837739569649</v>
      </c>
      <c r="G453" s="313">
        <f t="shared" si="90"/>
        <v>2864.8837739569649</v>
      </c>
      <c r="H453" s="313">
        <f t="shared" si="90"/>
        <v>2864.8837739569649</v>
      </c>
      <c r="I453" s="313">
        <f t="shared" si="90"/>
        <v>2864.8837739569649</v>
      </c>
      <c r="J453" s="313">
        <f t="shared" si="90"/>
        <v>2864.8837739569649</v>
      </c>
      <c r="K453" s="313">
        <f t="shared" si="90"/>
        <v>2864.8837739569649</v>
      </c>
      <c r="L453" s="313">
        <f t="shared" si="90"/>
        <v>2864.8837739569649</v>
      </c>
      <c r="M453" s="313">
        <f t="shared" si="90"/>
        <v>2864.8837739569649</v>
      </c>
      <c r="N453" s="313">
        <f t="shared" si="90"/>
        <v>2864.8837739569649</v>
      </c>
      <c r="O453" s="313">
        <f t="shared" si="90"/>
        <v>2864.8837739569649</v>
      </c>
      <c r="P453" s="313">
        <f t="shared" si="90"/>
        <v>2864.8837739569649</v>
      </c>
      <c r="Q453" s="313">
        <f t="shared" si="90"/>
        <v>2864.8837739569649</v>
      </c>
      <c r="R453" s="313">
        <f t="shared" si="90"/>
        <v>2864.8837739569649</v>
      </c>
      <c r="S453" s="313">
        <f t="shared" si="90"/>
        <v>2864.8837739569649</v>
      </c>
      <c r="T453" s="313">
        <f t="shared" si="90"/>
        <v>2864.8837739569649</v>
      </c>
      <c r="U453" s="313">
        <f t="shared" si="90"/>
        <v>2864.8837739569649</v>
      </c>
      <c r="V453" s="313">
        <f t="shared" si="90"/>
        <v>2864.8837739569649</v>
      </c>
      <c r="W453" s="313">
        <f t="shared" si="90"/>
        <v>2864.8837739569649</v>
      </c>
      <c r="X453" s="313">
        <f t="shared" si="90"/>
        <v>2864.8837739569649</v>
      </c>
      <c r="Y453" s="313">
        <f t="shared" si="90"/>
        <v>2864.8837739569649</v>
      </c>
      <c r="Z453" s="321"/>
    </row>
    <row r="454" spans="2:26" s="324" customFormat="1" hidden="1" x14ac:dyDescent="0.2">
      <c r="B454" s="323"/>
      <c r="C454" s="311"/>
      <c r="D454" s="322" t="s">
        <v>160</v>
      </c>
      <c r="E454" s="326">
        <f>E453*'Administrator Input'!$F$22</f>
        <v>138.07541899082642</v>
      </c>
      <c r="F454" s="326">
        <f>F453*'Administrator Input'!$F$22</f>
        <v>248.38542320206886</v>
      </c>
      <c r="G454" s="326">
        <f>G453*'Administrator Input'!$F$22</f>
        <v>248.38542320206886</v>
      </c>
      <c r="H454" s="326">
        <f>H453*'Administrator Input'!$F$22</f>
        <v>248.38542320206886</v>
      </c>
      <c r="I454" s="326">
        <f>I453*'Administrator Input'!$F$22</f>
        <v>248.38542320206886</v>
      </c>
      <c r="J454" s="326">
        <f>J453*'Administrator Input'!$F$22</f>
        <v>248.38542320206886</v>
      </c>
      <c r="K454" s="326">
        <f>K453*'Administrator Input'!$F$22</f>
        <v>248.38542320206886</v>
      </c>
      <c r="L454" s="326">
        <f>L453*'Administrator Input'!$F$22</f>
        <v>248.38542320206886</v>
      </c>
      <c r="M454" s="326">
        <f>M453*'Administrator Input'!$F$22</f>
        <v>248.38542320206886</v>
      </c>
      <c r="N454" s="326">
        <f>N453*'Administrator Input'!$F$22</f>
        <v>248.38542320206886</v>
      </c>
      <c r="O454" s="326">
        <f>O453*'Administrator Input'!$F$22</f>
        <v>248.38542320206886</v>
      </c>
      <c r="P454" s="326">
        <f>P453*'Administrator Input'!$F$22</f>
        <v>248.38542320206886</v>
      </c>
      <c r="Q454" s="326">
        <f>Q453*'Administrator Input'!$F$22</f>
        <v>248.38542320206886</v>
      </c>
      <c r="R454" s="326">
        <f>R453*'Administrator Input'!$F$22</f>
        <v>248.38542320206886</v>
      </c>
      <c r="S454" s="326">
        <f>S453*'Administrator Input'!$F$22</f>
        <v>248.38542320206886</v>
      </c>
      <c r="T454" s="326">
        <f>T453*'Administrator Input'!$F$22</f>
        <v>248.38542320206886</v>
      </c>
      <c r="U454" s="326">
        <f>U453*'Administrator Input'!$F$22</f>
        <v>248.38542320206886</v>
      </c>
      <c r="V454" s="326">
        <f>V453*'Administrator Input'!$F$22</f>
        <v>248.38542320206886</v>
      </c>
      <c r="W454" s="326">
        <f>W453*'Administrator Input'!$F$22</f>
        <v>248.38542320206886</v>
      </c>
      <c r="X454" s="326">
        <f>X453*'Administrator Input'!$F$22</f>
        <v>248.38542320206886</v>
      </c>
      <c r="Y454" s="326">
        <f>Y453*'Administrator Input'!$F$22</f>
        <v>248.38542320206886</v>
      </c>
      <c r="Z454" s="321"/>
    </row>
    <row r="455" spans="2:26" s="324" customFormat="1" hidden="1" x14ac:dyDescent="0.2">
      <c r="B455" s="327"/>
      <c r="C455" s="328"/>
      <c r="D455" s="328"/>
      <c r="E455" s="328"/>
      <c r="F455" s="328"/>
      <c r="G455" s="328"/>
      <c r="H455" s="328"/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  <c r="T455" s="328"/>
      <c r="U455" s="328"/>
      <c r="V455" s="328"/>
      <c r="W455" s="328"/>
      <c r="X455" s="328"/>
      <c r="Y455" s="328"/>
      <c r="Z455" s="329"/>
    </row>
    <row r="456" spans="2:26" s="324" customFormat="1" hidden="1" x14ac:dyDescent="0.2"/>
    <row r="457" spans="2:26" hidden="1" x14ac:dyDescent="0.2"/>
  </sheetData>
  <sheetProtection formatCells="0" formatColumns="0" formatRows="0" insertColumns="0" insertRows="0" insertHyperlinks="0" deleteColumns="0" deleteRows="0" sort="0" autoFilter="0" pivotTables="0"/>
  <phoneticPr fontId="11" type="noConversion"/>
  <hyperlinks>
    <hyperlink ref="C2" location="BEST_CASE_SCENARIO" display="Best Case Scenario"/>
    <hyperlink ref="C3" location="WORST_CASE_SCENARIO" display="Go to Worst Case Scenario"/>
  </hyperlinks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9"/>
    <pageSetUpPr fitToPage="1"/>
  </sheetPr>
  <dimension ref="A3:AG438"/>
  <sheetViews>
    <sheetView showGridLines="0" topLeftCell="A19" zoomScaleNormal="80" workbookViewId="0">
      <selection activeCell="E58" sqref="E58"/>
    </sheetView>
  </sheetViews>
  <sheetFormatPr defaultColWidth="12" defaultRowHeight="12.75" x14ac:dyDescent="0.2"/>
  <cols>
    <col min="1" max="1" width="4.28515625" style="160" customWidth="1"/>
    <col min="2" max="2" width="1.42578125" style="160" customWidth="1"/>
    <col min="3" max="3" width="36.5703125" style="160" customWidth="1"/>
    <col min="4" max="4" width="11.42578125" style="160" customWidth="1"/>
    <col min="5" max="13" width="12.5703125" style="160" customWidth="1"/>
    <col min="14" max="14" width="11.42578125" style="160" customWidth="1"/>
    <col min="15" max="24" width="12.5703125" style="160" customWidth="1"/>
    <col min="25" max="25" width="1.7109375" style="160" customWidth="1"/>
    <col min="26" max="32" width="14.85546875" style="160" bestFit="1" customWidth="1"/>
    <col min="33" max="33" width="14.42578125" style="160" bestFit="1" customWidth="1"/>
    <col min="34" max="16384" width="12" style="160"/>
  </cols>
  <sheetData>
    <row r="3" spans="2:11" ht="18" x14ac:dyDescent="0.25">
      <c r="B3" s="161" t="s">
        <v>161</v>
      </c>
      <c r="C3" s="161"/>
    </row>
    <row r="4" spans="2:11" x14ac:dyDescent="0.2">
      <c r="B4" s="160" t="s">
        <v>232</v>
      </c>
    </row>
    <row r="6" spans="2:11" ht="13.5" thickBot="1" x14ac:dyDescent="0.25">
      <c r="D6" s="339"/>
    </row>
    <row r="7" spans="2:11" s="158" customFormat="1" x14ac:dyDescent="0.2">
      <c r="B7" s="196"/>
      <c r="C7" s="197"/>
      <c r="D7" s="199"/>
      <c r="E7" s="203"/>
      <c r="F7" s="160"/>
      <c r="K7" s="160"/>
    </row>
    <row r="8" spans="2:11" s="158" customFormat="1" ht="13.5" thickBot="1" x14ac:dyDescent="0.25">
      <c r="B8" s="198"/>
      <c r="C8" s="253" t="s">
        <v>75</v>
      </c>
      <c r="D8" s="200" t="s">
        <v>117</v>
      </c>
      <c r="E8" s="205" t="s">
        <v>165</v>
      </c>
      <c r="F8" s="160"/>
      <c r="K8" s="160"/>
    </row>
    <row r="9" spans="2:11" s="158" customFormat="1" x14ac:dyDescent="0.2">
      <c r="B9" s="196"/>
      <c r="C9" s="197"/>
      <c r="D9" s="201" t="s">
        <v>78</v>
      </c>
      <c r="E9" s="203"/>
      <c r="F9" s="160"/>
      <c r="K9" s="160"/>
    </row>
    <row r="10" spans="2:11" s="158" customFormat="1" x14ac:dyDescent="0.2">
      <c r="B10" s="169"/>
      <c r="C10" s="170" t="str">
        <f>B30</f>
        <v>"Status Quo" Reference Case</v>
      </c>
      <c r="D10" s="254">
        <f>D58</f>
        <v>0</v>
      </c>
      <c r="E10" s="206">
        <f t="shared" ref="E10:E15" si="0">IF(D10=" "," ",RANK(D10,$D$10:$D$15,0))</f>
        <v>1</v>
      </c>
      <c r="F10" s="160"/>
      <c r="K10" s="160"/>
    </row>
    <row r="11" spans="2:11" s="158" customFormat="1" x14ac:dyDescent="0.2">
      <c r="B11" s="169"/>
      <c r="C11" s="170" t="str">
        <f>B60</f>
        <v>Option 1: Provide In Meter Capabilities</v>
      </c>
      <c r="D11" s="254" t="str">
        <f>IF(D87=0," ",D88)</f>
        <v xml:space="preserve"> </v>
      </c>
      <c r="E11" s="206" t="str">
        <f t="shared" si="0"/>
        <v xml:space="preserve"> </v>
      </c>
      <c r="F11" s="160"/>
      <c r="K11" s="160"/>
    </row>
    <row r="12" spans="2:11" s="158" customFormat="1" x14ac:dyDescent="0.2">
      <c r="B12" s="169"/>
      <c r="C12" s="170" t="str">
        <f>B90</f>
        <v>Option 2: Provide In Meter Capabilities with Near Real-time Centralised Analytics</v>
      </c>
      <c r="D12" s="254" t="str">
        <f>IF(D117=0," ",D118)</f>
        <v xml:space="preserve"> </v>
      </c>
      <c r="E12" s="206" t="str">
        <f t="shared" si="0"/>
        <v xml:space="preserve"> </v>
      </c>
      <c r="F12" s="160"/>
      <c r="K12" s="160"/>
    </row>
    <row r="13" spans="2:11" s="158" customFormat="1" x14ac:dyDescent="0.2">
      <c r="B13" s="169"/>
      <c r="C13" s="170" t="str">
        <f>B120</f>
        <v xml:space="preserve">Option 3: </v>
      </c>
      <c r="D13" s="254" t="str">
        <f>IF(D147=0," ",D148)</f>
        <v xml:space="preserve"> </v>
      </c>
      <c r="E13" s="206" t="str">
        <f t="shared" si="0"/>
        <v xml:space="preserve"> </v>
      </c>
      <c r="F13" s="160"/>
      <c r="K13" s="160"/>
    </row>
    <row r="14" spans="2:11" s="158" customFormat="1" x14ac:dyDescent="0.2">
      <c r="B14" s="169"/>
      <c r="C14" s="170" t="str">
        <f>B150</f>
        <v xml:space="preserve">Option 4: </v>
      </c>
      <c r="D14" s="254" t="str">
        <f>IF(D177=0," ",D178)</f>
        <v xml:space="preserve"> </v>
      </c>
      <c r="E14" s="206" t="str">
        <f t="shared" si="0"/>
        <v xml:space="preserve"> </v>
      </c>
      <c r="F14" s="160"/>
      <c r="K14" s="160"/>
    </row>
    <row r="15" spans="2:11" s="158" customFormat="1" x14ac:dyDescent="0.2">
      <c r="B15" s="169"/>
      <c r="C15" s="170" t="str">
        <f>B180</f>
        <v xml:space="preserve">Option 5: </v>
      </c>
      <c r="D15" s="254" t="str">
        <f>IF(D207=0," ",D208)</f>
        <v xml:space="preserve"> </v>
      </c>
      <c r="E15" s="206" t="str">
        <f t="shared" si="0"/>
        <v xml:space="preserve"> </v>
      </c>
      <c r="F15" s="160"/>
      <c r="K15" s="160"/>
    </row>
    <row r="16" spans="2:11" s="158" customFormat="1" ht="13.5" thickBot="1" x14ac:dyDescent="0.25">
      <c r="B16" s="175"/>
      <c r="C16" s="176"/>
      <c r="D16" s="202"/>
      <c r="E16" s="204"/>
      <c r="F16" s="160"/>
    </row>
    <row r="17" spans="1:33" s="158" customFormat="1" x14ac:dyDescent="0.2">
      <c r="F17" s="160"/>
    </row>
    <row r="18" spans="1:33" s="158" customFormat="1" x14ac:dyDescent="0.2">
      <c r="F18" s="160"/>
    </row>
    <row r="19" spans="1:33" s="158" customFormat="1" x14ac:dyDescent="0.2">
      <c r="B19" s="101"/>
      <c r="C19" s="102" t="s">
        <v>1</v>
      </c>
      <c r="D19" s="103">
        <f>IF('User Input'!I8=1,'Administrator Input'!F64,IF('User Input'!I8=2,'Administrator Input'!G64))</f>
        <v>8.6699999999999999E-2</v>
      </c>
    </row>
    <row r="20" spans="1:33" s="158" customFormat="1" x14ac:dyDescent="0.2">
      <c r="B20" s="101"/>
      <c r="C20" s="102"/>
      <c r="D20" s="103"/>
      <c r="F20" s="341"/>
      <c r="G20" s="340"/>
    </row>
    <row r="21" spans="1:33" s="158" customFormat="1" x14ac:dyDescent="0.2">
      <c r="F21" s="341"/>
    </row>
    <row r="22" spans="1:33" s="158" customFormat="1" ht="15" x14ac:dyDescent="0.2">
      <c r="B22" s="179" t="s">
        <v>105</v>
      </c>
    </row>
    <row r="23" spans="1:33" s="158" customFormat="1" ht="13.5" thickBot="1" x14ac:dyDescent="0.25"/>
    <row r="24" spans="1:33" s="158" customFormat="1" ht="13.5" thickBot="1" x14ac:dyDescent="0.25">
      <c r="D24" s="163"/>
      <c r="E24" s="164">
        <f>Calculations!F5</f>
        <v>2020</v>
      </c>
      <c r="F24" s="164">
        <f>Calculations!G5</f>
        <v>2021</v>
      </c>
      <c r="G24" s="164">
        <f>Calculations!H5</f>
        <v>2022</v>
      </c>
      <c r="H24" s="164">
        <f>Calculations!I5</f>
        <v>2023</v>
      </c>
      <c r="I24" s="164">
        <f>Calculations!J5</f>
        <v>2024</v>
      </c>
      <c r="J24" s="164">
        <f>Calculations!K5</f>
        <v>2025</v>
      </c>
      <c r="K24" s="164">
        <f>Calculations!L5</f>
        <v>2026</v>
      </c>
      <c r="L24" s="164">
        <f>Calculations!M5</f>
        <v>2027</v>
      </c>
      <c r="M24" s="164">
        <f>Calculations!N5</f>
        <v>2028</v>
      </c>
      <c r="N24" s="164">
        <f>Calculations!O5</f>
        <v>2029</v>
      </c>
      <c r="O24" s="164">
        <f>Calculations!P5</f>
        <v>2030</v>
      </c>
      <c r="P24" s="164">
        <f>Calculations!Q5</f>
        <v>2031</v>
      </c>
      <c r="Q24" s="164">
        <f>Calculations!R5</f>
        <v>2032</v>
      </c>
      <c r="R24" s="164">
        <f>Calculations!S5</f>
        <v>2033</v>
      </c>
      <c r="S24" s="164">
        <f>Calculations!T5</f>
        <v>2034</v>
      </c>
      <c r="T24" s="164">
        <f>Calculations!U5</f>
        <v>2035</v>
      </c>
      <c r="U24" s="164">
        <f>Calculations!V5</f>
        <v>2036</v>
      </c>
      <c r="V24" s="164">
        <f>Calculations!W5</f>
        <v>2037</v>
      </c>
      <c r="W24" s="164">
        <f>Calculations!X5</f>
        <v>2038</v>
      </c>
      <c r="X24" s="164">
        <f>Calculations!Y5</f>
        <v>2039</v>
      </c>
      <c r="Y24" s="165"/>
    </row>
    <row r="25" spans="1:33" s="158" customFormat="1" x14ac:dyDescent="0.2">
      <c r="B25" s="166"/>
      <c r="C25" s="167" t="s">
        <v>47</v>
      </c>
      <c r="D25" s="168"/>
      <c r="E25" s="168">
        <v>1</v>
      </c>
      <c r="F25" s="168">
        <v>2</v>
      </c>
      <c r="G25" s="168">
        <v>3</v>
      </c>
      <c r="H25" s="168">
        <v>4</v>
      </c>
      <c r="I25" s="168">
        <v>5</v>
      </c>
      <c r="J25" s="168">
        <v>6</v>
      </c>
      <c r="K25" s="168">
        <v>7</v>
      </c>
      <c r="L25" s="168">
        <v>8</v>
      </c>
      <c r="M25" s="168">
        <v>9</v>
      </c>
      <c r="N25" s="168">
        <v>10</v>
      </c>
      <c r="O25" s="168">
        <v>11</v>
      </c>
      <c r="P25" s="168">
        <v>12</v>
      </c>
      <c r="Q25" s="168">
        <v>13</v>
      </c>
      <c r="R25" s="168">
        <v>14</v>
      </c>
      <c r="S25" s="168">
        <v>15</v>
      </c>
      <c r="T25" s="168">
        <v>16</v>
      </c>
      <c r="U25" s="168">
        <v>17</v>
      </c>
      <c r="V25" s="168">
        <v>18</v>
      </c>
      <c r="W25" s="168">
        <v>19</v>
      </c>
      <c r="X25" s="168">
        <v>20</v>
      </c>
      <c r="Y25" s="239"/>
    </row>
    <row r="26" spans="1:33" s="143" customFormat="1" x14ac:dyDescent="0.2">
      <c r="A26" s="29"/>
      <c r="B26" s="107" t="s">
        <v>16</v>
      </c>
      <c r="C26" s="29"/>
      <c r="D26" s="29"/>
      <c r="E26" s="226">
        <f>'Administrator Input'!$F$35</f>
        <v>1.9400000000000001E-2</v>
      </c>
      <c r="F26" s="226">
        <f>E26</f>
        <v>1.9400000000000001E-2</v>
      </c>
      <c r="G26" s="226">
        <f t="shared" ref="G26:X26" si="1">F26</f>
        <v>1.9400000000000001E-2</v>
      </c>
      <c r="H26" s="226">
        <f t="shared" si="1"/>
        <v>1.9400000000000001E-2</v>
      </c>
      <c r="I26" s="226">
        <f t="shared" si="1"/>
        <v>1.9400000000000001E-2</v>
      </c>
      <c r="J26" s="226">
        <f t="shared" si="1"/>
        <v>1.9400000000000001E-2</v>
      </c>
      <c r="K26" s="226">
        <f t="shared" si="1"/>
        <v>1.9400000000000001E-2</v>
      </c>
      <c r="L26" s="226">
        <f t="shared" si="1"/>
        <v>1.9400000000000001E-2</v>
      </c>
      <c r="M26" s="226">
        <f t="shared" si="1"/>
        <v>1.9400000000000001E-2</v>
      </c>
      <c r="N26" s="226">
        <f t="shared" si="1"/>
        <v>1.9400000000000001E-2</v>
      </c>
      <c r="O26" s="226">
        <f t="shared" si="1"/>
        <v>1.9400000000000001E-2</v>
      </c>
      <c r="P26" s="226">
        <f t="shared" si="1"/>
        <v>1.9400000000000001E-2</v>
      </c>
      <c r="Q26" s="226">
        <f t="shared" si="1"/>
        <v>1.9400000000000001E-2</v>
      </c>
      <c r="R26" s="226">
        <f t="shared" si="1"/>
        <v>1.9400000000000001E-2</v>
      </c>
      <c r="S26" s="226">
        <f t="shared" si="1"/>
        <v>1.9400000000000001E-2</v>
      </c>
      <c r="T26" s="226">
        <f t="shared" si="1"/>
        <v>1.9400000000000001E-2</v>
      </c>
      <c r="U26" s="226">
        <f t="shared" si="1"/>
        <v>1.9400000000000001E-2</v>
      </c>
      <c r="V26" s="226">
        <f t="shared" si="1"/>
        <v>1.9400000000000001E-2</v>
      </c>
      <c r="W26" s="226">
        <f t="shared" si="1"/>
        <v>1.9400000000000001E-2</v>
      </c>
      <c r="X26" s="226">
        <f t="shared" si="1"/>
        <v>1.9400000000000001E-2</v>
      </c>
      <c r="Y26" s="238"/>
      <c r="Z26" s="158"/>
    </row>
    <row r="27" spans="1:33" s="143" customFormat="1" x14ac:dyDescent="0.2">
      <c r="A27" s="29"/>
      <c r="B27" s="107"/>
      <c r="C27" s="29"/>
      <c r="D27" s="29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38"/>
      <c r="Z27" s="158"/>
    </row>
    <row r="28" spans="1:33" s="143" customFormat="1" x14ac:dyDescent="0.2">
      <c r="A28" s="29"/>
      <c r="B28" s="227" t="s">
        <v>17</v>
      </c>
      <c r="C28" s="96"/>
      <c r="D28" s="240">
        <v>1</v>
      </c>
      <c r="E28" s="228">
        <f t="shared" ref="E28:Y28" si="2">D28+(+D28*E26)</f>
        <v>1.0194000000000001</v>
      </c>
      <c r="F28" s="228">
        <f t="shared" si="2"/>
        <v>1.0391763600000001</v>
      </c>
      <c r="G28" s="228">
        <f t="shared" si="2"/>
        <v>1.0593363813840002</v>
      </c>
      <c r="H28" s="228">
        <f t="shared" si="2"/>
        <v>1.0798875071828498</v>
      </c>
      <c r="I28" s="228">
        <f t="shared" si="2"/>
        <v>1.100837324822197</v>
      </c>
      <c r="J28" s="228">
        <f t="shared" si="2"/>
        <v>1.1221935689237477</v>
      </c>
      <c r="K28" s="228">
        <f t="shared" si="2"/>
        <v>1.1439641241608685</v>
      </c>
      <c r="L28" s="228">
        <f t="shared" si="2"/>
        <v>1.1661570281695892</v>
      </c>
      <c r="M28" s="228">
        <f t="shared" si="2"/>
        <v>1.1887804745160793</v>
      </c>
      <c r="N28" s="228">
        <f t="shared" si="2"/>
        <v>1.2118428157216912</v>
      </c>
      <c r="O28" s="228">
        <f t="shared" si="2"/>
        <v>1.235352566346692</v>
      </c>
      <c r="P28" s="228">
        <f t="shared" si="2"/>
        <v>1.2593184061338178</v>
      </c>
      <c r="Q28" s="228">
        <f t="shared" si="2"/>
        <v>1.2837491832128138</v>
      </c>
      <c r="R28" s="228">
        <f t="shared" si="2"/>
        <v>1.3086539173671423</v>
      </c>
      <c r="S28" s="228">
        <f t="shared" si="2"/>
        <v>1.3340418033640649</v>
      </c>
      <c r="T28" s="228">
        <f t="shared" si="2"/>
        <v>1.3599222143493277</v>
      </c>
      <c r="U28" s="228">
        <f t="shared" si="2"/>
        <v>1.3863047053077047</v>
      </c>
      <c r="V28" s="228">
        <f t="shared" si="2"/>
        <v>1.413199016590674</v>
      </c>
      <c r="W28" s="228">
        <f t="shared" si="2"/>
        <v>1.440615077512533</v>
      </c>
      <c r="X28" s="228">
        <f t="shared" si="2"/>
        <v>1.4685630100162761</v>
      </c>
      <c r="Y28" s="237">
        <f t="shared" si="2"/>
        <v>1.4685630100162761</v>
      </c>
      <c r="Z28" s="158"/>
    </row>
    <row r="29" spans="1:33" s="158" customFormat="1" x14ac:dyDescent="0.2">
      <c r="B29" s="169"/>
      <c r="C29" s="170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2"/>
      <c r="AA29" s="159"/>
      <c r="AB29" s="159"/>
      <c r="AC29" s="159"/>
      <c r="AD29" s="159"/>
      <c r="AE29" s="159"/>
      <c r="AF29" s="159"/>
      <c r="AG29" s="159"/>
    </row>
    <row r="30" spans="1:33" s="158" customFormat="1" x14ac:dyDescent="0.2">
      <c r="B30" s="392" t="str">
        <f>Calculations!B12</f>
        <v>"Status Quo" Reference Case</v>
      </c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4"/>
    </row>
    <row r="31" spans="1:33" s="158" customFormat="1" x14ac:dyDescent="0.2"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3"/>
    </row>
    <row r="32" spans="1:33" s="230" customFormat="1" x14ac:dyDescent="0.2">
      <c r="B32" s="231"/>
      <c r="C32" s="229" t="s">
        <v>118</v>
      </c>
      <c r="D32" s="170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32"/>
    </row>
    <row r="33" spans="2:25" s="347" customFormat="1" x14ac:dyDescent="0.2">
      <c r="B33" s="345"/>
      <c r="C33" s="346" t="str">
        <f>'User Input'!$D$214</f>
        <v>Value of Electricity to Customers (VCR)</v>
      </c>
      <c r="D33" s="349">
        <f>SUM(E33:X33)</f>
        <v>0</v>
      </c>
      <c r="E33" s="350">
        <f>'User Input'!G215*'Administrator Input'!$F$60*E$28*'User Input'!$F$215</f>
        <v>0</v>
      </c>
      <c r="F33" s="350">
        <f>'User Input'!H215*'Administrator Input'!$F$60*F$28*'User Input'!$F$215</f>
        <v>0</v>
      </c>
      <c r="G33" s="350">
        <f>'User Input'!I215*'Administrator Input'!$F$60*G$28*'User Input'!$F$215</f>
        <v>0</v>
      </c>
      <c r="H33" s="350">
        <f>'User Input'!J215*'Administrator Input'!$F$60*H$28*'User Input'!$F$215</f>
        <v>0</v>
      </c>
      <c r="I33" s="350">
        <f>'User Input'!K215*'Administrator Input'!$F$60*I$28*'User Input'!$F$215</f>
        <v>0</v>
      </c>
      <c r="J33" s="350">
        <f>'User Input'!L215*'Administrator Input'!$F$60*J$28*'User Input'!$F$215</f>
        <v>0</v>
      </c>
      <c r="K33" s="350">
        <f>'User Input'!M215*'Administrator Input'!$F$60*K$28*'User Input'!$F$215</f>
        <v>0</v>
      </c>
      <c r="L33" s="350">
        <f>'User Input'!N215*'Administrator Input'!$F$60*L$28*'User Input'!$F$215</f>
        <v>0</v>
      </c>
      <c r="M33" s="350">
        <f>'User Input'!O215*'Administrator Input'!$F$60*M$28*'User Input'!$F$215</f>
        <v>0</v>
      </c>
      <c r="N33" s="350">
        <f>'User Input'!P215*'Administrator Input'!$F$60*N$28*'User Input'!$F$215</f>
        <v>0</v>
      </c>
      <c r="O33" s="350">
        <f>'User Input'!Q215*'Administrator Input'!$F$60*O$28*'User Input'!$F$215</f>
        <v>0</v>
      </c>
      <c r="P33" s="350">
        <f>'User Input'!R215*'Administrator Input'!$F$60*P$28*'User Input'!$F$215</f>
        <v>0</v>
      </c>
      <c r="Q33" s="350">
        <f>'User Input'!S215*'Administrator Input'!$F$60*Q$28*'User Input'!$F$215</f>
        <v>0</v>
      </c>
      <c r="R33" s="350">
        <f>'User Input'!T215*'Administrator Input'!$F$60*R$28*'User Input'!$F$215</f>
        <v>0</v>
      </c>
      <c r="S33" s="350">
        <f>'User Input'!U215*'Administrator Input'!$F$60*S$28*'User Input'!$F$215</f>
        <v>0</v>
      </c>
      <c r="T33" s="350">
        <f>'User Input'!V215*'Administrator Input'!$F$60*T$28*'User Input'!$F$215</f>
        <v>0</v>
      </c>
      <c r="U33" s="350">
        <f>'User Input'!W215*'Administrator Input'!$F$60*U$28*'User Input'!$F$215</f>
        <v>0</v>
      </c>
      <c r="V33" s="350">
        <f>'User Input'!X215*'Administrator Input'!$F$60*V$28*'User Input'!$F$215</f>
        <v>0</v>
      </c>
      <c r="W33" s="350">
        <f>'User Input'!Y215*'Administrator Input'!$F$60*W$28*'User Input'!$F$215</f>
        <v>0</v>
      </c>
      <c r="X33" s="350">
        <f>'User Input'!Z215*'Administrator Input'!$F$60*X$28*'User Input'!$F$215</f>
        <v>0</v>
      </c>
      <c r="Y33" s="348"/>
    </row>
    <row r="34" spans="2:25" s="230" customFormat="1" x14ac:dyDescent="0.2">
      <c r="B34" s="231"/>
      <c r="C34" s="235" t="str">
        <f>'User Input'!$D$222</f>
        <v>Changes in Voluntary Load Curtailment</v>
      </c>
      <c r="D34" s="245">
        <f t="shared" ref="D34:D42" si="3">SUM(E34:X34)</f>
        <v>0</v>
      </c>
      <c r="E34" s="350">
        <f>('User Input'!G223*'Administrator Input'!$F$59*E28)/1000*'User Input'!$F$223</f>
        <v>0</v>
      </c>
      <c r="F34" s="350">
        <f>('User Input'!H223*'Administrator Input'!$F$59*F28)/1000*'User Input'!$F$223</f>
        <v>0</v>
      </c>
      <c r="G34" s="350">
        <f>('User Input'!I223*'Administrator Input'!$F$59*G28)/1000*'User Input'!$F$223</f>
        <v>0</v>
      </c>
      <c r="H34" s="350">
        <f>('User Input'!J223*'Administrator Input'!$F$59*H28)/1000*'User Input'!$F$223</f>
        <v>0</v>
      </c>
      <c r="I34" s="350">
        <f>('User Input'!K223*'Administrator Input'!$F$59*I28)/1000*'User Input'!$F$223</f>
        <v>0</v>
      </c>
      <c r="J34" s="350">
        <f>('User Input'!L223*'Administrator Input'!$F$59*J28)/1000*'User Input'!$F$223</f>
        <v>0</v>
      </c>
      <c r="K34" s="350">
        <f>('User Input'!M223*'Administrator Input'!$F$59*K28)/1000*'User Input'!$F$223</f>
        <v>0</v>
      </c>
      <c r="L34" s="350">
        <f>('User Input'!N223*'Administrator Input'!$F$59*L28)/1000*'User Input'!$F$223</f>
        <v>0</v>
      </c>
      <c r="M34" s="350">
        <f>('User Input'!O223*'Administrator Input'!$F$59*M28)/1000*'User Input'!$F$223</f>
        <v>0</v>
      </c>
      <c r="N34" s="350">
        <f>('User Input'!P223*'Administrator Input'!$F$59*N28)/1000*'User Input'!$F$223</f>
        <v>0</v>
      </c>
      <c r="O34" s="350">
        <f>('User Input'!Q223*'Administrator Input'!$F$59*O28)/1000*'User Input'!$F$223</f>
        <v>0</v>
      </c>
      <c r="P34" s="350">
        <f>('User Input'!R223*'Administrator Input'!$F$59*P28)/1000*'User Input'!$F$223</f>
        <v>0</v>
      </c>
      <c r="Q34" s="350">
        <f>('User Input'!S223*'Administrator Input'!$F$59*Q28)/1000*'User Input'!$F$223</f>
        <v>0</v>
      </c>
      <c r="R34" s="350">
        <f>('User Input'!T223*'Administrator Input'!$F$59*R28)/1000*'User Input'!$F$223</f>
        <v>0</v>
      </c>
      <c r="S34" s="350">
        <f>('User Input'!U223*'Administrator Input'!$F$59*S28)/1000*'User Input'!$F$223</f>
        <v>0</v>
      </c>
      <c r="T34" s="350">
        <f>('User Input'!V223*'Administrator Input'!$F$59*T28)/1000*'User Input'!$F$223</f>
        <v>0</v>
      </c>
      <c r="U34" s="350">
        <f>('User Input'!W223*'Administrator Input'!$F$59*U28)/1000*'User Input'!$F$223</f>
        <v>0</v>
      </c>
      <c r="V34" s="350">
        <f>('User Input'!X223*'Administrator Input'!$F$59*V28)/1000*'User Input'!$F$223</f>
        <v>0</v>
      </c>
      <c r="W34" s="350">
        <f>('User Input'!Y223*'Administrator Input'!$F$59*W28)/1000*'User Input'!$F$223</f>
        <v>0</v>
      </c>
      <c r="X34" s="350">
        <f>('User Input'!Z223*'Administrator Input'!$F$59*X28)/1000*'User Input'!$F$223</f>
        <v>0</v>
      </c>
      <c r="Y34" s="232"/>
    </row>
    <row r="35" spans="2:25" s="344" customFormat="1" x14ac:dyDescent="0.2">
      <c r="B35" s="345"/>
      <c r="C35" s="346" t="str">
        <f>'User Input'!$D$230</f>
        <v>Changes in Costs to Other Parties</v>
      </c>
      <c r="D35" s="349">
        <f t="shared" si="3"/>
        <v>0</v>
      </c>
      <c r="E35" s="350">
        <f>'User Input'!G231*E28*'User Input'!$F$231</f>
        <v>0</v>
      </c>
      <c r="F35" s="350">
        <f>'User Input'!H231*F28*'User Input'!$F$231</f>
        <v>0</v>
      </c>
      <c r="G35" s="350">
        <f>'User Input'!I231*G28*'User Input'!$F$231</f>
        <v>0</v>
      </c>
      <c r="H35" s="350">
        <f>'User Input'!J231*H28*'User Input'!$F$231</f>
        <v>0</v>
      </c>
      <c r="I35" s="350">
        <f>'User Input'!K231*I28*'User Input'!$F$231</f>
        <v>0</v>
      </c>
      <c r="J35" s="350">
        <f>'User Input'!L231*J28*'User Input'!$F$231</f>
        <v>0</v>
      </c>
      <c r="K35" s="350">
        <f>'User Input'!M231*K28*'User Input'!$F$231</f>
        <v>0</v>
      </c>
      <c r="L35" s="350">
        <f>'User Input'!N231*L28*'User Input'!$F$231</f>
        <v>0</v>
      </c>
      <c r="M35" s="350">
        <f>'User Input'!O231*M28*'User Input'!$F$231</f>
        <v>0</v>
      </c>
      <c r="N35" s="350">
        <f>'User Input'!P231*N28*'User Input'!$F$231</f>
        <v>0</v>
      </c>
      <c r="O35" s="350">
        <f>'User Input'!Q231*O28*'User Input'!$F$231</f>
        <v>0</v>
      </c>
      <c r="P35" s="350">
        <f>'User Input'!R231*P28*'User Input'!$F$231</f>
        <v>0</v>
      </c>
      <c r="Q35" s="350">
        <f>'User Input'!S231*Q28*'User Input'!$F$231</f>
        <v>0</v>
      </c>
      <c r="R35" s="350">
        <f>'User Input'!T231*R28*'User Input'!$F$231</f>
        <v>0</v>
      </c>
      <c r="S35" s="350">
        <f>'User Input'!U231*S28*'User Input'!$F$231</f>
        <v>0</v>
      </c>
      <c r="T35" s="350">
        <f>'User Input'!V231*T28*'User Input'!$F$231</f>
        <v>0</v>
      </c>
      <c r="U35" s="350">
        <f>'User Input'!W231*U28*'User Input'!$F$231</f>
        <v>0</v>
      </c>
      <c r="V35" s="350">
        <f>'User Input'!X231*V28*'User Input'!$F$231</f>
        <v>0</v>
      </c>
      <c r="W35" s="350">
        <f>'User Input'!Y231*W28*'User Input'!$F$231</f>
        <v>0</v>
      </c>
      <c r="X35" s="350">
        <f>'User Input'!Z231*X28*'User Input'!$F$231</f>
        <v>0</v>
      </c>
      <c r="Y35" s="348"/>
    </row>
    <row r="36" spans="2:25" s="344" customFormat="1" x14ac:dyDescent="0.2">
      <c r="B36" s="345"/>
      <c r="C36" s="346" t="str">
        <f>'User Input'!$D$238</f>
        <v>Difference in Timing (capex)</v>
      </c>
      <c r="D36" s="349">
        <f t="shared" si="3"/>
        <v>0</v>
      </c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48"/>
    </row>
    <row r="37" spans="2:25" s="344" customFormat="1" x14ac:dyDescent="0.2">
      <c r="B37" s="345"/>
      <c r="C37" s="346" t="str">
        <f>'User Input'!$D$246</f>
        <v xml:space="preserve">Changes in Load Transfer Capacity </v>
      </c>
      <c r="D37" s="349">
        <f t="shared" si="3"/>
        <v>0</v>
      </c>
      <c r="E37" s="350">
        <f>('User Input'!G247*'Administrator Input'!$F$61*E28)/1000*'User Input'!$F$247</f>
        <v>0</v>
      </c>
      <c r="F37" s="350">
        <f>('User Input'!H247*'Administrator Input'!$F$61*F28)/1000*'User Input'!$F$247</f>
        <v>0</v>
      </c>
      <c r="G37" s="350">
        <f>('User Input'!I247*'Administrator Input'!$F$61*G28)/1000*'User Input'!$F$247</f>
        <v>0</v>
      </c>
      <c r="H37" s="350">
        <f>('User Input'!J247*'Administrator Input'!$F$61*H28)/1000*'User Input'!$F$247</f>
        <v>0</v>
      </c>
      <c r="I37" s="350">
        <f>('User Input'!K247*'Administrator Input'!$F$61*I28)/1000*'User Input'!$F$247</f>
        <v>0</v>
      </c>
      <c r="J37" s="350">
        <f>('User Input'!L247*'Administrator Input'!$F$61*J28)/1000*'User Input'!$F$247</f>
        <v>0</v>
      </c>
      <c r="K37" s="350">
        <f>('User Input'!M247*'Administrator Input'!$F$61*K28)/1000*'User Input'!$F$247</f>
        <v>0</v>
      </c>
      <c r="L37" s="350">
        <f>('User Input'!N247*'Administrator Input'!$F$61*L28)/1000*'User Input'!$F$247</f>
        <v>0</v>
      </c>
      <c r="M37" s="350">
        <f>('User Input'!O247*'Administrator Input'!$F$61*M28)/1000*'User Input'!$F$247</f>
        <v>0</v>
      </c>
      <c r="N37" s="350">
        <f>('User Input'!P247*'Administrator Input'!$F$61*N28)/1000*'User Input'!$F$247</f>
        <v>0</v>
      </c>
      <c r="O37" s="350">
        <f>('User Input'!Q247*'Administrator Input'!$F$61*O28)/1000*'User Input'!$F$247</f>
        <v>0</v>
      </c>
      <c r="P37" s="350">
        <f>('User Input'!R247*'Administrator Input'!$F$61*P28)/1000*'User Input'!$F$247</f>
        <v>0</v>
      </c>
      <c r="Q37" s="350">
        <f>('User Input'!S247*'Administrator Input'!$F$61*Q28)/1000*'User Input'!$F$247</f>
        <v>0</v>
      </c>
      <c r="R37" s="350">
        <f>('User Input'!T247*'Administrator Input'!$F$61*R28)/1000*'User Input'!$F$247</f>
        <v>0</v>
      </c>
      <c r="S37" s="350">
        <f>('User Input'!U247*'Administrator Input'!$F$61*S28)/1000*'User Input'!$F$247</f>
        <v>0</v>
      </c>
      <c r="T37" s="350">
        <f>('User Input'!V247*'Administrator Input'!$F$61*T28)/1000*'User Input'!$F$247</f>
        <v>0</v>
      </c>
      <c r="U37" s="350">
        <f>('User Input'!W247*'Administrator Input'!$F$61*U28)/1000*'User Input'!$F$247</f>
        <v>0</v>
      </c>
      <c r="V37" s="350">
        <f>('User Input'!X247*'Administrator Input'!$F$61*V28)/1000*'User Input'!$F$247</f>
        <v>0</v>
      </c>
      <c r="W37" s="350">
        <f>('User Input'!Y247*'Administrator Input'!$F$61*W28)/1000*'User Input'!$F$247</f>
        <v>0</v>
      </c>
      <c r="X37" s="350">
        <f>('User Input'!Z247*'Administrator Input'!$F$61*X28)/1000*'User Input'!$F$247</f>
        <v>0</v>
      </c>
      <c r="Y37" s="348"/>
    </row>
    <row r="38" spans="2:25" s="344" customFormat="1" x14ac:dyDescent="0.2">
      <c r="B38" s="345"/>
      <c r="C38" s="346" t="str">
        <f>'User Input'!$D$254</f>
        <v>Option Value</v>
      </c>
      <c r="D38" s="349">
        <f t="shared" si="3"/>
        <v>0</v>
      </c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48"/>
    </row>
    <row r="39" spans="2:25" s="347" customFormat="1" x14ac:dyDescent="0.2">
      <c r="B39" s="345"/>
      <c r="C39" s="346" t="str">
        <f>'User Input'!$D$262</f>
        <v>Avoided Network Losses</v>
      </c>
      <c r="D39" s="349">
        <f t="shared" si="3"/>
        <v>0</v>
      </c>
      <c r="E39" s="350">
        <f>('User Input'!G263*'Administrator Input'!$F$62*E$28)/1000*'User Input'!$F$263</f>
        <v>0</v>
      </c>
      <c r="F39" s="350">
        <f>('User Input'!H263*'Administrator Input'!$F$62*F$28)/1000*'User Input'!$F$263</f>
        <v>0</v>
      </c>
      <c r="G39" s="350">
        <f>('User Input'!I263*'Administrator Input'!$F$62*G$28)/1000*'User Input'!$F$263</f>
        <v>0</v>
      </c>
      <c r="H39" s="350">
        <f>('User Input'!J263*'Administrator Input'!$F$62*H$28)/1000*'User Input'!$F$263</f>
        <v>0</v>
      </c>
      <c r="I39" s="350">
        <f>('User Input'!K263*'Administrator Input'!$F$62*I$28)/1000*'User Input'!$F$263</f>
        <v>0</v>
      </c>
      <c r="J39" s="350">
        <f>('User Input'!L263*'Administrator Input'!$F$62*J$28)/1000*'User Input'!$F$263</f>
        <v>0</v>
      </c>
      <c r="K39" s="350">
        <f>('User Input'!M263*'Administrator Input'!$F$62*K$28)/1000*'User Input'!$F$263</f>
        <v>0</v>
      </c>
      <c r="L39" s="350">
        <f>('User Input'!N263*'Administrator Input'!$F$62*L$28)/1000*'User Input'!$F$263</f>
        <v>0</v>
      </c>
      <c r="M39" s="350">
        <f>('User Input'!O263*'Administrator Input'!$F$62*M$28)/1000*'User Input'!$F$263</f>
        <v>0</v>
      </c>
      <c r="N39" s="350">
        <f>('User Input'!P263*'Administrator Input'!$F$62*N$28)/1000*'User Input'!$F$263</f>
        <v>0</v>
      </c>
      <c r="O39" s="350">
        <f>('User Input'!Q263*'Administrator Input'!$F$62*O$28)/1000*'User Input'!$F$263</f>
        <v>0</v>
      </c>
      <c r="P39" s="350">
        <f>('User Input'!R263*'Administrator Input'!$F$62*P$28)/1000*'User Input'!$F$263</f>
        <v>0</v>
      </c>
      <c r="Q39" s="350">
        <f>('User Input'!S263*'Administrator Input'!$F$62*Q$28)/1000*'User Input'!$F$263</f>
        <v>0</v>
      </c>
      <c r="R39" s="350">
        <f>('User Input'!T263*'Administrator Input'!$F$62*R$28)/1000*'User Input'!$F$263</f>
        <v>0</v>
      </c>
      <c r="S39" s="350">
        <f>('User Input'!U263*'Administrator Input'!$F$62*S$28)/1000*'User Input'!$F$263</f>
        <v>0</v>
      </c>
      <c r="T39" s="350">
        <f>('User Input'!V263*'Administrator Input'!$F$62*T$28)/1000*'User Input'!$F$263</f>
        <v>0</v>
      </c>
      <c r="U39" s="350">
        <f>('User Input'!W263*'Administrator Input'!$F$62*U$28)/1000*'User Input'!$F$263</f>
        <v>0</v>
      </c>
      <c r="V39" s="350">
        <f>('User Input'!X263*'Administrator Input'!$F$62*V$28)/1000*'User Input'!$F$263</f>
        <v>0</v>
      </c>
      <c r="W39" s="350">
        <f>('User Input'!Y263*'Administrator Input'!$F$62*W$28)/1000*'User Input'!$F$263</f>
        <v>0</v>
      </c>
      <c r="X39" s="350">
        <f>('User Input'!Z263*'Administrator Input'!$F$62*X$28)/1000*'User Input'!$F$263</f>
        <v>0</v>
      </c>
      <c r="Y39" s="348"/>
    </row>
    <row r="40" spans="2:25" s="344" customFormat="1" x14ac:dyDescent="0.2">
      <c r="B40" s="345"/>
      <c r="C40" s="346" t="str">
        <f>'User Input'!$D$270</f>
        <v>Other Benefits</v>
      </c>
      <c r="D40" s="349">
        <f t="shared" si="3"/>
        <v>0</v>
      </c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48"/>
    </row>
    <row r="41" spans="2:25" s="347" customFormat="1" x14ac:dyDescent="0.2">
      <c r="B41" s="345"/>
      <c r="C41" s="352" t="str">
        <f>IF('User Input'!$D$209&lt;&gt;0,'User Input'!$D$283,0)</f>
        <v>Avoided Environmental Impact</v>
      </c>
      <c r="D41" s="349">
        <f t="shared" si="3"/>
        <v>0</v>
      </c>
      <c r="E41" s="350">
        <f>IF($C$41=0,0,'User Input'!G284*E$28*'User Input'!$F$284)</f>
        <v>0</v>
      </c>
      <c r="F41" s="350">
        <f>IF($C$41=0,0,'User Input'!H284*F$28*'User Input'!$F$284)</f>
        <v>0</v>
      </c>
      <c r="G41" s="350">
        <f>IF($C$41=0,0,'User Input'!I284*G$28*'User Input'!$F$284)</f>
        <v>0</v>
      </c>
      <c r="H41" s="350">
        <f>IF($C$41=0,0,'User Input'!J284*H$28*'User Input'!$F$284)</f>
        <v>0</v>
      </c>
      <c r="I41" s="350">
        <f>IF($C$41=0,0,'User Input'!K284*I$28*'User Input'!$F$284)</f>
        <v>0</v>
      </c>
      <c r="J41" s="350">
        <f>IF($C$41=0,0,'User Input'!L284*J$28*'User Input'!$F$284)</f>
        <v>0</v>
      </c>
      <c r="K41" s="350">
        <f>IF($C$41=0,0,'User Input'!M284*K$28*'User Input'!$F$284)</f>
        <v>0</v>
      </c>
      <c r="L41" s="350">
        <f>IF($C$41=0,0,'User Input'!N284*L$28*'User Input'!$F$284)</f>
        <v>0</v>
      </c>
      <c r="M41" s="350">
        <f>IF($C$41=0,0,'User Input'!O284*M$28*'User Input'!$F$284)</f>
        <v>0</v>
      </c>
      <c r="N41" s="350">
        <f>IF($C$41=0,0,'User Input'!P284*N$28*'User Input'!$F$284)</f>
        <v>0</v>
      </c>
      <c r="O41" s="350">
        <f>IF($C$41=0,0,'User Input'!Q284*O$28*'User Input'!$F$284)</f>
        <v>0</v>
      </c>
      <c r="P41" s="350">
        <f>IF($C$41=0,0,'User Input'!R284*P$28*'User Input'!$F$284)</f>
        <v>0</v>
      </c>
      <c r="Q41" s="350">
        <f>IF($C$41=0,0,'User Input'!S284*Q$28*'User Input'!$F$284)</f>
        <v>0</v>
      </c>
      <c r="R41" s="350">
        <f>IF($C$41=0,0,'User Input'!T284*R$28*'User Input'!$F$284)</f>
        <v>0</v>
      </c>
      <c r="S41" s="350">
        <f>IF($C$41=0,0,'User Input'!U284*S$28*'User Input'!$F$284)</f>
        <v>0</v>
      </c>
      <c r="T41" s="350">
        <f>IF($C$41=0,0,'User Input'!V284*T$28*'User Input'!$F$284)</f>
        <v>0</v>
      </c>
      <c r="U41" s="350">
        <f>IF($C$41=0,0,'User Input'!W284*U$28*'User Input'!$F$284)</f>
        <v>0</v>
      </c>
      <c r="V41" s="350">
        <f>IF($C$41=0,0,'User Input'!X284*V$28*'User Input'!$F$284)</f>
        <v>0</v>
      </c>
      <c r="W41" s="350">
        <f>IF($C$41=0,0,'User Input'!Y284*W$28*'User Input'!$F$284)</f>
        <v>0</v>
      </c>
      <c r="X41" s="350">
        <f>IF($C$41=0,0,'User Input'!Z284*X$28*'User Input'!$F$284)</f>
        <v>0</v>
      </c>
      <c r="Y41" s="348"/>
    </row>
    <row r="42" spans="2:25" s="347" customFormat="1" x14ac:dyDescent="0.2">
      <c r="B42" s="345"/>
      <c r="C42" s="352" t="str">
        <f>IF('User Input'!$D$209&lt;&gt;0,'User Input'!$D$291,0)</f>
        <v>Community Health and Safety</v>
      </c>
      <c r="D42" s="349">
        <f t="shared" si="3"/>
        <v>0</v>
      </c>
      <c r="E42" s="350">
        <f>IF($C$42=0,0,'User Input'!G292*E$28*'User Input'!$F$292)</f>
        <v>0</v>
      </c>
      <c r="F42" s="350">
        <f>IF($C$42=0,0,'User Input'!H292*F$28*'User Input'!$F$292)</f>
        <v>0</v>
      </c>
      <c r="G42" s="350">
        <f>IF($C$42=0,0,'User Input'!I292*G$28*'User Input'!$F$292)</f>
        <v>0</v>
      </c>
      <c r="H42" s="350">
        <f>IF($C$42=0,0,'User Input'!J292*H$28*'User Input'!$F$292)</f>
        <v>0</v>
      </c>
      <c r="I42" s="350">
        <f>IF($C$42=0,0,'User Input'!K292*I$28*'User Input'!$F$292)</f>
        <v>0</v>
      </c>
      <c r="J42" s="350">
        <f>IF($C$42=0,0,'User Input'!L292*J$28*'User Input'!$F$292)</f>
        <v>0</v>
      </c>
      <c r="K42" s="350">
        <f>IF($C$42=0,0,'User Input'!M292*K$28*'User Input'!$F$292)</f>
        <v>0</v>
      </c>
      <c r="L42" s="350">
        <f>IF($C$42=0,0,'User Input'!N292*L$28*'User Input'!$F$292)</f>
        <v>0</v>
      </c>
      <c r="M42" s="350">
        <f>IF($C$42=0,0,'User Input'!O292*M$28*'User Input'!$F$292)</f>
        <v>0</v>
      </c>
      <c r="N42" s="350">
        <f>IF($C$42=0,0,'User Input'!P292*N$28*'User Input'!$F$292)</f>
        <v>0</v>
      </c>
      <c r="O42" s="350">
        <f>IF($C$42=0,0,'User Input'!Q292*O$28*'User Input'!$F$292)</f>
        <v>0</v>
      </c>
      <c r="P42" s="350">
        <f>IF($C$42=0,0,'User Input'!R292*P$28*'User Input'!$F$292)</f>
        <v>0</v>
      </c>
      <c r="Q42" s="350">
        <f>IF($C$42=0,0,'User Input'!S292*Q$28*'User Input'!$F$292)</f>
        <v>0</v>
      </c>
      <c r="R42" s="350">
        <f>IF($C$42=0,0,'User Input'!T292*R$28*'User Input'!$F$292)</f>
        <v>0</v>
      </c>
      <c r="S42" s="350">
        <f>IF($C$42=0,0,'User Input'!U292*S$28*'User Input'!$F$292)</f>
        <v>0</v>
      </c>
      <c r="T42" s="350">
        <f>IF($C$42=0,0,'User Input'!V292*T$28*'User Input'!$F$292)</f>
        <v>0</v>
      </c>
      <c r="U42" s="350">
        <f>IF($C$42=0,0,'User Input'!W292*U$28*'User Input'!$F$292)</f>
        <v>0</v>
      </c>
      <c r="V42" s="350">
        <f>IF($C$42=0,0,'User Input'!X292*V$28*'User Input'!$F$292)</f>
        <v>0</v>
      </c>
      <c r="W42" s="350">
        <f>IF($C$42=0,0,'User Input'!Y292*W$28*'User Input'!$F$292)</f>
        <v>0</v>
      </c>
      <c r="X42" s="350">
        <f>IF($C$42=0,0,'User Input'!Z292*X$28*'User Input'!$F$292)</f>
        <v>0</v>
      </c>
      <c r="Y42" s="348"/>
    </row>
    <row r="43" spans="2:25" s="347" customFormat="1" x14ac:dyDescent="0.2">
      <c r="B43" s="345"/>
      <c r="C43" s="352" t="str">
        <f>IF('User Input'!$D$209&lt;&gt;0,'User Input'!$D$299,0)</f>
        <v>Other Benefits</v>
      </c>
      <c r="D43" s="349">
        <f>SUM(E43:X43)</f>
        <v>0</v>
      </c>
      <c r="E43" s="350">
        <f>IF($C$43=0,0,'User Input'!G$300*E$28*'User Input'!$F$300)</f>
        <v>0</v>
      </c>
      <c r="F43" s="350">
        <f>IF($C$43=0,0,'User Input'!H$300*F$28*'User Input'!$F$300)</f>
        <v>0</v>
      </c>
      <c r="G43" s="350">
        <f>IF($C$43=0,0,'User Input'!I$300*G$28*'User Input'!$F$300)</f>
        <v>0</v>
      </c>
      <c r="H43" s="350">
        <f>IF($C$43=0,0,'User Input'!J$300*H$28*'User Input'!$F$300)</f>
        <v>0</v>
      </c>
      <c r="I43" s="350">
        <f>IF($C$43=0,0,'User Input'!K$300*I$28*'User Input'!$F$300)</f>
        <v>0</v>
      </c>
      <c r="J43" s="350">
        <f>IF($C$43=0,0,'User Input'!L$300*J$28*'User Input'!$F$300)</f>
        <v>0</v>
      </c>
      <c r="K43" s="350">
        <f>IF($C$43=0,0,'User Input'!M$300*K$28*'User Input'!$F$300)</f>
        <v>0</v>
      </c>
      <c r="L43" s="350">
        <f>IF($C$43=0,0,'User Input'!N$300*L$28*'User Input'!$F$300)</f>
        <v>0</v>
      </c>
      <c r="M43" s="350">
        <f>IF($C$43=0,0,'User Input'!O$300*M$28*'User Input'!$F$300)</f>
        <v>0</v>
      </c>
      <c r="N43" s="350">
        <f>IF($C$43=0,0,'User Input'!P$300*N$28*'User Input'!$F$300)</f>
        <v>0</v>
      </c>
      <c r="O43" s="350">
        <f>IF($C$43=0,0,'User Input'!Q$300*O$28*'User Input'!$F$300)</f>
        <v>0</v>
      </c>
      <c r="P43" s="350">
        <f>IF($C$43=0,0,'User Input'!R$300*P$28*'User Input'!$F$300)</f>
        <v>0</v>
      </c>
      <c r="Q43" s="350">
        <f>IF($C$43=0,0,'User Input'!S$300*Q$28*'User Input'!$F$300)</f>
        <v>0</v>
      </c>
      <c r="R43" s="350">
        <f>IF($C$43=0,0,'User Input'!T$300*R$28*'User Input'!$F$300)</f>
        <v>0</v>
      </c>
      <c r="S43" s="350">
        <f>IF($C$43=0,0,'User Input'!U$300*S$28*'User Input'!$F$300)</f>
        <v>0</v>
      </c>
      <c r="T43" s="350">
        <f>IF($C$43=0,0,'User Input'!V$300*T$28*'User Input'!$F$300)</f>
        <v>0</v>
      </c>
      <c r="U43" s="350">
        <f>IF($C$43=0,0,'User Input'!W$300*U$28*'User Input'!$F$300)</f>
        <v>0</v>
      </c>
      <c r="V43" s="350">
        <f>IF($C$43=0,0,'User Input'!X$300*V$28*'User Input'!$F$300)</f>
        <v>0</v>
      </c>
      <c r="W43" s="350">
        <f>IF($C$43=0,0,'User Input'!Y$300*W$28*'User Input'!$F$300)</f>
        <v>0</v>
      </c>
      <c r="X43" s="350">
        <f>IF($C$43=0,0,'User Input'!Z$300*X$28*'User Input'!$F$300)</f>
        <v>0</v>
      </c>
      <c r="Y43" s="348"/>
    </row>
    <row r="44" spans="2:25" s="229" customFormat="1" x14ac:dyDescent="0.2">
      <c r="B44" s="345"/>
      <c r="C44" s="234" t="s">
        <v>173</v>
      </c>
      <c r="D44" s="246">
        <f t="shared" ref="D44:X44" si="4">SUM(D33:D43)</f>
        <v>0</v>
      </c>
      <c r="E44" s="246">
        <f t="shared" si="4"/>
        <v>0</v>
      </c>
      <c r="F44" s="246">
        <f t="shared" si="4"/>
        <v>0</v>
      </c>
      <c r="G44" s="246">
        <f t="shared" si="4"/>
        <v>0</v>
      </c>
      <c r="H44" s="246">
        <f t="shared" si="4"/>
        <v>0</v>
      </c>
      <c r="I44" s="246">
        <f t="shared" si="4"/>
        <v>0</v>
      </c>
      <c r="J44" s="246">
        <f t="shared" si="4"/>
        <v>0</v>
      </c>
      <c r="K44" s="246">
        <f t="shared" si="4"/>
        <v>0</v>
      </c>
      <c r="L44" s="246">
        <f t="shared" si="4"/>
        <v>0</v>
      </c>
      <c r="M44" s="246">
        <f t="shared" si="4"/>
        <v>0</v>
      </c>
      <c r="N44" s="246">
        <f t="shared" si="4"/>
        <v>0</v>
      </c>
      <c r="O44" s="246">
        <f t="shared" si="4"/>
        <v>0</v>
      </c>
      <c r="P44" s="246">
        <f t="shared" si="4"/>
        <v>0</v>
      </c>
      <c r="Q44" s="246">
        <f t="shared" si="4"/>
        <v>0</v>
      </c>
      <c r="R44" s="246">
        <f t="shared" si="4"/>
        <v>0</v>
      </c>
      <c r="S44" s="246">
        <f t="shared" si="4"/>
        <v>0</v>
      </c>
      <c r="T44" s="246">
        <f t="shared" si="4"/>
        <v>0</v>
      </c>
      <c r="U44" s="246">
        <f t="shared" si="4"/>
        <v>0</v>
      </c>
      <c r="V44" s="246">
        <f t="shared" si="4"/>
        <v>0</v>
      </c>
      <c r="W44" s="246">
        <f t="shared" si="4"/>
        <v>0</v>
      </c>
      <c r="X44" s="246">
        <f t="shared" si="4"/>
        <v>0</v>
      </c>
      <c r="Y44" s="232"/>
    </row>
    <row r="45" spans="2:25" s="229" customFormat="1" x14ac:dyDescent="0.2">
      <c r="B45" s="231"/>
      <c r="D45" s="241"/>
      <c r="Y45" s="232"/>
    </row>
    <row r="46" spans="2:25" s="158" customFormat="1" x14ac:dyDescent="0.2">
      <c r="B46" s="169"/>
      <c r="C46" s="170" t="s">
        <v>116</v>
      </c>
      <c r="D46" s="242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3"/>
    </row>
    <row r="47" spans="2:25" s="158" customFormat="1" x14ac:dyDescent="0.2">
      <c r="B47" s="169"/>
      <c r="C47" s="236" t="str">
        <f>"Annualised Cost - capex ("&amp;+'User Input'!F12&amp;+")"</f>
        <v>Annualised Cost - capex (2019)</v>
      </c>
      <c r="D47" s="247">
        <f t="shared" ref="D47:D54" si="5">SUM(E47:X47)</f>
        <v>0</v>
      </c>
      <c r="E47" s="244">
        <f>IF(E221&gt;0,E223,0)</f>
        <v>0</v>
      </c>
      <c r="F47" s="244">
        <f t="shared" ref="F47:X47" si="6">IF(F221&gt;0,F223,0)</f>
        <v>0</v>
      </c>
      <c r="G47" s="244">
        <f t="shared" si="6"/>
        <v>0</v>
      </c>
      <c r="H47" s="244">
        <f t="shared" si="6"/>
        <v>0</v>
      </c>
      <c r="I47" s="244">
        <f t="shared" si="6"/>
        <v>0</v>
      </c>
      <c r="J47" s="244">
        <f t="shared" si="6"/>
        <v>0</v>
      </c>
      <c r="K47" s="244">
        <f t="shared" si="6"/>
        <v>0</v>
      </c>
      <c r="L47" s="244">
        <f t="shared" si="6"/>
        <v>0</v>
      </c>
      <c r="M47" s="244">
        <f t="shared" si="6"/>
        <v>0</v>
      </c>
      <c r="N47" s="244">
        <f t="shared" si="6"/>
        <v>0</v>
      </c>
      <c r="O47" s="244">
        <f t="shared" si="6"/>
        <v>0</v>
      </c>
      <c r="P47" s="244">
        <f t="shared" si="6"/>
        <v>0</v>
      </c>
      <c r="Q47" s="244">
        <f t="shared" si="6"/>
        <v>0</v>
      </c>
      <c r="R47" s="244">
        <f t="shared" si="6"/>
        <v>0</v>
      </c>
      <c r="S47" s="244">
        <f t="shared" si="6"/>
        <v>0</v>
      </c>
      <c r="T47" s="244">
        <f t="shared" si="6"/>
        <v>0</v>
      </c>
      <c r="U47" s="244">
        <f t="shared" si="6"/>
        <v>0</v>
      </c>
      <c r="V47" s="244">
        <f t="shared" si="6"/>
        <v>0</v>
      </c>
      <c r="W47" s="244">
        <f t="shared" si="6"/>
        <v>0</v>
      </c>
      <c r="X47" s="244">
        <f t="shared" si="6"/>
        <v>0</v>
      </c>
      <c r="Y47" s="173"/>
    </row>
    <row r="48" spans="2:25" s="158" customFormat="1" x14ac:dyDescent="0.2">
      <c r="B48" s="169"/>
      <c r="C48" s="236" t="str">
        <f>"Annualised Cost - capex ("&amp;+'User Input'!G12&amp;+")"</f>
        <v>Annualised Cost - capex (2020)</v>
      </c>
      <c r="D48" s="247">
        <f t="shared" si="5"/>
        <v>0</v>
      </c>
      <c r="E48" s="260">
        <v>0</v>
      </c>
      <c r="F48" s="244">
        <f>IF(F228&gt;0,F230,0)</f>
        <v>0</v>
      </c>
      <c r="G48" s="244">
        <f t="shared" ref="G48:X48" si="7">IF(G228&gt;0,G230,0)</f>
        <v>0</v>
      </c>
      <c r="H48" s="244">
        <f t="shared" si="7"/>
        <v>0</v>
      </c>
      <c r="I48" s="244">
        <f t="shared" si="7"/>
        <v>0</v>
      </c>
      <c r="J48" s="244">
        <f t="shared" si="7"/>
        <v>0</v>
      </c>
      <c r="K48" s="244">
        <f t="shared" si="7"/>
        <v>0</v>
      </c>
      <c r="L48" s="244">
        <f t="shared" si="7"/>
        <v>0</v>
      </c>
      <c r="M48" s="244">
        <f t="shared" si="7"/>
        <v>0</v>
      </c>
      <c r="N48" s="244">
        <f t="shared" si="7"/>
        <v>0</v>
      </c>
      <c r="O48" s="244">
        <f t="shared" si="7"/>
        <v>0</v>
      </c>
      <c r="P48" s="244">
        <f t="shared" si="7"/>
        <v>0</v>
      </c>
      <c r="Q48" s="244">
        <f t="shared" si="7"/>
        <v>0</v>
      </c>
      <c r="R48" s="244">
        <f t="shared" si="7"/>
        <v>0</v>
      </c>
      <c r="S48" s="244">
        <f t="shared" si="7"/>
        <v>0</v>
      </c>
      <c r="T48" s="244">
        <f t="shared" si="7"/>
        <v>0</v>
      </c>
      <c r="U48" s="244">
        <f t="shared" si="7"/>
        <v>0</v>
      </c>
      <c r="V48" s="244">
        <f t="shared" si="7"/>
        <v>0</v>
      </c>
      <c r="W48" s="244">
        <f t="shared" si="7"/>
        <v>0</v>
      </c>
      <c r="X48" s="244">
        <f t="shared" si="7"/>
        <v>0</v>
      </c>
      <c r="Y48" s="173"/>
    </row>
    <row r="49" spans="2:25" s="158" customFormat="1" x14ac:dyDescent="0.2">
      <c r="B49" s="169"/>
      <c r="C49" s="236" t="str">
        <f>"Annualised Cost - capex ("&amp;+'User Input'!H12&amp;+")"</f>
        <v>Annualised Cost - capex (2021)</v>
      </c>
      <c r="D49" s="247">
        <f t="shared" si="5"/>
        <v>0</v>
      </c>
      <c r="E49" s="260">
        <v>0</v>
      </c>
      <c r="F49" s="260">
        <v>0</v>
      </c>
      <c r="G49" s="244">
        <f>IF(G235&gt;=0,G237,0)</f>
        <v>0</v>
      </c>
      <c r="H49" s="244">
        <f t="shared" ref="H49:P49" si="8">IF(H235&gt;=0,H237,0)</f>
        <v>0</v>
      </c>
      <c r="I49" s="244">
        <f t="shared" si="8"/>
        <v>0</v>
      </c>
      <c r="J49" s="244">
        <f t="shared" si="8"/>
        <v>0</v>
      </c>
      <c r="K49" s="244">
        <f t="shared" si="8"/>
        <v>0</v>
      </c>
      <c r="L49" s="244">
        <f t="shared" si="8"/>
        <v>0</v>
      </c>
      <c r="M49" s="244">
        <f t="shared" si="8"/>
        <v>0</v>
      </c>
      <c r="N49" s="244">
        <f t="shared" si="8"/>
        <v>0</v>
      </c>
      <c r="O49" s="244">
        <f t="shared" si="8"/>
        <v>0</v>
      </c>
      <c r="P49" s="244">
        <f t="shared" si="8"/>
        <v>0</v>
      </c>
      <c r="Q49" s="244">
        <f>IF(Q235&gt;=0,Q237,0)</f>
        <v>0</v>
      </c>
      <c r="R49" s="244">
        <f t="shared" ref="R49:X49" si="9">IF(R235&gt;=0,R237,0)</f>
        <v>0</v>
      </c>
      <c r="S49" s="244">
        <f t="shared" si="9"/>
        <v>0</v>
      </c>
      <c r="T49" s="244">
        <f t="shared" si="9"/>
        <v>0</v>
      </c>
      <c r="U49" s="244">
        <f t="shared" si="9"/>
        <v>0</v>
      </c>
      <c r="V49" s="244">
        <f t="shared" si="9"/>
        <v>0</v>
      </c>
      <c r="W49" s="244">
        <f t="shared" si="9"/>
        <v>0</v>
      </c>
      <c r="X49" s="244">
        <f t="shared" si="9"/>
        <v>0</v>
      </c>
      <c r="Y49" s="173"/>
    </row>
    <row r="50" spans="2:25" s="158" customFormat="1" x14ac:dyDescent="0.2">
      <c r="B50" s="169"/>
      <c r="C50" s="236" t="str">
        <f>"Annualised Cost - capex ("&amp;+'User Input'!I12&amp;+")"</f>
        <v>Annualised Cost - capex (2022)</v>
      </c>
      <c r="D50" s="247">
        <f t="shared" si="5"/>
        <v>0</v>
      </c>
      <c r="E50" s="260">
        <v>0</v>
      </c>
      <c r="F50" s="260">
        <v>0</v>
      </c>
      <c r="G50" s="260">
        <v>0</v>
      </c>
      <c r="H50" s="244">
        <f>IF(H242&gt;0,H244,0)</f>
        <v>0</v>
      </c>
      <c r="I50" s="244">
        <f t="shared" ref="I50:X50" si="10">IF(I242&gt;0,I244,0)</f>
        <v>0</v>
      </c>
      <c r="J50" s="244">
        <f t="shared" si="10"/>
        <v>0</v>
      </c>
      <c r="K50" s="244">
        <f t="shared" si="10"/>
        <v>0</v>
      </c>
      <c r="L50" s="244">
        <f t="shared" si="10"/>
        <v>0</v>
      </c>
      <c r="M50" s="244">
        <f t="shared" si="10"/>
        <v>0</v>
      </c>
      <c r="N50" s="244">
        <f t="shared" si="10"/>
        <v>0</v>
      </c>
      <c r="O50" s="244">
        <f t="shared" si="10"/>
        <v>0</v>
      </c>
      <c r="P50" s="244">
        <f t="shared" si="10"/>
        <v>0</v>
      </c>
      <c r="Q50" s="244">
        <f t="shared" si="10"/>
        <v>0</v>
      </c>
      <c r="R50" s="244">
        <f t="shared" si="10"/>
        <v>0</v>
      </c>
      <c r="S50" s="244">
        <f t="shared" si="10"/>
        <v>0</v>
      </c>
      <c r="T50" s="244">
        <f t="shared" si="10"/>
        <v>0</v>
      </c>
      <c r="U50" s="244">
        <f t="shared" si="10"/>
        <v>0</v>
      </c>
      <c r="V50" s="244">
        <f t="shared" si="10"/>
        <v>0</v>
      </c>
      <c r="W50" s="244">
        <f t="shared" si="10"/>
        <v>0</v>
      </c>
      <c r="X50" s="244">
        <f t="shared" si="10"/>
        <v>0</v>
      </c>
      <c r="Y50" s="173"/>
    </row>
    <row r="51" spans="2:25" s="158" customFormat="1" x14ac:dyDescent="0.2">
      <c r="B51" s="169"/>
      <c r="C51" s="236" t="str">
        <f>"Annualised Cost - capex ("&amp;+'User Input'!J12&amp;+")"</f>
        <v>Annualised Cost - capex (2023)</v>
      </c>
      <c r="D51" s="247">
        <f t="shared" si="5"/>
        <v>0</v>
      </c>
      <c r="E51" s="260">
        <v>0</v>
      </c>
      <c r="F51" s="260">
        <v>0</v>
      </c>
      <c r="G51" s="260">
        <v>0</v>
      </c>
      <c r="H51" s="260">
        <v>0</v>
      </c>
      <c r="I51" s="244">
        <f>IF(I249&gt;0,I251,0)</f>
        <v>0</v>
      </c>
      <c r="J51" s="244">
        <f t="shared" ref="J51:X51" si="11">IF(J249&gt;0,J251,0)</f>
        <v>0</v>
      </c>
      <c r="K51" s="244">
        <f t="shared" si="11"/>
        <v>0</v>
      </c>
      <c r="L51" s="244">
        <f t="shared" si="11"/>
        <v>0</v>
      </c>
      <c r="M51" s="244">
        <f t="shared" si="11"/>
        <v>0</v>
      </c>
      <c r="N51" s="244">
        <f t="shared" si="11"/>
        <v>0</v>
      </c>
      <c r="O51" s="244">
        <f t="shared" si="11"/>
        <v>0</v>
      </c>
      <c r="P51" s="244">
        <f t="shared" si="11"/>
        <v>0</v>
      </c>
      <c r="Q51" s="244">
        <f t="shared" si="11"/>
        <v>0</v>
      </c>
      <c r="R51" s="244">
        <f t="shared" si="11"/>
        <v>0</v>
      </c>
      <c r="S51" s="244">
        <f t="shared" si="11"/>
        <v>0</v>
      </c>
      <c r="T51" s="244">
        <f t="shared" si="11"/>
        <v>0</v>
      </c>
      <c r="U51" s="244">
        <f t="shared" si="11"/>
        <v>0</v>
      </c>
      <c r="V51" s="244">
        <f t="shared" si="11"/>
        <v>0</v>
      </c>
      <c r="W51" s="244">
        <f t="shared" si="11"/>
        <v>0</v>
      </c>
      <c r="X51" s="244">
        <f t="shared" si="11"/>
        <v>0</v>
      </c>
      <c r="Y51" s="173"/>
    </row>
    <row r="52" spans="2:25" s="158" customFormat="1" x14ac:dyDescent="0.2">
      <c r="B52" s="169"/>
      <c r="C52" s="235" t="str">
        <f>'User Input'!D321</f>
        <v>O&amp;M Costs</v>
      </c>
      <c r="D52" s="247">
        <f t="shared" si="5"/>
        <v>0</v>
      </c>
      <c r="E52" s="244">
        <f>'User Input'!G322*SUM('User Input'!$F15:F15)*E28</f>
        <v>0</v>
      </c>
      <c r="F52" s="244">
        <f>'User Input'!H322*SUM('User Input'!$F15:G15)*F28</f>
        <v>0</v>
      </c>
      <c r="G52" s="244">
        <f>'User Input'!I322*SUM('User Input'!$F15:H15)*G28</f>
        <v>0</v>
      </c>
      <c r="H52" s="244">
        <f>'User Input'!J322*SUM('User Input'!$F15:I15)*H28</f>
        <v>0</v>
      </c>
      <c r="I52" s="244">
        <f>'User Input'!K322*SUM('User Input'!$F15:J15)*I28</f>
        <v>0</v>
      </c>
      <c r="J52" s="244">
        <f>'User Input'!L322*SUM('User Input'!$F15:K15)*J28</f>
        <v>0</v>
      </c>
      <c r="K52" s="244">
        <f>'User Input'!M322*SUM('User Input'!$F15:L15)*K28</f>
        <v>0</v>
      </c>
      <c r="L52" s="244">
        <f>'User Input'!N322*SUM('User Input'!$F15:M15)*L28</f>
        <v>0</v>
      </c>
      <c r="M52" s="244">
        <f>'User Input'!O322*SUM('User Input'!$F15:N15)*M28</f>
        <v>0</v>
      </c>
      <c r="N52" s="244">
        <f>'User Input'!P322*SUM('User Input'!$F15:O15)*N28</f>
        <v>0</v>
      </c>
      <c r="O52" s="244">
        <f>'User Input'!Q322*SUM('User Input'!$F15:P15)*O28</f>
        <v>0</v>
      </c>
      <c r="P52" s="244">
        <f>'User Input'!R322*SUM('User Input'!$F15:Q15)*P28</f>
        <v>0</v>
      </c>
      <c r="Q52" s="244">
        <f>'User Input'!S322*SUM('User Input'!$F15:R15)*Q28</f>
        <v>0</v>
      </c>
      <c r="R52" s="244">
        <f>'User Input'!T322*SUM('User Input'!$F15:S15)*R28</f>
        <v>0</v>
      </c>
      <c r="S52" s="244">
        <f>'User Input'!U322*SUM('User Input'!$F15:T15)*S28</f>
        <v>0</v>
      </c>
      <c r="T52" s="244">
        <f>'User Input'!V322*SUM('User Input'!$F15:U15)*T28</f>
        <v>0</v>
      </c>
      <c r="U52" s="244">
        <f>'User Input'!W322*SUM('User Input'!$F15:V15)*U28</f>
        <v>0</v>
      </c>
      <c r="V52" s="244">
        <f>'User Input'!X322*SUM('User Input'!$F15:W15)*V28</f>
        <v>0</v>
      </c>
      <c r="W52" s="244">
        <f>'User Input'!Y322*SUM('User Input'!$F15:X15)*W28</f>
        <v>0</v>
      </c>
      <c r="X52" s="244">
        <f>'User Input'!Z322*SUM('User Input'!$F15:Y15)*X28</f>
        <v>0</v>
      </c>
      <c r="Y52" s="173"/>
    </row>
    <row r="53" spans="2:25" s="158" customFormat="1" x14ac:dyDescent="0.2">
      <c r="B53" s="169"/>
      <c r="C53" s="235" t="str">
        <f>'User Input'!D329</f>
        <v>Compliance and Admin Costs</v>
      </c>
      <c r="D53" s="247">
        <f t="shared" si="5"/>
        <v>0</v>
      </c>
      <c r="E53" s="244">
        <f>'User Input'!G330*E28</f>
        <v>0</v>
      </c>
      <c r="F53" s="244">
        <f>'User Input'!H330*F28</f>
        <v>0</v>
      </c>
      <c r="G53" s="244">
        <f>'User Input'!I330*G28</f>
        <v>0</v>
      </c>
      <c r="H53" s="244">
        <f>'User Input'!J330*H28</f>
        <v>0</v>
      </c>
      <c r="I53" s="244">
        <f>'User Input'!K330*I28</f>
        <v>0</v>
      </c>
      <c r="J53" s="244">
        <f>'User Input'!L330*J28</f>
        <v>0</v>
      </c>
      <c r="K53" s="244">
        <f>'User Input'!M330*K28</f>
        <v>0</v>
      </c>
      <c r="L53" s="244">
        <f>'User Input'!N330*L28</f>
        <v>0</v>
      </c>
      <c r="M53" s="244">
        <f>'User Input'!O330*M28</f>
        <v>0</v>
      </c>
      <c r="N53" s="244">
        <f>'User Input'!P330*N28</f>
        <v>0</v>
      </c>
      <c r="O53" s="244">
        <f>'User Input'!Q330*O28</f>
        <v>0</v>
      </c>
      <c r="P53" s="244">
        <f>'User Input'!R330*P28</f>
        <v>0</v>
      </c>
      <c r="Q53" s="244">
        <f>'User Input'!S330*Q28</f>
        <v>0</v>
      </c>
      <c r="R53" s="244">
        <f>'User Input'!T330*R28</f>
        <v>0</v>
      </c>
      <c r="S53" s="244">
        <f>'User Input'!U330*S28</f>
        <v>0</v>
      </c>
      <c r="T53" s="244">
        <f>'User Input'!V330*T28</f>
        <v>0</v>
      </c>
      <c r="U53" s="244">
        <f>'User Input'!W330*U28</f>
        <v>0</v>
      </c>
      <c r="V53" s="244">
        <f>'User Input'!X330*V28</f>
        <v>0</v>
      </c>
      <c r="W53" s="244">
        <f>'User Input'!Y330*W28</f>
        <v>0</v>
      </c>
      <c r="X53" s="244">
        <f>'User Input'!Z330*X28</f>
        <v>0</v>
      </c>
      <c r="Y53" s="173"/>
    </row>
    <row r="54" spans="2:25" s="344" customFormat="1" x14ac:dyDescent="0.2">
      <c r="B54" s="345"/>
      <c r="C54" s="346" t="str">
        <f>'User Input'!$D$337</f>
        <v>Other Costs</v>
      </c>
      <c r="D54" s="349">
        <f t="shared" si="5"/>
        <v>0</v>
      </c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48"/>
    </row>
    <row r="55" spans="2:25" s="230" customFormat="1" x14ac:dyDescent="0.2">
      <c r="B55" s="231"/>
      <c r="C55" s="234" t="s">
        <v>2</v>
      </c>
      <c r="D55" s="244">
        <f t="shared" ref="D55:X55" si="12">SUM(D47:D54)</f>
        <v>0</v>
      </c>
      <c r="E55" s="244">
        <f t="shared" si="12"/>
        <v>0</v>
      </c>
      <c r="F55" s="244">
        <f t="shared" si="12"/>
        <v>0</v>
      </c>
      <c r="G55" s="244">
        <f t="shared" si="12"/>
        <v>0</v>
      </c>
      <c r="H55" s="244">
        <f t="shared" si="12"/>
        <v>0</v>
      </c>
      <c r="I55" s="244">
        <f t="shared" si="12"/>
        <v>0</v>
      </c>
      <c r="J55" s="244">
        <f t="shared" si="12"/>
        <v>0</v>
      </c>
      <c r="K55" s="244">
        <f t="shared" si="12"/>
        <v>0</v>
      </c>
      <c r="L55" s="244">
        <f t="shared" si="12"/>
        <v>0</v>
      </c>
      <c r="M55" s="244">
        <f t="shared" si="12"/>
        <v>0</v>
      </c>
      <c r="N55" s="244">
        <f t="shared" si="12"/>
        <v>0</v>
      </c>
      <c r="O55" s="244">
        <f t="shared" si="12"/>
        <v>0</v>
      </c>
      <c r="P55" s="244">
        <f t="shared" si="12"/>
        <v>0</v>
      </c>
      <c r="Q55" s="244">
        <f t="shared" si="12"/>
        <v>0</v>
      </c>
      <c r="R55" s="244">
        <f t="shared" si="12"/>
        <v>0</v>
      </c>
      <c r="S55" s="244">
        <f t="shared" si="12"/>
        <v>0</v>
      </c>
      <c r="T55" s="244">
        <f t="shared" si="12"/>
        <v>0</v>
      </c>
      <c r="U55" s="244">
        <f t="shared" si="12"/>
        <v>0</v>
      </c>
      <c r="V55" s="244">
        <f t="shared" si="12"/>
        <v>0</v>
      </c>
      <c r="W55" s="244">
        <f t="shared" si="12"/>
        <v>0</v>
      </c>
      <c r="X55" s="244">
        <f t="shared" si="12"/>
        <v>0</v>
      </c>
      <c r="Y55" s="232"/>
    </row>
    <row r="56" spans="2:25" s="230" customFormat="1" x14ac:dyDescent="0.2">
      <c r="B56" s="231"/>
      <c r="C56" s="233"/>
      <c r="D56" s="248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32"/>
    </row>
    <row r="57" spans="2:25" s="158" customFormat="1" ht="13.5" thickBot="1" x14ac:dyDescent="0.25">
      <c r="B57" s="169"/>
      <c r="C57" s="170" t="s">
        <v>162</v>
      </c>
      <c r="D57" s="249">
        <f t="shared" ref="D57:X57" si="13">D44-D55</f>
        <v>0</v>
      </c>
      <c r="E57" s="250">
        <f t="shared" si="13"/>
        <v>0</v>
      </c>
      <c r="F57" s="250">
        <f t="shared" si="13"/>
        <v>0</v>
      </c>
      <c r="G57" s="250">
        <f t="shared" si="13"/>
        <v>0</v>
      </c>
      <c r="H57" s="250">
        <f t="shared" si="13"/>
        <v>0</v>
      </c>
      <c r="I57" s="250">
        <f t="shared" si="13"/>
        <v>0</v>
      </c>
      <c r="J57" s="250">
        <f t="shared" si="13"/>
        <v>0</v>
      </c>
      <c r="K57" s="250">
        <f t="shared" si="13"/>
        <v>0</v>
      </c>
      <c r="L57" s="250">
        <f t="shared" si="13"/>
        <v>0</v>
      </c>
      <c r="M57" s="250">
        <f t="shared" si="13"/>
        <v>0</v>
      </c>
      <c r="N57" s="250">
        <f t="shared" si="13"/>
        <v>0</v>
      </c>
      <c r="O57" s="250">
        <f t="shared" si="13"/>
        <v>0</v>
      </c>
      <c r="P57" s="250">
        <f t="shared" si="13"/>
        <v>0</v>
      </c>
      <c r="Q57" s="250">
        <f t="shared" si="13"/>
        <v>0</v>
      </c>
      <c r="R57" s="250">
        <f t="shared" si="13"/>
        <v>0</v>
      </c>
      <c r="S57" s="250">
        <f t="shared" si="13"/>
        <v>0</v>
      </c>
      <c r="T57" s="250">
        <f t="shared" si="13"/>
        <v>0</v>
      </c>
      <c r="U57" s="250">
        <f t="shared" si="13"/>
        <v>0</v>
      </c>
      <c r="V57" s="250">
        <f t="shared" si="13"/>
        <v>0</v>
      </c>
      <c r="W57" s="250">
        <f t="shared" si="13"/>
        <v>0</v>
      </c>
      <c r="X57" s="250">
        <f t="shared" si="13"/>
        <v>0</v>
      </c>
      <c r="Y57" s="173"/>
    </row>
    <row r="58" spans="2:25" s="158" customFormat="1" ht="13.5" thickBot="1" x14ac:dyDescent="0.25">
      <c r="B58" s="169"/>
      <c r="C58" s="174" t="s">
        <v>163</v>
      </c>
      <c r="D58" s="251">
        <f>SUM(E58:X58)</f>
        <v>0</v>
      </c>
      <c r="E58" s="250">
        <f t="shared" ref="E58:X58" si="14">E57/(1+$D$19)^E$25</f>
        <v>0</v>
      </c>
      <c r="F58" s="250">
        <f t="shared" si="14"/>
        <v>0</v>
      </c>
      <c r="G58" s="250">
        <f t="shared" si="14"/>
        <v>0</v>
      </c>
      <c r="H58" s="250">
        <f t="shared" si="14"/>
        <v>0</v>
      </c>
      <c r="I58" s="250">
        <f t="shared" si="14"/>
        <v>0</v>
      </c>
      <c r="J58" s="250">
        <f t="shared" si="14"/>
        <v>0</v>
      </c>
      <c r="K58" s="250">
        <f t="shared" si="14"/>
        <v>0</v>
      </c>
      <c r="L58" s="250">
        <f t="shared" si="14"/>
        <v>0</v>
      </c>
      <c r="M58" s="250">
        <f t="shared" si="14"/>
        <v>0</v>
      </c>
      <c r="N58" s="250">
        <f t="shared" si="14"/>
        <v>0</v>
      </c>
      <c r="O58" s="250">
        <f t="shared" si="14"/>
        <v>0</v>
      </c>
      <c r="P58" s="250">
        <f t="shared" si="14"/>
        <v>0</v>
      </c>
      <c r="Q58" s="250">
        <f t="shared" si="14"/>
        <v>0</v>
      </c>
      <c r="R58" s="250">
        <f t="shared" si="14"/>
        <v>0</v>
      </c>
      <c r="S58" s="250">
        <f t="shared" si="14"/>
        <v>0</v>
      </c>
      <c r="T58" s="250">
        <f t="shared" si="14"/>
        <v>0</v>
      </c>
      <c r="U58" s="250">
        <f t="shared" si="14"/>
        <v>0</v>
      </c>
      <c r="V58" s="250">
        <f t="shared" si="14"/>
        <v>0</v>
      </c>
      <c r="W58" s="250">
        <f t="shared" si="14"/>
        <v>0</v>
      </c>
      <c r="X58" s="250">
        <f t="shared" si="14"/>
        <v>0</v>
      </c>
      <c r="Y58" s="173"/>
    </row>
    <row r="59" spans="2:25" s="158" customFormat="1" x14ac:dyDescent="0.2"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3"/>
    </row>
    <row r="60" spans="2:25" s="158" customFormat="1" x14ac:dyDescent="0.2">
      <c r="B60" s="392" t="str">
        <f>Calculations!B36</f>
        <v>Option 1: Provide In Meter Capabilities</v>
      </c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6"/>
    </row>
    <row r="61" spans="2:25" s="158" customFormat="1" x14ac:dyDescent="0.2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3"/>
    </row>
    <row r="62" spans="2:25" s="230" customFormat="1" x14ac:dyDescent="0.2">
      <c r="B62" s="231"/>
      <c r="C62" s="229" t="s">
        <v>118</v>
      </c>
      <c r="D62" s="170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32"/>
    </row>
    <row r="63" spans="2:25" s="229" customFormat="1" x14ac:dyDescent="0.2">
      <c r="B63" s="231"/>
      <c r="C63" s="346" t="str">
        <f>'User Input'!$D$214</f>
        <v>Value of Electricity to Customers (VCR)</v>
      </c>
      <c r="D63" s="243">
        <f>SUM(E63:X63)</f>
        <v>0</v>
      </c>
      <c r="E63" s="244">
        <f>'User Input'!G216*'Administrator Input'!$F$60*E$28*'User Input'!$F$216</f>
        <v>0</v>
      </c>
      <c r="F63" s="244">
        <f>'User Input'!H216*'Administrator Input'!$F$60*F$28*'User Input'!$F$216</f>
        <v>0</v>
      </c>
      <c r="G63" s="244">
        <f>'User Input'!I216*'Administrator Input'!$F$60*G$28*'User Input'!$F$216</f>
        <v>0</v>
      </c>
      <c r="H63" s="244">
        <f>'User Input'!J216*'Administrator Input'!$F$60*H$28*'User Input'!$F$216</f>
        <v>0</v>
      </c>
      <c r="I63" s="244">
        <f>'User Input'!K216*'Administrator Input'!$F$60*I$28*'User Input'!$F$216</f>
        <v>0</v>
      </c>
      <c r="J63" s="244">
        <f>'User Input'!L216*'Administrator Input'!$F$60*J$28*'User Input'!$F$216</f>
        <v>0</v>
      </c>
      <c r="K63" s="244">
        <f>'User Input'!M216*'Administrator Input'!$F$60*K$28*'User Input'!$F$216</f>
        <v>0</v>
      </c>
      <c r="L63" s="244">
        <f>'User Input'!N216*'Administrator Input'!$F$60*L$28*'User Input'!$F$216</f>
        <v>0</v>
      </c>
      <c r="M63" s="244">
        <f>'User Input'!O216*'Administrator Input'!$F$60*M$28*'User Input'!$F$216</f>
        <v>0</v>
      </c>
      <c r="N63" s="244">
        <f>'User Input'!P216*'Administrator Input'!$F$60*N$28*'User Input'!$F$216</f>
        <v>0</v>
      </c>
      <c r="O63" s="244">
        <f>'User Input'!Q216*'Administrator Input'!$F$60*O$28*'User Input'!$F$216</f>
        <v>0</v>
      </c>
      <c r="P63" s="244">
        <f>'User Input'!R216*'Administrator Input'!$F$60*P$28*'User Input'!$F$216</f>
        <v>0</v>
      </c>
      <c r="Q63" s="244">
        <f>'User Input'!S216*'Administrator Input'!$F$60*Q$28*'User Input'!$F$216</f>
        <v>0</v>
      </c>
      <c r="R63" s="244">
        <f>'User Input'!T216*'Administrator Input'!$F$60*R$28*'User Input'!$F$216</f>
        <v>0</v>
      </c>
      <c r="S63" s="244">
        <f>'User Input'!U216*'Administrator Input'!$F$60*S$28*'User Input'!$F$216</f>
        <v>0</v>
      </c>
      <c r="T63" s="244">
        <f>'User Input'!V216*'Administrator Input'!$F$60*T$28*'User Input'!$F$216</f>
        <v>0</v>
      </c>
      <c r="U63" s="244">
        <f>'User Input'!W216*'Administrator Input'!$F$60*U$28*'User Input'!$F$216</f>
        <v>0</v>
      </c>
      <c r="V63" s="244">
        <f>'User Input'!X216*'Administrator Input'!$F$60*V$28*'User Input'!$F$216</f>
        <v>0</v>
      </c>
      <c r="W63" s="244">
        <f>'User Input'!Y216*'Administrator Input'!$F$60*W$28*'User Input'!$F$216</f>
        <v>0</v>
      </c>
      <c r="X63" s="244">
        <f>'User Input'!Z216*'Administrator Input'!$F$60*X$28*'User Input'!$F$216</f>
        <v>0</v>
      </c>
      <c r="Y63" s="232"/>
    </row>
    <row r="64" spans="2:25" s="230" customFormat="1" x14ac:dyDescent="0.2">
      <c r="B64" s="231"/>
      <c r="C64" s="235" t="str">
        <f>'User Input'!$D$222</f>
        <v>Changes in Voluntary Load Curtailment</v>
      </c>
      <c r="D64" s="245">
        <f t="shared" ref="D64:D72" si="15">SUM(E64:X64)</f>
        <v>0</v>
      </c>
      <c r="E64" s="350">
        <f>('User Input'!G224*'Administrator Input'!$F$59*E$28)/1000*'User Input'!$F$224</f>
        <v>0</v>
      </c>
      <c r="F64" s="350">
        <f>('User Input'!H224*'Administrator Input'!$F$59*F$28)/1000*'User Input'!$F$224</f>
        <v>0</v>
      </c>
      <c r="G64" s="350">
        <f>('User Input'!I224*'Administrator Input'!$F$59*G$28)/1000*'User Input'!$F$224</f>
        <v>0</v>
      </c>
      <c r="H64" s="350">
        <f>('User Input'!J224*'Administrator Input'!$F$59*H$28)/1000*'User Input'!$F$224</f>
        <v>0</v>
      </c>
      <c r="I64" s="350">
        <f>('User Input'!K224*'Administrator Input'!$F$59*I$28)/1000*'User Input'!$F$224</f>
        <v>0</v>
      </c>
      <c r="J64" s="350">
        <f>('User Input'!L224*'Administrator Input'!$F$59*J$28)/1000*'User Input'!$F$224</f>
        <v>0</v>
      </c>
      <c r="K64" s="350">
        <f>('User Input'!M224*'Administrator Input'!$F$59*K$28)/1000*'User Input'!$F$224</f>
        <v>0</v>
      </c>
      <c r="L64" s="350">
        <f>('User Input'!N224*'Administrator Input'!$F$59*L$28)/1000*'User Input'!$F$224</f>
        <v>0</v>
      </c>
      <c r="M64" s="350">
        <f>('User Input'!O224*'Administrator Input'!$F$59*M$28)/1000*'User Input'!$F$224</f>
        <v>0</v>
      </c>
      <c r="N64" s="350">
        <f>('User Input'!P224*'Administrator Input'!$F$59*N$28)/1000*'User Input'!$F$224</f>
        <v>0</v>
      </c>
      <c r="O64" s="350">
        <f>('User Input'!Q224*'Administrator Input'!$F$59*O$28)/1000*'User Input'!$F$224</f>
        <v>0</v>
      </c>
      <c r="P64" s="350">
        <f>('User Input'!R224*'Administrator Input'!$F$59*P$28)/1000*'User Input'!$F$224</f>
        <v>0</v>
      </c>
      <c r="Q64" s="350">
        <f>('User Input'!S224*'Administrator Input'!$F$59*Q$28)/1000*'User Input'!$F$224</f>
        <v>0</v>
      </c>
      <c r="R64" s="350">
        <f>('User Input'!T224*'Administrator Input'!$F$59*R$28)/1000*'User Input'!$F$224</f>
        <v>0</v>
      </c>
      <c r="S64" s="350">
        <f>('User Input'!U224*'Administrator Input'!$F$59*S$28)/1000*'User Input'!$F$224</f>
        <v>0</v>
      </c>
      <c r="T64" s="350">
        <f>('User Input'!V224*'Administrator Input'!$F$59*T$28)/1000*'User Input'!$F$224</f>
        <v>0</v>
      </c>
      <c r="U64" s="350">
        <f>('User Input'!W224*'Administrator Input'!$F$59*U$28)/1000*'User Input'!$F$224</f>
        <v>0</v>
      </c>
      <c r="V64" s="350">
        <f>('User Input'!X224*'Administrator Input'!$F$59*V$28)/1000*'User Input'!$F$224</f>
        <v>0</v>
      </c>
      <c r="W64" s="350">
        <f>('User Input'!Y224*'Administrator Input'!$F$59*W$28)/1000*'User Input'!$F$224</f>
        <v>0</v>
      </c>
      <c r="X64" s="350">
        <f>('User Input'!Z224*'Administrator Input'!$F$59*X$28)/1000*'User Input'!$F$224</f>
        <v>0</v>
      </c>
      <c r="Y64" s="232"/>
    </row>
    <row r="65" spans="2:25" s="344" customFormat="1" x14ac:dyDescent="0.2">
      <c r="B65" s="345"/>
      <c r="C65" s="346" t="str">
        <f>'User Input'!$D$230</f>
        <v>Changes in Costs to Other Parties</v>
      </c>
      <c r="D65" s="349">
        <f t="shared" si="15"/>
        <v>0</v>
      </c>
      <c r="E65" s="350">
        <f>'User Input'!G232*E$28*'User Input'!$F$232</f>
        <v>0</v>
      </c>
      <c r="F65" s="350">
        <f>'User Input'!H232*F$28*'User Input'!$F$232</f>
        <v>0</v>
      </c>
      <c r="G65" s="350">
        <f>'User Input'!I232*G$28*'User Input'!$F$232</f>
        <v>0</v>
      </c>
      <c r="H65" s="350">
        <f>'User Input'!J232*H$28*'User Input'!$F$232</f>
        <v>0</v>
      </c>
      <c r="I65" s="350">
        <f>'User Input'!K232*I$28*'User Input'!$F$232</f>
        <v>0</v>
      </c>
      <c r="J65" s="350">
        <f>'User Input'!L232*J$28*'User Input'!$F$232</f>
        <v>0</v>
      </c>
      <c r="K65" s="350">
        <f>'User Input'!M232*K$28*'User Input'!$F$232</f>
        <v>0</v>
      </c>
      <c r="L65" s="350">
        <f>'User Input'!N232*L$28*'User Input'!$F$232</f>
        <v>0</v>
      </c>
      <c r="M65" s="350">
        <f>'User Input'!O232*M$28*'User Input'!$F$232</f>
        <v>0</v>
      </c>
      <c r="N65" s="350">
        <f>'User Input'!P232*N$28*'User Input'!$F$232</f>
        <v>0</v>
      </c>
      <c r="O65" s="350">
        <f>'User Input'!Q232*O$28*'User Input'!$F$232</f>
        <v>0</v>
      </c>
      <c r="P65" s="350">
        <f>'User Input'!R232*P$28*'User Input'!$F$232</f>
        <v>0</v>
      </c>
      <c r="Q65" s="350">
        <f>'User Input'!S232*Q$28*'User Input'!$F$232</f>
        <v>0</v>
      </c>
      <c r="R65" s="350">
        <f>'User Input'!T232*R$28*'User Input'!$F$232</f>
        <v>0</v>
      </c>
      <c r="S65" s="350">
        <f>'User Input'!U232*S$28*'User Input'!$F$232</f>
        <v>0</v>
      </c>
      <c r="T65" s="350">
        <f>'User Input'!V232*T$28*'User Input'!$F$232</f>
        <v>0</v>
      </c>
      <c r="U65" s="350">
        <f>'User Input'!W232*U$28*'User Input'!$F$232</f>
        <v>0</v>
      </c>
      <c r="V65" s="350">
        <f>'User Input'!X232*V$28*'User Input'!$F$232</f>
        <v>0</v>
      </c>
      <c r="W65" s="350">
        <f>'User Input'!Y232*W$28*'User Input'!$F$232</f>
        <v>0</v>
      </c>
      <c r="X65" s="350">
        <f>'User Input'!Z232*X$28*'User Input'!$F$232</f>
        <v>0</v>
      </c>
      <c r="Y65" s="348"/>
    </row>
    <row r="66" spans="2:25" s="344" customFormat="1" x14ac:dyDescent="0.2">
      <c r="B66" s="345"/>
      <c r="C66" s="346" t="str">
        <f>'User Input'!$D$238</f>
        <v>Difference in Timing (capex)</v>
      </c>
      <c r="D66" s="349">
        <f t="shared" si="15"/>
        <v>0</v>
      </c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48"/>
    </row>
    <row r="67" spans="2:25" s="344" customFormat="1" x14ac:dyDescent="0.2">
      <c r="B67" s="345"/>
      <c r="C67" s="346" t="str">
        <f>'User Input'!$D$246</f>
        <v xml:space="preserve">Changes in Load Transfer Capacity </v>
      </c>
      <c r="D67" s="349">
        <f t="shared" si="15"/>
        <v>0</v>
      </c>
      <c r="E67" s="350">
        <f>('User Input'!G248*'Administrator Input'!$F$61*E$28)/1000*'User Input'!$F$248</f>
        <v>0</v>
      </c>
      <c r="F67" s="350">
        <f>('User Input'!H248*'Administrator Input'!$F$61*F$28)/1000*'User Input'!$F$248</f>
        <v>0</v>
      </c>
      <c r="G67" s="350">
        <f>('User Input'!I248*'Administrator Input'!$F$61*G$28)/1000*'User Input'!$F$248</f>
        <v>0</v>
      </c>
      <c r="H67" s="350">
        <f>('User Input'!J248*'Administrator Input'!$F$61*H$28)/1000*'User Input'!$F$248</f>
        <v>0</v>
      </c>
      <c r="I67" s="350">
        <f>('User Input'!K248*'Administrator Input'!$F$61*I$28)/1000*'User Input'!$F$248</f>
        <v>0</v>
      </c>
      <c r="J67" s="350">
        <f>('User Input'!L248*'Administrator Input'!$F$61*J$28)/1000*'User Input'!$F$248</f>
        <v>0</v>
      </c>
      <c r="K67" s="350">
        <f>('User Input'!M248*'Administrator Input'!$F$61*K$28)/1000*'User Input'!$F$248</f>
        <v>0</v>
      </c>
      <c r="L67" s="350">
        <f>('User Input'!N248*'Administrator Input'!$F$61*L$28)/1000*'User Input'!$F$248</f>
        <v>0</v>
      </c>
      <c r="M67" s="350">
        <f>('User Input'!O248*'Administrator Input'!$F$61*M$28)/1000*'User Input'!$F$248</f>
        <v>0</v>
      </c>
      <c r="N67" s="350">
        <f>('User Input'!P248*'Administrator Input'!$F$61*N$28)/1000*'User Input'!$F$248</f>
        <v>0</v>
      </c>
      <c r="O67" s="350">
        <f>('User Input'!Q248*'Administrator Input'!$F$61*O$28)/1000*'User Input'!$F$248</f>
        <v>0</v>
      </c>
      <c r="P67" s="350">
        <f>('User Input'!R248*'Administrator Input'!$F$61*P$28)/1000*'User Input'!$F$248</f>
        <v>0</v>
      </c>
      <c r="Q67" s="350">
        <f>('User Input'!S248*'Administrator Input'!$F$61*Q$28)/1000*'User Input'!$F$248</f>
        <v>0</v>
      </c>
      <c r="R67" s="350">
        <f>('User Input'!T248*'Administrator Input'!$F$61*R$28)/1000*'User Input'!$F$248</f>
        <v>0</v>
      </c>
      <c r="S67" s="350">
        <f>('User Input'!U248*'Administrator Input'!$F$61*S$28)/1000*'User Input'!$F$248</f>
        <v>0</v>
      </c>
      <c r="T67" s="350">
        <f>('User Input'!V248*'Administrator Input'!$F$61*T$28)/1000*'User Input'!$F$248</f>
        <v>0</v>
      </c>
      <c r="U67" s="350">
        <f>('User Input'!W248*'Administrator Input'!$F$61*U$28)/1000*'User Input'!$F$248</f>
        <v>0</v>
      </c>
      <c r="V67" s="350">
        <f>('User Input'!X248*'Administrator Input'!$F$61*V$28)/1000*'User Input'!$F$248</f>
        <v>0</v>
      </c>
      <c r="W67" s="350">
        <f>('User Input'!Y248*'Administrator Input'!$F$61*W$28)/1000*'User Input'!$F$248</f>
        <v>0</v>
      </c>
      <c r="X67" s="350">
        <f>('User Input'!Z248*'Administrator Input'!$F$61*X$28)/1000*'User Input'!$F$248</f>
        <v>0</v>
      </c>
      <c r="Y67" s="348"/>
    </row>
    <row r="68" spans="2:25" s="344" customFormat="1" x14ac:dyDescent="0.2">
      <c r="B68" s="345"/>
      <c r="C68" s="346" t="str">
        <f>'User Input'!$D$254</f>
        <v>Option Value</v>
      </c>
      <c r="D68" s="349">
        <f t="shared" si="15"/>
        <v>0</v>
      </c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48"/>
    </row>
    <row r="69" spans="2:25" s="229" customFormat="1" x14ac:dyDescent="0.2">
      <c r="B69" s="231"/>
      <c r="C69" s="346" t="str">
        <f>'User Input'!$D$262</f>
        <v>Avoided Network Losses</v>
      </c>
      <c r="D69" s="243">
        <f>SUM(E69:X69)</f>
        <v>0</v>
      </c>
      <c r="E69" s="244">
        <f>('User Input'!G264*'Administrator Input'!$F$62*E$28)/1000*'User Input'!$F$264</f>
        <v>0</v>
      </c>
      <c r="F69" s="244">
        <f>('User Input'!H264*'Administrator Input'!$F$62*F$28)/1000*'User Input'!$F$264</f>
        <v>0</v>
      </c>
      <c r="G69" s="244">
        <f>('User Input'!I264*'Administrator Input'!$F$62*G$28)/1000*'User Input'!$F$264</f>
        <v>0</v>
      </c>
      <c r="H69" s="244">
        <f>('User Input'!J264*'Administrator Input'!$F$62*H$28)/1000*'User Input'!$F$264</f>
        <v>0</v>
      </c>
      <c r="I69" s="244">
        <f>('User Input'!K264*'Administrator Input'!$F$62*I$28)/1000*'User Input'!$F$264</f>
        <v>0</v>
      </c>
      <c r="J69" s="244">
        <f>('User Input'!L264*'Administrator Input'!$F$62*J$28)/1000*'User Input'!$F$264</f>
        <v>0</v>
      </c>
      <c r="K69" s="244">
        <f>('User Input'!M264*'Administrator Input'!$F$62*K$28)/1000*'User Input'!$F$264</f>
        <v>0</v>
      </c>
      <c r="L69" s="244">
        <f>('User Input'!N264*'Administrator Input'!$F$62*L$28)/1000*'User Input'!$F$264</f>
        <v>0</v>
      </c>
      <c r="M69" s="244">
        <f>('User Input'!O264*'Administrator Input'!$F$62*M$28)/1000*'User Input'!$F$264</f>
        <v>0</v>
      </c>
      <c r="N69" s="244">
        <f>('User Input'!P264*'Administrator Input'!$F$62*N$28)/1000*'User Input'!$F$264</f>
        <v>0</v>
      </c>
      <c r="O69" s="244">
        <f>('User Input'!Q264*'Administrator Input'!$F$62*O$28)/1000*'User Input'!$F$264</f>
        <v>0</v>
      </c>
      <c r="P69" s="244">
        <f>('User Input'!R264*'Administrator Input'!$F$62*P$28)/1000*'User Input'!$F$264</f>
        <v>0</v>
      </c>
      <c r="Q69" s="244">
        <f>('User Input'!S264*'Administrator Input'!$F$62*Q$28)/1000*'User Input'!$F$264</f>
        <v>0</v>
      </c>
      <c r="R69" s="244">
        <f>('User Input'!T264*'Administrator Input'!$F$62*R$28)/1000*'User Input'!$F$264</f>
        <v>0</v>
      </c>
      <c r="S69" s="244">
        <f>('User Input'!U264*'Administrator Input'!$F$62*S$28)/1000*'User Input'!$F$264</f>
        <v>0</v>
      </c>
      <c r="T69" s="244">
        <f>('User Input'!V264*'Administrator Input'!$F$62*T$28)/1000*'User Input'!$F$264</f>
        <v>0</v>
      </c>
      <c r="U69" s="244">
        <f>('User Input'!W264*'Administrator Input'!$F$62*U$28)/1000*'User Input'!$F$264</f>
        <v>0</v>
      </c>
      <c r="V69" s="244">
        <f>('User Input'!X264*'Administrator Input'!$F$62*V$28)/1000*'User Input'!$F$264</f>
        <v>0</v>
      </c>
      <c r="W69" s="244">
        <f>('User Input'!Y264*'Administrator Input'!$F$62*W$28)/1000*'User Input'!$F$264</f>
        <v>0</v>
      </c>
      <c r="X69" s="244">
        <f>('User Input'!Z264*'Administrator Input'!$F$62*X$28)/1000*'User Input'!$F$264</f>
        <v>0</v>
      </c>
      <c r="Y69" s="232"/>
    </row>
    <row r="70" spans="2:25" s="344" customFormat="1" x14ac:dyDescent="0.2">
      <c r="B70" s="345"/>
      <c r="C70" s="346" t="str">
        <f>'User Input'!$D$270</f>
        <v>Other Benefits</v>
      </c>
      <c r="D70" s="349">
        <f t="shared" si="15"/>
        <v>0</v>
      </c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48"/>
    </row>
    <row r="71" spans="2:25" s="347" customFormat="1" x14ac:dyDescent="0.2">
      <c r="B71" s="345"/>
      <c r="C71" s="353" t="str">
        <f>IF('User Input'!$D$209&lt;&gt;0,'User Input'!$D$283,0)</f>
        <v>Avoided Environmental Impact</v>
      </c>
      <c r="D71" s="349">
        <f t="shared" si="15"/>
        <v>0</v>
      </c>
      <c r="E71" s="350">
        <f>IF($C$71=0,0,'User Input'!G285*E$28*'User Input'!$F$285)</f>
        <v>0</v>
      </c>
      <c r="F71" s="350">
        <f>IF($C$71=0,0,'User Input'!H285*F$28*'User Input'!$F$285)</f>
        <v>0</v>
      </c>
      <c r="G71" s="350">
        <f>IF($C$71=0,0,'User Input'!I285*G$28*'User Input'!$F$285)</f>
        <v>0</v>
      </c>
      <c r="H71" s="350">
        <f>IF($C$71=0,0,'User Input'!J285*H$28*'User Input'!$F$285)</f>
        <v>0</v>
      </c>
      <c r="I71" s="350">
        <f>IF($C$71=0,0,'User Input'!K285*I$28*'User Input'!$F$285)</f>
        <v>0</v>
      </c>
      <c r="J71" s="350">
        <f>IF($C$71=0,0,'User Input'!L285*J$28*'User Input'!$F$285)</f>
        <v>0</v>
      </c>
      <c r="K71" s="350">
        <f>IF($C$71=0,0,'User Input'!M285*K$28*'User Input'!$F$285)</f>
        <v>0</v>
      </c>
      <c r="L71" s="350">
        <f>IF($C$71=0,0,'User Input'!N285*L$28*'User Input'!$F$285)</f>
        <v>0</v>
      </c>
      <c r="M71" s="350">
        <f>IF($C$71=0,0,'User Input'!O285*M$28*'User Input'!$F$285)</f>
        <v>0</v>
      </c>
      <c r="N71" s="350">
        <f>IF($C$71=0,0,'User Input'!P285*N$28*'User Input'!$F$285)</f>
        <v>0</v>
      </c>
      <c r="O71" s="350">
        <f>IF($C$71=0,0,'User Input'!Q285*O$28*'User Input'!$F$285)</f>
        <v>0</v>
      </c>
      <c r="P71" s="350">
        <f>IF($C$71=0,0,'User Input'!R285*P$28*'User Input'!$F$285)</f>
        <v>0</v>
      </c>
      <c r="Q71" s="350">
        <f>IF($C$71=0,0,'User Input'!S285*Q$28*'User Input'!$F$285)</f>
        <v>0</v>
      </c>
      <c r="R71" s="350">
        <f>IF($C$71=0,0,'User Input'!T285*R$28*'User Input'!$F$285)</f>
        <v>0</v>
      </c>
      <c r="S71" s="350">
        <f>IF($C$71=0,0,'User Input'!U285*S$28*'User Input'!$F$285)</f>
        <v>0</v>
      </c>
      <c r="T71" s="350">
        <f>IF($C$71=0,0,'User Input'!V285*T$28*'User Input'!$F$285)</f>
        <v>0</v>
      </c>
      <c r="U71" s="350">
        <f>IF($C$71=0,0,'User Input'!W285*U$28*'User Input'!$F$285)</f>
        <v>0</v>
      </c>
      <c r="V71" s="350">
        <f>IF($C$71=0,0,'User Input'!X285*V$28*'User Input'!$F$285)</f>
        <v>0</v>
      </c>
      <c r="W71" s="350">
        <f>IF($C$71=0,0,'User Input'!Y285*W$28*'User Input'!$F$285)</f>
        <v>0</v>
      </c>
      <c r="X71" s="350">
        <f>IF($C$71=0,0,'User Input'!Z285*X$28*'User Input'!$F$285)</f>
        <v>0</v>
      </c>
      <c r="Y71" s="348"/>
    </row>
    <row r="72" spans="2:25" s="347" customFormat="1" x14ac:dyDescent="0.2">
      <c r="B72" s="345"/>
      <c r="C72" s="353" t="str">
        <f>IF('User Input'!$D$209&lt;&gt;0,'User Input'!$D$291,0)</f>
        <v>Community Health and Safety</v>
      </c>
      <c r="D72" s="349">
        <f t="shared" si="15"/>
        <v>0</v>
      </c>
      <c r="E72" s="350">
        <f>IF($C$72=0,0,'User Input'!G293*E$28*'User Input'!$F$293)</f>
        <v>0</v>
      </c>
      <c r="F72" s="350">
        <f>IF($C$72=0,0,'User Input'!H293*F$28*'User Input'!$F$293)</f>
        <v>0</v>
      </c>
      <c r="G72" s="350">
        <f>IF($C$72=0,0,'User Input'!I293*G$28*'User Input'!$F$293)</f>
        <v>0</v>
      </c>
      <c r="H72" s="350">
        <f>IF($C$72=0,0,'User Input'!J293*H$28*'User Input'!$F$293)</f>
        <v>0</v>
      </c>
      <c r="I72" s="350">
        <f>IF($C$72=0,0,'User Input'!K293*I$28*'User Input'!$F$293)</f>
        <v>0</v>
      </c>
      <c r="J72" s="350">
        <f>IF($C$72=0,0,'User Input'!L293*J$28*'User Input'!$F$293)</f>
        <v>0</v>
      </c>
      <c r="K72" s="350">
        <f>IF($C$72=0,0,'User Input'!M293*K$28*'User Input'!$F$293)</f>
        <v>0</v>
      </c>
      <c r="L72" s="350">
        <f>IF($C$72=0,0,'User Input'!N293*L$28*'User Input'!$F$293)</f>
        <v>0</v>
      </c>
      <c r="M72" s="350">
        <f>IF($C$72=0,0,'User Input'!O293*M$28*'User Input'!$F$293)</f>
        <v>0</v>
      </c>
      <c r="N72" s="350">
        <f>IF($C$72=0,0,'User Input'!P293*N$28*'User Input'!$F$293)</f>
        <v>0</v>
      </c>
      <c r="O72" s="350">
        <f>IF($C$72=0,0,'User Input'!Q293*O$28*'User Input'!$F$293)</f>
        <v>0</v>
      </c>
      <c r="P72" s="350">
        <f>IF($C$72=0,0,'User Input'!R293*P$28*'User Input'!$F$293)</f>
        <v>0</v>
      </c>
      <c r="Q72" s="350">
        <f>IF($C$72=0,0,'User Input'!S293*Q$28*'User Input'!$F$293)</f>
        <v>0</v>
      </c>
      <c r="R72" s="350">
        <f>IF($C$72=0,0,'User Input'!T293*R$28*'User Input'!$F$293)</f>
        <v>0</v>
      </c>
      <c r="S72" s="350">
        <f>IF($C$72=0,0,'User Input'!U293*S$28*'User Input'!$F$293)</f>
        <v>0</v>
      </c>
      <c r="T72" s="350">
        <f>IF($C$72=0,0,'User Input'!V293*T$28*'User Input'!$F$293)</f>
        <v>0</v>
      </c>
      <c r="U72" s="350">
        <f>IF($C$72=0,0,'User Input'!W293*U$28*'User Input'!$F$293)</f>
        <v>0</v>
      </c>
      <c r="V72" s="350">
        <f>IF($C$72=0,0,'User Input'!X293*V$28*'User Input'!$F$293)</f>
        <v>0</v>
      </c>
      <c r="W72" s="350">
        <f>IF($C$72=0,0,'User Input'!Y293*W$28*'User Input'!$F$293)</f>
        <v>0</v>
      </c>
      <c r="X72" s="350">
        <f>IF($C$72=0,0,'User Input'!Z293*X$28*'User Input'!$F$293)</f>
        <v>0</v>
      </c>
      <c r="Y72" s="348"/>
    </row>
    <row r="73" spans="2:25" s="347" customFormat="1" x14ac:dyDescent="0.2">
      <c r="B73" s="345"/>
      <c r="C73" s="353" t="str">
        <f>IF('User Input'!$D$209&lt;&gt;0,'User Input'!$D$299,0)</f>
        <v>Other Benefits</v>
      </c>
      <c r="D73" s="349">
        <f>SUM(E73:X73)</f>
        <v>0</v>
      </c>
      <c r="E73" s="350">
        <f>IF($C$73=0,0,'User Input'!G$301*E$28*'User Input'!$F$301)</f>
        <v>0</v>
      </c>
      <c r="F73" s="350">
        <f>IF($C$73=0,0,'User Input'!H$301*F$28*'User Input'!$F$301)</f>
        <v>0</v>
      </c>
      <c r="G73" s="350">
        <f>IF($C$73=0,0,'User Input'!I$301*G$28*'User Input'!$F$301)</f>
        <v>0</v>
      </c>
      <c r="H73" s="350">
        <f>IF($C$73=0,0,'User Input'!J$301*H$28*'User Input'!$F$301)</f>
        <v>0</v>
      </c>
      <c r="I73" s="350">
        <f>IF($C$73=0,0,'User Input'!K$301*I$28*'User Input'!$F$301)</f>
        <v>0</v>
      </c>
      <c r="J73" s="350">
        <f>IF($C$73=0,0,'User Input'!L$301*J$28*'User Input'!$F$301)</f>
        <v>0</v>
      </c>
      <c r="K73" s="350">
        <f>IF($C$73=0,0,'User Input'!M$301*K$28*'User Input'!$F$301)</f>
        <v>0</v>
      </c>
      <c r="L73" s="350">
        <f>IF($C$73=0,0,'User Input'!N$301*L$28*'User Input'!$F$301)</f>
        <v>0</v>
      </c>
      <c r="M73" s="350">
        <f>IF($C$73=0,0,'User Input'!O$301*M$28*'User Input'!$F$301)</f>
        <v>0</v>
      </c>
      <c r="N73" s="350">
        <f>IF($C$73=0,0,'User Input'!P$301*N$28*'User Input'!$F$301)</f>
        <v>0</v>
      </c>
      <c r="O73" s="350">
        <f>IF($C$73=0,0,'User Input'!Q$301*O$28*'User Input'!$F$301)</f>
        <v>0</v>
      </c>
      <c r="P73" s="350">
        <f>IF($C$73=0,0,'User Input'!R$301*P$28*'User Input'!$F$301)</f>
        <v>0</v>
      </c>
      <c r="Q73" s="350">
        <f>IF($C$73=0,0,'User Input'!S$301*Q$28*'User Input'!$F$301)</f>
        <v>0</v>
      </c>
      <c r="R73" s="350">
        <f>IF($C$73=0,0,'User Input'!T$301*R$28*'User Input'!$F$301)</f>
        <v>0</v>
      </c>
      <c r="S73" s="350">
        <f>IF($C$73=0,0,'User Input'!U$301*S$28*'User Input'!$F$301)</f>
        <v>0</v>
      </c>
      <c r="T73" s="350">
        <f>IF($C$73=0,0,'User Input'!V$301*T$28*'User Input'!$F$301)</f>
        <v>0</v>
      </c>
      <c r="U73" s="350">
        <f>IF($C$73=0,0,'User Input'!W$301*U$28*'User Input'!$F$301)</f>
        <v>0</v>
      </c>
      <c r="V73" s="350">
        <f>IF($C$73=0,0,'User Input'!X$301*V$28*'User Input'!$F$301)</f>
        <v>0</v>
      </c>
      <c r="W73" s="350">
        <f>IF($C$73=0,0,'User Input'!Y$301*W$28*'User Input'!$F$301)</f>
        <v>0</v>
      </c>
      <c r="X73" s="350">
        <f>IF($C$73=0,0,'User Input'!Z$301*X$28*'User Input'!$F$301)</f>
        <v>0</v>
      </c>
      <c r="Y73" s="348"/>
    </row>
    <row r="74" spans="2:25" s="229" customFormat="1" x14ac:dyDescent="0.2">
      <c r="B74" s="345"/>
      <c r="C74" s="234" t="s">
        <v>173</v>
      </c>
      <c r="D74" s="246">
        <f t="shared" ref="D74:X74" si="16">SUM(D63:D73)</f>
        <v>0</v>
      </c>
      <c r="E74" s="246">
        <f t="shared" si="16"/>
        <v>0</v>
      </c>
      <c r="F74" s="246">
        <f t="shared" si="16"/>
        <v>0</v>
      </c>
      <c r="G74" s="246">
        <f t="shared" si="16"/>
        <v>0</v>
      </c>
      <c r="H74" s="246">
        <f t="shared" si="16"/>
        <v>0</v>
      </c>
      <c r="I74" s="246">
        <f t="shared" si="16"/>
        <v>0</v>
      </c>
      <c r="J74" s="246">
        <f t="shared" si="16"/>
        <v>0</v>
      </c>
      <c r="K74" s="246">
        <f t="shared" si="16"/>
        <v>0</v>
      </c>
      <c r="L74" s="246">
        <f t="shared" si="16"/>
        <v>0</v>
      </c>
      <c r="M74" s="246">
        <f t="shared" si="16"/>
        <v>0</v>
      </c>
      <c r="N74" s="246">
        <f t="shared" si="16"/>
        <v>0</v>
      </c>
      <c r="O74" s="246">
        <f t="shared" si="16"/>
        <v>0</v>
      </c>
      <c r="P74" s="246">
        <f t="shared" si="16"/>
        <v>0</v>
      </c>
      <c r="Q74" s="246">
        <f t="shared" si="16"/>
        <v>0</v>
      </c>
      <c r="R74" s="246">
        <f t="shared" si="16"/>
        <v>0</v>
      </c>
      <c r="S74" s="246">
        <f t="shared" si="16"/>
        <v>0</v>
      </c>
      <c r="T74" s="246">
        <f t="shared" si="16"/>
        <v>0</v>
      </c>
      <c r="U74" s="246">
        <f t="shared" si="16"/>
        <v>0</v>
      </c>
      <c r="V74" s="246">
        <f t="shared" si="16"/>
        <v>0</v>
      </c>
      <c r="W74" s="246">
        <f t="shared" si="16"/>
        <v>0</v>
      </c>
      <c r="X74" s="246">
        <f t="shared" si="16"/>
        <v>0</v>
      </c>
      <c r="Y74" s="232"/>
    </row>
    <row r="75" spans="2:25" s="229" customFormat="1" x14ac:dyDescent="0.2">
      <c r="B75" s="231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32"/>
    </row>
    <row r="76" spans="2:25" s="158" customFormat="1" x14ac:dyDescent="0.2">
      <c r="B76" s="169"/>
      <c r="C76" s="170" t="s">
        <v>116</v>
      </c>
      <c r="D76" s="252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73"/>
    </row>
    <row r="77" spans="2:25" s="158" customFormat="1" x14ac:dyDescent="0.2">
      <c r="B77" s="169"/>
      <c r="C77" s="236" t="str">
        <f>$C$47</f>
        <v>Annualised Cost - capex (2019)</v>
      </c>
      <c r="D77" s="247">
        <f t="shared" ref="D77:D84" si="17">SUM(E77:X77)</f>
        <v>0</v>
      </c>
      <c r="E77" s="244">
        <f>IF(E258&gt;0,E260,0)</f>
        <v>0</v>
      </c>
      <c r="F77" s="244">
        <f t="shared" ref="F77:X77" si="18">IF(F258&gt;0,F260,0)</f>
        <v>0</v>
      </c>
      <c r="G77" s="244">
        <f t="shared" si="18"/>
        <v>0</v>
      </c>
      <c r="H77" s="244">
        <f t="shared" si="18"/>
        <v>0</v>
      </c>
      <c r="I77" s="244">
        <f t="shared" si="18"/>
        <v>0</v>
      </c>
      <c r="J77" s="244">
        <f t="shared" si="18"/>
        <v>0</v>
      </c>
      <c r="K77" s="244">
        <f t="shared" si="18"/>
        <v>0</v>
      </c>
      <c r="L77" s="244">
        <f t="shared" si="18"/>
        <v>0</v>
      </c>
      <c r="M77" s="244">
        <f t="shared" si="18"/>
        <v>0</v>
      </c>
      <c r="N77" s="244">
        <f t="shared" si="18"/>
        <v>0</v>
      </c>
      <c r="O77" s="244">
        <f t="shared" si="18"/>
        <v>0</v>
      </c>
      <c r="P77" s="244">
        <f t="shared" si="18"/>
        <v>0</v>
      </c>
      <c r="Q77" s="244">
        <f t="shared" si="18"/>
        <v>0</v>
      </c>
      <c r="R77" s="244">
        <f t="shared" si="18"/>
        <v>0</v>
      </c>
      <c r="S77" s="244">
        <f t="shared" si="18"/>
        <v>0</v>
      </c>
      <c r="T77" s="244">
        <f t="shared" si="18"/>
        <v>0</v>
      </c>
      <c r="U77" s="244">
        <f t="shared" si="18"/>
        <v>0</v>
      </c>
      <c r="V77" s="244">
        <f t="shared" si="18"/>
        <v>0</v>
      </c>
      <c r="W77" s="244">
        <f t="shared" si="18"/>
        <v>0</v>
      </c>
      <c r="X77" s="244">
        <f t="shared" si="18"/>
        <v>0</v>
      </c>
      <c r="Y77" s="173"/>
    </row>
    <row r="78" spans="2:25" s="158" customFormat="1" x14ac:dyDescent="0.2">
      <c r="B78" s="169"/>
      <c r="C78" s="236" t="str">
        <f>$C$48</f>
        <v>Annualised Cost - capex (2020)</v>
      </c>
      <c r="D78" s="247">
        <f t="shared" si="17"/>
        <v>0</v>
      </c>
      <c r="E78" s="260">
        <v>0</v>
      </c>
      <c r="F78" s="244">
        <f>IF(F265&gt;0,F267,0)</f>
        <v>0</v>
      </c>
      <c r="G78" s="244">
        <f t="shared" ref="G78:X78" si="19">IF(G265&gt;0,G267,0)</f>
        <v>0</v>
      </c>
      <c r="H78" s="244">
        <f t="shared" si="19"/>
        <v>0</v>
      </c>
      <c r="I78" s="244">
        <f t="shared" si="19"/>
        <v>0</v>
      </c>
      <c r="J78" s="244">
        <f t="shared" si="19"/>
        <v>0</v>
      </c>
      <c r="K78" s="244">
        <f t="shared" si="19"/>
        <v>0</v>
      </c>
      <c r="L78" s="244">
        <f t="shared" si="19"/>
        <v>0</v>
      </c>
      <c r="M78" s="244">
        <f t="shared" si="19"/>
        <v>0</v>
      </c>
      <c r="N78" s="244">
        <f t="shared" si="19"/>
        <v>0</v>
      </c>
      <c r="O78" s="244">
        <f t="shared" si="19"/>
        <v>0</v>
      </c>
      <c r="P78" s="244">
        <f t="shared" si="19"/>
        <v>0</v>
      </c>
      <c r="Q78" s="244">
        <f t="shared" si="19"/>
        <v>0</v>
      </c>
      <c r="R78" s="244">
        <f t="shared" si="19"/>
        <v>0</v>
      </c>
      <c r="S78" s="244">
        <f t="shared" si="19"/>
        <v>0</v>
      </c>
      <c r="T78" s="244">
        <f t="shared" si="19"/>
        <v>0</v>
      </c>
      <c r="U78" s="244">
        <f t="shared" si="19"/>
        <v>0</v>
      </c>
      <c r="V78" s="244">
        <f t="shared" si="19"/>
        <v>0</v>
      </c>
      <c r="W78" s="244">
        <f t="shared" si="19"/>
        <v>0</v>
      </c>
      <c r="X78" s="244">
        <f t="shared" si="19"/>
        <v>0</v>
      </c>
      <c r="Y78" s="173"/>
    </row>
    <row r="79" spans="2:25" s="158" customFormat="1" x14ac:dyDescent="0.2">
      <c r="B79" s="169"/>
      <c r="C79" s="236" t="str">
        <f>$C$49</f>
        <v>Annualised Cost - capex (2021)</v>
      </c>
      <c r="D79" s="247">
        <f t="shared" si="17"/>
        <v>0</v>
      </c>
      <c r="E79" s="260">
        <v>0</v>
      </c>
      <c r="F79" s="260">
        <v>0</v>
      </c>
      <c r="G79" s="244">
        <f>IF(G272&gt;0,G274,0)</f>
        <v>0</v>
      </c>
      <c r="H79" s="244">
        <f t="shared" ref="H79:X79" si="20">IF(H272&gt;0,H274,0)</f>
        <v>0</v>
      </c>
      <c r="I79" s="244">
        <f t="shared" si="20"/>
        <v>0</v>
      </c>
      <c r="J79" s="244">
        <f t="shared" si="20"/>
        <v>0</v>
      </c>
      <c r="K79" s="244">
        <f t="shared" si="20"/>
        <v>0</v>
      </c>
      <c r="L79" s="244">
        <f t="shared" si="20"/>
        <v>0</v>
      </c>
      <c r="M79" s="244">
        <f t="shared" si="20"/>
        <v>0</v>
      </c>
      <c r="N79" s="244">
        <f t="shared" si="20"/>
        <v>0</v>
      </c>
      <c r="O79" s="244">
        <f t="shared" si="20"/>
        <v>0</v>
      </c>
      <c r="P79" s="244">
        <f t="shared" si="20"/>
        <v>0</v>
      </c>
      <c r="Q79" s="244">
        <f t="shared" si="20"/>
        <v>0</v>
      </c>
      <c r="R79" s="244">
        <f t="shared" si="20"/>
        <v>0</v>
      </c>
      <c r="S79" s="244">
        <f t="shared" si="20"/>
        <v>0</v>
      </c>
      <c r="T79" s="244">
        <f t="shared" si="20"/>
        <v>0</v>
      </c>
      <c r="U79" s="244">
        <f t="shared" si="20"/>
        <v>0</v>
      </c>
      <c r="V79" s="244">
        <f t="shared" si="20"/>
        <v>0</v>
      </c>
      <c r="W79" s="244">
        <f t="shared" si="20"/>
        <v>0</v>
      </c>
      <c r="X79" s="244">
        <f t="shared" si="20"/>
        <v>0</v>
      </c>
      <c r="Y79" s="173"/>
    </row>
    <row r="80" spans="2:25" s="158" customFormat="1" x14ac:dyDescent="0.2">
      <c r="B80" s="169"/>
      <c r="C80" s="236" t="str">
        <f>$C$50</f>
        <v>Annualised Cost - capex (2022)</v>
      </c>
      <c r="D80" s="247">
        <f t="shared" si="17"/>
        <v>0</v>
      </c>
      <c r="E80" s="260">
        <v>0</v>
      </c>
      <c r="F80" s="260">
        <v>0</v>
      </c>
      <c r="G80" s="260">
        <v>0</v>
      </c>
      <c r="H80" s="244">
        <f>IF(H279&gt;0,H281,0)</f>
        <v>0</v>
      </c>
      <c r="I80" s="244">
        <f t="shared" ref="I80:X80" si="21">IF(I279&gt;0,I281,0)</f>
        <v>0</v>
      </c>
      <c r="J80" s="244">
        <f t="shared" si="21"/>
        <v>0</v>
      </c>
      <c r="K80" s="244">
        <f t="shared" si="21"/>
        <v>0</v>
      </c>
      <c r="L80" s="244">
        <f t="shared" si="21"/>
        <v>0</v>
      </c>
      <c r="M80" s="244">
        <f t="shared" si="21"/>
        <v>0</v>
      </c>
      <c r="N80" s="244">
        <f t="shared" si="21"/>
        <v>0</v>
      </c>
      <c r="O80" s="244">
        <f t="shared" si="21"/>
        <v>0</v>
      </c>
      <c r="P80" s="244">
        <f t="shared" si="21"/>
        <v>0</v>
      </c>
      <c r="Q80" s="244">
        <f t="shared" si="21"/>
        <v>0</v>
      </c>
      <c r="R80" s="244">
        <f t="shared" si="21"/>
        <v>0</v>
      </c>
      <c r="S80" s="244">
        <f t="shared" si="21"/>
        <v>0</v>
      </c>
      <c r="T80" s="244">
        <f t="shared" si="21"/>
        <v>0</v>
      </c>
      <c r="U80" s="244">
        <f t="shared" si="21"/>
        <v>0</v>
      </c>
      <c r="V80" s="244">
        <f t="shared" si="21"/>
        <v>0</v>
      </c>
      <c r="W80" s="244">
        <f t="shared" si="21"/>
        <v>0</v>
      </c>
      <c r="X80" s="244">
        <f t="shared" si="21"/>
        <v>0</v>
      </c>
      <c r="Y80" s="173"/>
    </row>
    <row r="81" spans="2:25" s="158" customFormat="1" x14ac:dyDescent="0.2">
      <c r="B81" s="169"/>
      <c r="C81" s="236" t="str">
        <f>$C$51</f>
        <v>Annualised Cost - capex (2023)</v>
      </c>
      <c r="D81" s="247">
        <f t="shared" si="17"/>
        <v>0</v>
      </c>
      <c r="E81" s="260">
        <v>0</v>
      </c>
      <c r="F81" s="260">
        <v>0</v>
      </c>
      <c r="G81" s="260">
        <v>0</v>
      </c>
      <c r="H81" s="260">
        <v>0</v>
      </c>
      <c r="I81" s="244">
        <f>IF(I286&gt;0,I288,0)</f>
        <v>0</v>
      </c>
      <c r="J81" s="244">
        <f t="shared" ref="J81:X81" si="22">IF(J286&gt;0,J288,0)</f>
        <v>0</v>
      </c>
      <c r="K81" s="244">
        <f t="shared" si="22"/>
        <v>0</v>
      </c>
      <c r="L81" s="244">
        <f t="shared" si="22"/>
        <v>0</v>
      </c>
      <c r="M81" s="244">
        <f t="shared" si="22"/>
        <v>0</v>
      </c>
      <c r="N81" s="244">
        <f t="shared" si="22"/>
        <v>0</v>
      </c>
      <c r="O81" s="244">
        <f t="shared" si="22"/>
        <v>0</v>
      </c>
      <c r="P81" s="244">
        <f t="shared" si="22"/>
        <v>0</v>
      </c>
      <c r="Q81" s="244">
        <f t="shared" si="22"/>
        <v>0</v>
      </c>
      <c r="R81" s="244">
        <f t="shared" si="22"/>
        <v>0</v>
      </c>
      <c r="S81" s="244">
        <f t="shared" si="22"/>
        <v>0</v>
      </c>
      <c r="T81" s="244">
        <f t="shared" si="22"/>
        <v>0</v>
      </c>
      <c r="U81" s="244">
        <f t="shared" si="22"/>
        <v>0</v>
      </c>
      <c r="V81" s="244">
        <f t="shared" si="22"/>
        <v>0</v>
      </c>
      <c r="W81" s="244">
        <f t="shared" si="22"/>
        <v>0</v>
      </c>
      <c r="X81" s="244">
        <f t="shared" si="22"/>
        <v>0</v>
      </c>
      <c r="Y81" s="173"/>
    </row>
    <row r="82" spans="2:25" s="158" customFormat="1" x14ac:dyDescent="0.2">
      <c r="B82" s="169"/>
      <c r="C82" s="235" t="str">
        <f>$C$52</f>
        <v>O&amp;M Costs</v>
      </c>
      <c r="D82" s="247">
        <f t="shared" si="17"/>
        <v>0</v>
      </c>
      <c r="E82" s="244">
        <f>'User Input'!G323*SUM('User Input'!$F16:F16)*E28</f>
        <v>0</v>
      </c>
      <c r="F82" s="244">
        <f>'User Input'!H323*SUM('User Input'!$F16:G16)*F28</f>
        <v>0</v>
      </c>
      <c r="G82" s="244">
        <f>'User Input'!I323*SUM('User Input'!$F16:H16)*G28</f>
        <v>0</v>
      </c>
      <c r="H82" s="244">
        <f>'User Input'!J323*SUM('User Input'!$F16:I16)*H28</f>
        <v>0</v>
      </c>
      <c r="I82" s="244">
        <f>'User Input'!K323*SUM('User Input'!$F16:J16)*I28</f>
        <v>0</v>
      </c>
      <c r="J82" s="244">
        <f>'User Input'!L323*SUM('User Input'!$F16:K16)*J28</f>
        <v>0</v>
      </c>
      <c r="K82" s="244">
        <f>'User Input'!M323*SUM('User Input'!$F16:L16)*K28</f>
        <v>0</v>
      </c>
      <c r="L82" s="244">
        <f>'User Input'!N323*SUM('User Input'!$F16:M16)*L28</f>
        <v>0</v>
      </c>
      <c r="M82" s="244">
        <f>'User Input'!O323*SUM('User Input'!$F16:N16)*M28</f>
        <v>0</v>
      </c>
      <c r="N82" s="244">
        <f>'User Input'!P323*SUM('User Input'!$F16:O16)*N28</f>
        <v>0</v>
      </c>
      <c r="O82" s="244">
        <f>'User Input'!Q323*SUM('User Input'!$F16:P16)*O28</f>
        <v>0</v>
      </c>
      <c r="P82" s="244">
        <f>'User Input'!R323*SUM('User Input'!$F16:Q16)*P28</f>
        <v>0</v>
      </c>
      <c r="Q82" s="244">
        <f>'User Input'!S323*SUM('User Input'!$F16:R16)*Q28</f>
        <v>0</v>
      </c>
      <c r="R82" s="244">
        <f>'User Input'!T323*SUM('User Input'!$F16:S16)*R28</f>
        <v>0</v>
      </c>
      <c r="S82" s="244">
        <f>'User Input'!U323*SUM('User Input'!$F16:T16)*S28</f>
        <v>0</v>
      </c>
      <c r="T82" s="244">
        <f>'User Input'!V323*SUM('User Input'!$F16:U16)*T28</f>
        <v>0</v>
      </c>
      <c r="U82" s="244">
        <f>'User Input'!W323*SUM('User Input'!$F16:V16)*U28</f>
        <v>0</v>
      </c>
      <c r="V82" s="244">
        <f>'User Input'!X323*SUM('User Input'!$F16:W16)*V28</f>
        <v>0</v>
      </c>
      <c r="W82" s="244">
        <f>'User Input'!Y323*SUM('User Input'!$F16:X16)*W28</f>
        <v>0</v>
      </c>
      <c r="X82" s="244">
        <f>'User Input'!Z323*SUM('User Input'!$F16:Y16)*X28</f>
        <v>0</v>
      </c>
      <c r="Y82" s="173"/>
    </row>
    <row r="83" spans="2:25" s="158" customFormat="1" x14ac:dyDescent="0.2">
      <c r="B83" s="169"/>
      <c r="C83" s="235" t="str">
        <f>$C$53</f>
        <v>Compliance and Admin Costs</v>
      </c>
      <c r="D83" s="247">
        <f t="shared" si="17"/>
        <v>0</v>
      </c>
      <c r="E83" s="244">
        <f>'User Input'!G331*E28</f>
        <v>0</v>
      </c>
      <c r="F83" s="244">
        <f>'User Input'!H331*F28</f>
        <v>0</v>
      </c>
      <c r="G83" s="244">
        <f>'User Input'!I331*G28</f>
        <v>0</v>
      </c>
      <c r="H83" s="244">
        <f>'User Input'!J331*H28</f>
        <v>0</v>
      </c>
      <c r="I83" s="244">
        <f>'User Input'!K331*I28</f>
        <v>0</v>
      </c>
      <c r="J83" s="244">
        <f>'User Input'!L331*J28</f>
        <v>0</v>
      </c>
      <c r="K83" s="244">
        <f>'User Input'!M331*K28</f>
        <v>0</v>
      </c>
      <c r="L83" s="244">
        <f>'User Input'!N331*L28</f>
        <v>0</v>
      </c>
      <c r="M83" s="244">
        <f>'User Input'!O331*M28</f>
        <v>0</v>
      </c>
      <c r="N83" s="244">
        <f>'User Input'!P331*N28</f>
        <v>0</v>
      </c>
      <c r="O83" s="244">
        <f>'User Input'!Q331*O28</f>
        <v>0</v>
      </c>
      <c r="P83" s="244">
        <f>'User Input'!R331*P28</f>
        <v>0</v>
      </c>
      <c r="Q83" s="244">
        <f>'User Input'!S331*Q28</f>
        <v>0</v>
      </c>
      <c r="R83" s="244">
        <f>'User Input'!T331*R28</f>
        <v>0</v>
      </c>
      <c r="S83" s="244">
        <f>'User Input'!U331*S28</f>
        <v>0</v>
      </c>
      <c r="T83" s="244">
        <f>'User Input'!V331*T28</f>
        <v>0</v>
      </c>
      <c r="U83" s="244">
        <f>'User Input'!W331*U28</f>
        <v>0</v>
      </c>
      <c r="V83" s="244">
        <f>'User Input'!X331*V28</f>
        <v>0</v>
      </c>
      <c r="W83" s="244">
        <f>'User Input'!Y331*W28</f>
        <v>0</v>
      </c>
      <c r="X83" s="244">
        <f>'User Input'!Z331*X28</f>
        <v>0</v>
      </c>
      <c r="Y83" s="173"/>
    </row>
    <row r="84" spans="2:25" s="344" customFormat="1" x14ac:dyDescent="0.2">
      <c r="B84" s="345"/>
      <c r="C84" s="346" t="str">
        <f>'User Input'!$D$337</f>
        <v>Other Costs</v>
      </c>
      <c r="D84" s="349">
        <f t="shared" si="17"/>
        <v>0</v>
      </c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48"/>
    </row>
    <row r="85" spans="2:25" s="230" customFormat="1" x14ac:dyDescent="0.2">
      <c r="B85" s="231"/>
      <c r="C85" s="234" t="s">
        <v>2</v>
      </c>
      <c r="D85" s="244">
        <f t="shared" ref="D85:X85" si="23">SUM(D77:D84)</f>
        <v>0</v>
      </c>
      <c r="E85" s="244">
        <f t="shared" si="23"/>
        <v>0</v>
      </c>
      <c r="F85" s="244">
        <f t="shared" si="23"/>
        <v>0</v>
      </c>
      <c r="G85" s="244">
        <f t="shared" si="23"/>
        <v>0</v>
      </c>
      <c r="H85" s="244">
        <f t="shared" si="23"/>
        <v>0</v>
      </c>
      <c r="I85" s="244">
        <f t="shared" si="23"/>
        <v>0</v>
      </c>
      <c r="J85" s="244">
        <f t="shared" si="23"/>
        <v>0</v>
      </c>
      <c r="K85" s="244">
        <f t="shared" si="23"/>
        <v>0</v>
      </c>
      <c r="L85" s="244">
        <f t="shared" si="23"/>
        <v>0</v>
      </c>
      <c r="M85" s="244">
        <f t="shared" si="23"/>
        <v>0</v>
      </c>
      <c r="N85" s="244">
        <f t="shared" si="23"/>
        <v>0</v>
      </c>
      <c r="O85" s="244">
        <f t="shared" si="23"/>
        <v>0</v>
      </c>
      <c r="P85" s="244">
        <f t="shared" si="23"/>
        <v>0</v>
      </c>
      <c r="Q85" s="244">
        <f t="shared" si="23"/>
        <v>0</v>
      </c>
      <c r="R85" s="244">
        <f t="shared" si="23"/>
        <v>0</v>
      </c>
      <c r="S85" s="244">
        <f t="shared" si="23"/>
        <v>0</v>
      </c>
      <c r="T85" s="244">
        <f t="shared" si="23"/>
        <v>0</v>
      </c>
      <c r="U85" s="244">
        <f t="shared" si="23"/>
        <v>0</v>
      </c>
      <c r="V85" s="244">
        <f t="shared" si="23"/>
        <v>0</v>
      </c>
      <c r="W85" s="244">
        <f t="shared" si="23"/>
        <v>0</v>
      </c>
      <c r="X85" s="244">
        <f t="shared" si="23"/>
        <v>0</v>
      </c>
      <c r="Y85" s="232"/>
    </row>
    <row r="86" spans="2:25" s="230" customFormat="1" x14ac:dyDescent="0.2">
      <c r="B86" s="231"/>
      <c r="C86" s="233"/>
      <c r="D86" s="248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32"/>
    </row>
    <row r="87" spans="2:25" s="158" customFormat="1" ht="13.5" thickBot="1" x14ac:dyDescent="0.25">
      <c r="B87" s="169"/>
      <c r="C87" s="170" t="s">
        <v>162</v>
      </c>
      <c r="D87" s="249">
        <f t="shared" ref="D87:X87" si="24">D74-D85</f>
        <v>0</v>
      </c>
      <c r="E87" s="250">
        <f t="shared" si="24"/>
        <v>0</v>
      </c>
      <c r="F87" s="250">
        <f t="shared" si="24"/>
        <v>0</v>
      </c>
      <c r="G87" s="250">
        <f t="shared" si="24"/>
        <v>0</v>
      </c>
      <c r="H87" s="250">
        <f t="shared" si="24"/>
        <v>0</v>
      </c>
      <c r="I87" s="250">
        <f t="shared" si="24"/>
        <v>0</v>
      </c>
      <c r="J87" s="250">
        <f t="shared" si="24"/>
        <v>0</v>
      </c>
      <c r="K87" s="250">
        <f t="shared" si="24"/>
        <v>0</v>
      </c>
      <c r="L87" s="250">
        <f t="shared" si="24"/>
        <v>0</v>
      </c>
      <c r="M87" s="250">
        <f t="shared" si="24"/>
        <v>0</v>
      </c>
      <c r="N87" s="250">
        <f t="shared" si="24"/>
        <v>0</v>
      </c>
      <c r="O87" s="250">
        <f t="shared" si="24"/>
        <v>0</v>
      </c>
      <c r="P87" s="250">
        <f t="shared" si="24"/>
        <v>0</v>
      </c>
      <c r="Q87" s="250">
        <f t="shared" si="24"/>
        <v>0</v>
      </c>
      <c r="R87" s="250">
        <f t="shared" si="24"/>
        <v>0</v>
      </c>
      <c r="S87" s="250">
        <f t="shared" si="24"/>
        <v>0</v>
      </c>
      <c r="T87" s="250">
        <f t="shared" si="24"/>
        <v>0</v>
      </c>
      <c r="U87" s="250">
        <f t="shared" si="24"/>
        <v>0</v>
      </c>
      <c r="V87" s="250">
        <f t="shared" si="24"/>
        <v>0</v>
      </c>
      <c r="W87" s="250">
        <f t="shared" si="24"/>
        <v>0</v>
      </c>
      <c r="X87" s="250">
        <f t="shared" si="24"/>
        <v>0</v>
      </c>
      <c r="Y87" s="173"/>
    </row>
    <row r="88" spans="2:25" s="158" customFormat="1" ht="13.5" thickBot="1" x14ac:dyDescent="0.25">
      <c r="B88" s="169"/>
      <c r="C88" s="174" t="s">
        <v>163</v>
      </c>
      <c r="D88" s="251">
        <f>SUM(E88:X88)</f>
        <v>0</v>
      </c>
      <c r="E88" s="250">
        <f t="shared" ref="E88:X88" si="25">E87/(1+$D$19)^E$25</f>
        <v>0</v>
      </c>
      <c r="F88" s="250">
        <f t="shared" si="25"/>
        <v>0</v>
      </c>
      <c r="G88" s="250">
        <f t="shared" si="25"/>
        <v>0</v>
      </c>
      <c r="H88" s="250">
        <f t="shared" si="25"/>
        <v>0</v>
      </c>
      <c r="I88" s="250">
        <f t="shared" si="25"/>
        <v>0</v>
      </c>
      <c r="J88" s="250">
        <f t="shared" si="25"/>
        <v>0</v>
      </c>
      <c r="K88" s="250">
        <f t="shared" si="25"/>
        <v>0</v>
      </c>
      <c r="L88" s="250">
        <f t="shared" si="25"/>
        <v>0</v>
      </c>
      <c r="M88" s="250">
        <f t="shared" si="25"/>
        <v>0</v>
      </c>
      <c r="N88" s="250">
        <f t="shared" si="25"/>
        <v>0</v>
      </c>
      <c r="O88" s="250">
        <f t="shared" si="25"/>
        <v>0</v>
      </c>
      <c r="P88" s="250">
        <f t="shared" si="25"/>
        <v>0</v>
      </c>
      <c r="Q88" s="250">
        <f t="shared" si="25"/>
        <v>0</v>
      </c>
      <c r="R88" s="250">
        <f t="shared" si="25"/>
        <v>0</v>
      </c>
      <c r="S88" s="250">
        <f t="shared" si="25"/>
        <v>0</v>
      </c>
      <c r="T88" s="250">
        <f t="shared" si="25"/>
        <v>0</v>
      </c>
      <c r="U88" s="250">
        <f t="shared" si="25"/>
        <v>0</v>
      </c>
      <c r="V88" s="250">
        <f t="shared" si="25"/>
        <v>0</v>
      </c>
      <c r="W88" s="250">
        <f t="shared" si="25"/>
        <v>0</v>
      </c>
      <c r="X88" s="250">
        <f t="shared" si="25"/>
        <v>0</v>
      </c>
      <c r="Y88" s="173"/>
    </row>
    <row r="89" spans="2:25" s="158" customFormat="1" x14ac:dyDescent="0.2">
      <c r="B89" s="169"/>
      <c r="C89" s="17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173"/>
    </row>
    <row r="90" spans="2:25" s="158" customFormat="1" x14ac:dyDescent="0.2">
      <c r="B90" s="392" t="str">
        <f>Calculations!B60</f>
        <v>Option 2: Provide In Meter Capabilities with Near Real-time Centralised Analytics</v>
      </c>
      <c r="C90" s="395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6"/>
    </row>
    <row r="91" spans="2:25" s="158" customFormat="1" x14ac:dyDescent="0.2">
      <c r="B91" s="169"/>
      <c r="C91" s="17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173"/>
    </row>
    <row r="92" spans="2:25" s="230" customFormat="1" x14ac:dyDescent="0.2">
      <c r="B92" s="231"/>
      <c r="C92" s="229" t="s">
        <v>118</v>
      </c>
      <c r="D92" s="250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32"/>
    </row>
    <row r="93" spans="2:25" s="229" customFormat="1" x14ac:dyDescent="0.2">
      <c r="B93" s="231"/>
      <c r="C93" s="346" t="str">
        <f>'User Input'!$D$214</f>
        <v>Value of Electricity to Customers (VCR)</v>
      </c>
      <c r="D93" s="243">
        <f>SUM(E93:X93)</f>
        <v>0</v>
      </c>
      <c r="E93" s="244">
        <f>'User Input'!G217*'Administrator Input'!$F$60*E$28*'User Input'!$F$217</f>
        <v>0</v>
      </c>
      <c r="F93" s="244">
        <f>'User Input'!H217*'Administrator Input'!$F$60*F$28*'User Input'!$F$217</f>
        <v>0</v>
      </c>
      <c r="G93" s="244">
        <f>'User Input'!I217*'Administrator Input'!$F$60*G$28*'User Input'!$F$217</f>
        <v>0</v>
      </c>
      <c r="H93" s="244">
        <f>'User Input'!J217*'Administrator Input'!$F$60*H$28*'User Input'!$F$217</f>
        <v>0</v>
      </c>
      <c r="I93" s="244">
        <f>'User Input'!K217*'Administrator Input'!$F$60*I$28*'User Input'!$F$217</f>
        <v>0</v>
      </c>
      <c r="J93" s="244">
        <f>'User Input'!L217*'Administrator Input'!$F$60*J$28*'User Input'!$F$217</f>
        <v>0</v>
      </c>
      <c r="K93" s="244">
        <f>'User Input'!M217*'Administrator Input'!$F$60*K$28*'User Input'!$F$217</f>
        <v>0</v>
      </c>
      <c r="L93" s="244">
        <f>'User Input'!N217*'Administrator Input'!$F$60*L$28*'User Input'!$F$217</f>
        <v>0</v>
      </c>
      <c r="M93" s="244">
        <f>'User Input'!O217*'Administrator Input'!$F$60*M$28*'User Input'!$F$217</f>
        <v>0</v>
      </c>
      <c r="N93" s="244">
        <f>'User Input'!P217*'Administrator Input'!$F$60*N$28*'User Input'!$F$217</f>
        <v>0</v>
      </c>
      <c r="O93" s="244">
        <f>'User Input'!Q217*'Administrator Input'!$F$60*O$28*'User Input'!$F$217</f>
        <v>0</v>
      </c>
      <c r="P93" s="244">
        <f>'User Input'!R217*'Administrator Input'!$F$60*P$28*'User Input'!$F$217</f>
        <v>0</v>
      </c>
      <c r="Q93" s="244">
        <f>'User Input'!S217*'Administrator Input'!$F$60*Q$28*'User Input'!$F$217</f>
        <v>0</v>
      </c>
      <c r="R93" s="244">
        <f>'User Input'!T217*'Administrator Input'!$F$60*R$28*'User Input'!$F$217</f>
        <v>0</v>
      </c>
      <c r="S93" s="244">
        <f>'User Input'!U217*'Administrator Input'!$F$60*S$28*'User Input'!$F$217</f>
        <v>0</v>
      </c>
      <c r="T93" s="244">
        <f>'User Input'!V217*'Administrator Input'!$F$60*T$28*'User Input'!$F$217</f>
        <v>0</v>
      </c>
      <c r="U93" s="244">
        <f>'User Input'!W217*'Administrator Input'!$F$60*U$28*'User Input'!$F$217</f>
        <v>0</v>
      </c>
      <c r="V93" s="244">
        <f>'User Input'!X217*'Administrator Input'!$F$60*V$28*'User Input'!$F$217</f>
        <v>0</v>
      </c>
      <c r="W93" s="244">
        <f>'User Input'!Y217*'Administrator Input'!$F$60*W$28*'User Input'!$F$217</f>
        <v>0</v>
      </c>
      <c r="X93" s="244">
        <f>'User Input'!Z217*'Administrator Input'!$F$60*X$28*'User Input'!$F$217</f>
        <v>0</v>
      </c>
      <c r="Y93" s="232"/>
    </row>
    <row r="94" spans="2:25" s="230" customFormat="1" x14ac:dyDescent="0.2">
      <c r="B94" s="231"/>
      <c r="C94" s="235" t="str">
        <f>'User Input'!$D$222</f>
        <v>Changes in Voluntary Load Curtailment</v>
      </c>
      <c r="D94" s="245">
        <f t="shared" ref="D94:D102" si="26">SUM(E94:X94)</f>
        <v>0</v>
      </c>
      <c r="E94" s="350">
        <f>('User Input'!G$225*'Administrator Input'!$F$59*E$28)/1000*'User Input'!$F$225</f>
        <v>0</v>
      </c>
      <c r="F94" s="350">
        <f>('User Input'!H$225*'Administrator Input'!$F$59*F$28)/1000*'User Input'!$F$225</f>
        <v>0</v>
      </c>
      <c r="G94" s="350">
        <f>('User Input'!I$225*'Administrator Input'!$F$59*G$28)/1000*'User Input'!$F$225</f>
        <v>0</v>
      </c>
      <c r="H94" s="350">
        <f>('User Input'!J$225*'Administrator Input'!$F$59*H$28)/1000*'User Input'!$F$225</f>
        <v>0</v>
      </c>
      <c r="I94" s="350">
        <f>('User Input'!K$225*'Administrator Input'!$F$59*I$28)/1000*'User Input'!$F$225</f>
        <v>0</v>
      </c>
      <c r="J94" s="350">
        <f>('User Input'!L$225*'Administrator Input'!$F$59*J$28)/1000*'User Input'!$F$225</f>
        <v>0</v>
      </c>
      <c r="K94" s="350">
        <f>('User Input'!M$225*'Administrator Input'!$F$59*K$28)/1000*'User Input'!$F$225</f>
        <v>0</v>
      </c>
      <c r="L94" s="350">
        <f>('User Input'!N$225*'Administrator Input'!$F$59*L$28)/1000*'User Input'!$F$225</f>
        <v>0</v>
      </c>
      <c r="M94" s="350">
        <f>('User Input'!O$225*'Administrator Input'!$F$59*M$28)/1000*'User Input'!$F$225</f>
        <v>0</v>
      </c>
      <c r="N94" s="350">
        <f>('User Input'!P$225*'Administrator Input'!$F$59*N$28)/1000*'User Input'!$F$225</f>
        <v>0</v>
      </c>
      <c r="O94" s="350">
        <f>('User Input'!Q$225*'Administrator Input'!$F$59*O$28)/1000*'User Input'!$F$225</f>
        <v>0</v>
      </c>
      <c r="P94" s="350">
        <f>('User Input'!R$225*'Administrator Input'!$F$59*P$28)/1000*'User Input'!$F$225</f>
        <v>0</v>
      </c>
      <c r="Q94" s="350">
        <f>('User Input'!S$225*'Administrator Input'!$F$59*Q$28)/1000*'User Input'!$F$225</f>
        <v>0</v>
      </c>
      <c r="R94" s="350">
        <f>('User Input'!T$225*'Administrator Input'!$F$59*R$28)/1000*'User Input'!$F$225</f>
        <v>0</v>
      </c>
      <c r="S94" s="350">
        <f>('User Input'!U$225*'Administrator Input'!$F$59*S$28)/1000*'User Input'!$F$225</f>
        <v>0</v>
      </c>
      <c r="T94" s="350">
        <f>('User Input'!V$225*'Administrator Input'!$F$59*T$28)/1000*'User Input'!$F$225</f>
        <v>0</v>
      </c>
      <c r="U94" s="350">
        <f>('User Input'!W$225*'Administrator Input'!$F$59*U$28)/1000*'User Input'!$F$225</f>
        <v>0</v>
      </c>
      <c r="V94" s="350">
        <f>('User Input'!X$225*'Administrator Input'!$F$59*V$28)/1000*'User Input'!$F$225</f>
        <v>0</v>
      </c>
      <c r="W94" s="350">
        <f>('User Input'!Y$225*'Administrator Input'!$F$59*W$28)/1000*'User Input'!$F$225</f>
        <v>0</v>
      </c>
      <c r="X94" s="350">
        <f>('User Input'!Z$225*'Administrator Input'!$F$59*X$28)/1000*'User Input'!$F$225</f>
        <v>0</v>
      </c>
      <c r="Y94" s="232"/>
    </row>
    <row r="95" spans="2:25" s="344" customFormat="1" x14ac:dyDescent="0.2">
      <c r="B95" s="345"/>
      <c r="C95" s="346" t="str">
        <f>'User Input'!$D$230</f>
        <v>Changes in Costs to Other Parties</v>
      </c>
      <c r="D95" s="349">
        <f t="shared" si="26"/>
        <v>0</v>
      </c>
      <c r="E95" s="350">
        <f>'User Input'!G$233*E$28*'User Input'!$F$233</f>
        <v>0</v>
      </c>
      <c r="F95" s="350">
        <f>'User Input'!H$233*F$28*'User Input'!$F$233</f>
        <v>0</v>
      </c>
      <c r="G95" s="350">
        <f>'User Input'!I$233*G$28*'User Input'!$F$233</f>
        <v>0</v>
      </c>
      <c r="H95" s="350">
        <f>'User Input'!J$233*H$28*'User Input'!$F$233</f>
        <v>0</v>
      </c>
      <c r="I95" s="350">
        <f>'User Input'!K$233*I$28*'User Input'!$F$233</f>
        <v>0</v>
      </c>
      <c r="J95" s="350">
        <f>'User Input'!L$233*J$28*'User Input'!$F$233</f>
        <v>0</v>
      </c>
      <c r="K95" s="350">
        <f>'User Input'!M$233*K$28*'User Input'!$F$233</f>
        <v>0</v>
      </c>
      <c r="L95" s="350">
        <f>'User Input'!N$233*L$28*'User Input'!$F$233</f>
        <v>0</v>
      </c>
      <c r="M95" s="350">
        <f>'User Input'!O$233*M$28*'User Input'!$F$233</f>
        <v>0</v>
      </c>
      <c r="N95" s="350">
        <f>'User Input'!P$233*N$28*'User Input'!$F$233</f>
        <v>0</v>
      </c>
      <c r="O95" s="350">
        <f>'User Input'!Q$233*O$28*'User Input'!$F$233</f>
        <v>0</v>
      </c>
      <c r="P95" s="350">
        <f>'User Input'!R$233*P$28*'User Input'!$F$233</f>
        <v>0</v>
      </c>
      <c r="Q95" s="350">
        <f>'User Input'!S$233*Q$28*'User Input'!$F$233</f>
        <v>0</v>
      </c>
      <c r="R95" s="350">
        <f>'User Input'!T$233*R$28*'User Input'!$F$233</f>
        <v>0</v>
      </c>
      <c r="S95" s="350">
        <f>'User Input'!U$233*S$28*'User Input'!$F$233</f>
        <v>0</v>
      </c>
      <c r="T95" s="350">
        <f>'User Input'!V$233*T$28*'User Input'!$F$233</f>
        <v>0</v>
      </c>
      <c r="U95" s="350">
        <f>'User Input'!W$233*U$28*'User Input'!$F$233</f>
        <v>0</v>
      </c>
      <c r="V95" s="350">
        <f>'User Input'!X$233*V$28*'User Input'!$F$233</f>
        <v>0</v>
      </c>
      <c r="W95" s="350">
        <f>'User Input'!Y$233*W$28*'User Input'!$F$233</f>
        <v>0</v>
      </c>
      <c r="X95" s="350">
        <f>'User Input'!Z$233*X$28*'User Input'!$F$233</f>
        <v>0</v>
      </c>
      <c r="Y95" s="348"/>
    </row>
    <row r="96" spans="2:25" s="344" customFormat="1" x14ac:dyDescent="0.2">
      <c r="B96" s="345"/>
      <c r="C96" s="346" t="str">
        <f>'User Input'!$D$238</f>
        <v>Difference in Timing (capex)</v>
      </c>
      <c r="D96" s="349">
        <f t="shared" si="26"/>
        <v>0</v>
      </c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48"/>
    </row>
    <row r="97" spans="2:25" s="344" customFormat="1" x14ac:dyDescent="0.2">
      <c r="B97" s="345"/>
      <c r="C97" s="346" t="str">
        <f>'User Input'!$D$246</f>
        <v xml:space="preserve">Changes in Load Transfer Capacity </v>
      </c>
      <c r="D97" s="349">
        <f t="shared" si="26"/>
        <v>0</v>
      </c>
      <c r="E97" s="350">
        <f>('User Input'!G$249*'Administrator Input'!$F$61*E$28)/1000*'User Input'!$F$249</f>
        <v>0</v>
      </c>
      <c r="F97" s="350">
        <f>('User Input'!H$249*'Administrator Input'!$F$61*F$28)/1000*'User Input'!$F$249</f>
        <v>0</v>
      </c>
      <c r="G97" s="350">
        <f>('User Input'!I$249*'Administrator Input'!$F$61*G$28)/1000*'User Input'!$F$249</f>
        <v>0</v>
      </c>
      <c r="H97" s="350">
        <f>('User Input'!J$249*'Administrator Input'!$F$61*H$28)/1000*'User Input'!$F$249</f>
        <v>0</v>
      </c>
      <c r="I97" s="350">
        <f>('User Input'!K$249*'Administrator Input'!$F$61*I$28)/1000*'User Input'!$F$249</f>
        <v>0</v>
      </c>
      <c r="J97" s="350">
        <f>('User Input'!L$249*'Administrator Input'!$F$61*J$28)/1000*'User Input'!$F$249</f>
        <v>0</v>
      </c>
      <c r="K97" s="350">
        <f>('User Input'!M$249*'Administrator Input'!$F$61*K$28)/1000*'User Input'!$F$249</f>
        <v>0</v>
      </c>
      <c r="L97" s="350">
        <f>('User Input'!N$249*'Administrator Input'!$F$61*L$28)/1000*'User Input'!$F$249</f>
        <v>0</v>
      </c>
      <c r="M97" s="350">
        <f>('User Input'!O$249*'Administrator Input'!$F$61*M$28)/1000*'User Input'!$F$249</f>
        <v>0</v>
      </c>
      <c r="N97" s="350">
        <f>('User Input'!P$249*'Administrator Input'!$F$61*N$28)/1000*'User Input'!$F$249</f>
        <v>0</v>
      </c>
      <c r="O97" s="350">
        <f>('User Input'!Q$249*'Administrator Input'!$F$61*O$28)/1000*'User Input'!$F$249</f>
        <v>0</v>
      </c>
      <c r="P97" s="350">
        <f>('User Input'!R$249*'Administrator Input'!$F$61*P$28)/1000*'User Input'!$F$249</f>
        <v>0</v>
      </c>
      <c r="Q97" s="350">
        <f>('User Input'!S$249*'Administrator Input'!$F$61*Q$28)/1000*'User Input'!$F$249</f>
        <v>0</v>
      </c>
      <c r="R97" s="350">
        <f>('User Input'!T$249*'Administrator Input'!$F$61*R$28)/1000*'User Input'!$F$249</f>
        <v>0</v>
      </c>
      <c r="S97" s="350">
        <f>('User Input'!U$249*'Administrator Input'!$F$61*S$28)/1000*'User Input'!$F$249</f>
        <v>0</v>
      </c>
      <c r="T97" s="350">
        <f>('User Input'!V$249*'Administrator Input'!$F$61*T$28)/1000*'User Input'!$F$249</f>
        <v>0</v>
      </c>
      <c r="U97" s="350">
        <f>('User Input'!W$249*'Administrator Input'!$F$61*U$28)/1000*'User Input'!$F$249</f>
        <v>0</v>
      </c>
      <c r="V97" s="350">
        <f>('User Input'!X$249*'Administrator Input'!$F$61*V$28)/1000*'User Input'!$F$249</f>
        <v>0</v>
      </c>
      <c r="W97" s="350">
        <f>('User Input'!Y$249*'Administrator Input'!$F$61*W$28)/1000*'User Input'!$F$249</f>
        <v>0</v>
      </c>
      <c r="X97" s="350">
        <f>('User Input'!Z$249*'Administrator Input'!$F$61*X$28)/1000*'User Input'!$F$249</f>
        <v>0</v>
      </c>
      <c r="Y97" s="348"/>
    </row>
    <row r="98" spans="2:25" s="344" customFormat="1" x14ac:dyDescent="0.2">
      <c r="B98" s="345"/>
      <c r="C98" s="346" t="str">
        <f>'User Input'!$D$254</f>
        <v>Option Value</v>
      </c>
      <c r="D98" s="349">
        <f t="shared" si="26"/>
        <v>0</v>
      </c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1"/>
      <c r="V98" s="351"/>
      <c r="W98" s="351"/>
      <c r="X98" s="351"/>
      <c r="Y98" s="348"/>
    </row>
    <row r="99" spans="2:25" s="229" customFormat="1" x14ac:dyDescent="0.2">
      <c r="B99" s="231"/>
      <c r="C99" s="346" t="str">
        <f>'User Input'!$D$262</f>
        <v>Avoided Network Losses</v>
      </c>
      <c r="D99" s="243">
        <f>SUM(E99:X99)</f>
        <v>0</v>
      </c>
      <c r="E99" s="244">
        <f>('User Input'!G265*'Administrator Input'!$F$62*E$28)/1000*'User Input'!$F$265</f>
        <v>0</v>
      </c>
      <c r="F99" s="244">
        <f>('User Input'!H265*'Administrator Input'!$F$62*F$28)/1000*'User Input'!$F$265</f>
        <v>0</v>
      </c>
      <c r="G99" s="244">
        <f>('User Input'!I265*'Administrator Input'!$F$62*G$28)/1000*'User Input'!$F$265</f>
        <v>0</v>
      </c>
      <c r="H99" s="244">
        <f>('User Input'!J265*'Administrator Input'!$F$62*H$28)/1000*'User Input'!$F$265</f>
        <v>0</v>
      </c>
      <c r="I99" s="244">
        <f>('User Input'!K265*'Administrator Input'!$F$62*I$28)/1000*'User Input'!$F$265</f>
        <v>0</v>
      </c>
      <c r="J99" s="244">
        <f>('User Input'!L265*'Administrator Input'!$F$62*J$28)/1000*'User Input'!$F$265</f>
        <v>0</v>
      </c>
      <c r="K99" s="244">
        <f>('User Input'!M265*'Administrator Input'!$F$62*K$28)/1000*'User Input'!$F$265</f>
        <v>0</v>
      </c>
      <c r="L99" s="244">
        <f>('User Input'!N265*'Administrator Input'!$F$62*L$28)/1000*'User Input'!$F$265</f>
        <v>0</v>
      </c>
      <c r="M99" s="244">
        <f>('User Input'!O265*'Administrator Input'!$F$62*M$28)/1000*'User Input'!$F$265</f>
        <v>0</v>
      </c>
      <c r="N99" s="244">
        <f>('User Input'!P265*'Administrator Input'!$F$62*N$28)/1000*'User Input'!$F$265</f>
        <v>0</v>
      </c>
      <c r="O99" s="244">
        <f>('User Input'!Q265*'Administrator Input'!$F$62*O$28)/1000*'User Input'!$F$265</f>
        <v>0</v>
      </c>
      <c r="P99" s="244">
        <f>('User Input'!R265*'Administrator Input'!$F$62*P$28)/1000*'User Input'!$F$265</f>
        <v>0</v>
      </c>
      <c r="Q99" s="244">
        <f>('User Input'!S265*'Administrator Input'!$F$62*Q$28)/1000*'User Input'!$F$265</f>
        <v>0</v>
      </c>
      <c r="R99" s="244">
        <f>('User Input'!T265*'Administrator Input'!$F$62*R$28)/1000*'User Input'!$F$265</f>
        <v>0</v>
      </c>
      <c r="S99" s="244">
        <f>('User Input'!U265*'Administrator Input'!$F$62*S$28)/1000*'User Input'!$F$265</f>
        <v>0</v>
      </c>
      <c r="T99" s="244">
        <f>('User Input'!V265*'Administrator Input'!$F$62*T$28)/1000*'User Input'!$F$265</f>
        <v>0</v>
      </c>
      <c r="U99" s="244">
        <f>('User Input'!W265*'Administrator Input'!$F$62*U$28)/1000*'User Input'!$F$265</f>
        <v>0</v>
      </c>
      <c r="V99" s="244">
        <f>('User Input'!X265*'Administrator Input'!$F$62*V$28)/1000*'User Input'!$F$265</f>
        <v>0</v>
      </c>
      <c r="W99" s="244">
        <f>('User Input'!Y265*'Administrator Input'!$F$62*W$28)/1000*'User Input'!$F$265</f>
        <v>0</v>
      </c>
      <c r="X99" s="244">
        <f>('User Input'!Z265*'Administrator Input'!$F$62*X$28)/1000*'User Input'!$F$265</f>
        <v>0</v>
      </c>
      <c r="Y99" s="232"/>
    </row>
    <row r="100" spans="2:25" s="344" customFormat="1" x14ac:dyDescent="0.2">
      <c r="B100" s="345"/>
      <c r="C100" s="346" t="str">
        <f>'User Input'!$D$270</f>
        <v>Other Benefits</v>
      </c>
      <c r="D100" s="349">
        <f t="shared" si="26"/>
        <v>0</v>
      </c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48"/>
    </row>
    <row r="101" spans="2:25" s="347" customFormat="1" x14ac:dyDescent="0.2">
      <c r="B101" s="345"/>
      <c r="C101" s="352" t="str">
        <f>IF('User Input'!$D$209&lt;&gt;0,'User Input'!$D$283,0)</f>
        <v>Avoided Environmental Impact</v>
      </c>
      <c r="D101" s="349">
        <f t="shared" si="26"/>
        <v>0</v>
      </c>
      <c r="E101" s="350">
        <f>IF($C$101=0,0,'User Input'!G$286*E$28*'User Input'!$F$286)</f>
        <v>0</v>
      </c>
      <c r="F101" s="350">
        <f>IF($C$101=0,0,'User Input'!H$286*F$28*'User Input'!$F$286)</f>
        <v>0</v>
      </c>
      <c r="G101" s="350">
        <f>IF($C$101=0,0,'User Input'!I$286*G$28*'User Input'!$F$286)</f>
        <v>0</v>
      </c>
      <c r="H101" s="350">
        <f>IF($C$101=0,0,'User Input'!J$286*H$28*'User Input'!$F$286)</f>
        <v>0</v>
      </c>
      <c r="I101" s="350">
        <f>IF($C$101=0,0,'User Input'!K$286*I$28*'User Input'!$F$286)</f>
        <v>0</v>
      </c>
      <c r="J101" s="350">
        <f>IF($C$101=0,0,'User Input'!L$286*J$28*'User Input'!$F$286)</f>
        <v>0</v>
      </c>
      <c r="K101" s="350">
        <f>IF($C$101=0,0,'User Input'!M$286*K$28*'User Input'!$F$286)</f>
        <v>0</v>
      </c>
      <c r="L101" s="350">
        <f>IF($C$101=0,0,'User Input'!N$286*L$28*'User Input'!$F$286)</f>
        <v>0</v>
      </c>
      <c r="M101" s="350">
        <f>IF($C$101=0,0,'User Input'!O$286*M$28*'User Input'!$F$286)</f>
        <v>0</v>
      </c>
      <c r="N101" s="350">
        <f>IF($C$101=0,0,'User Input'!P$286*N$28*'User Input'!$F$286)</f>
        <v>0</v>
      </c>
      <c r="O101" s="350">
        <f>IF($C$101=0,0,'User Input'!Q$286*O$28*'User Input'!$F$286)</f>
        <v>0</v>
      </c>
      <c r="P101" s="350">
        <f>IF($C$101=0,0,'User Input'!R$286*P$28*'User Input'!$F$286)</f>
        <v>0</v>
      </c>
      <c r="Q101" s="350">
        <f>IF($C$101=0,0,'User Input'!S$286*Q$28*'User Input'!$F$286)</f>
        <v>0</v>
      </c>
      <c r="R101" s="350">
        <f>IF($C$101=0,0,'User Input'!T$286*R$28*'User Input'!$F$286)</f>
        <v>0</v>
      </c>
      <c r="S101" s="350">
        <f>IF($C$101=0,0,'User Input'!U$286*S$28*'User Input'!$F$286)</f>
        <v>0</v>
      </c>
      <c r="T101" s="350">
        <f>IF($C$101=0,0,'User Input'!V$286*T$28*'User Input'!$F$286)</f>
        <v>0</v>
      </c>
      <c r="U101" s="350">
        <f>IF($C$101=0,0,'User Input'!W$286*U$28*'User Input'!$F$286)</f>
        <v>0</v>
      </c>
      <c r="V101" s="350">
        <f>IF($C$101=0,0,'User Input'!X$286*V$28*'User Input'!$F$286)</f>
        <v>0</v>
      </c>
      <c r="W101" s="350">
        <f>IF($C$101=0,0,'User Input'!Y$286*W$28*'User Input'!$F$286)</f>
        <v>0</v>
      </c>
      <c r="X101" s="350">
        <f>IF($C$101=0,0,'User Input'!Z$286*X$28*'User Input'!$F$286)</f>
        <v>0</v>
      </c>
      <c r="Y101" s="348"/>
    </row>
    <row r="102" spans="2:25" s="347" customFormat="1" x14ac:dyDescent="0.2">
      <c r="B102" s="345"/>
      <c r="C102" s="352" t="str">
        <f>IF('User Input'!$D$209&lt;&gt;0,'User Input'!$D$291,0)</f>
        <v>Community Health and Safety</v>
      </c>
      <c r="D102" s="349">
        <f t="shared" si="26"/>
        <v>0</v>
      </c>
      <c r="E102" s="350">
        <f>IF($C$102=0,0,'User Input'!G$294*E$28*'User Input'!$F$294)</f>
        <v>0</v>
      </c>
      <c r="F102" s="350">
        <f>IF($C$102=0,0,'User Input'!H$294*F$28*'User Input'!$F$294)</f>
        <v>0</v>
      </c>
      <c r="G102" s="350">
        <f>IF($C$102=0,0,'User Input'!I$294*G$28*'User Input'!$F$294)</f>
        <v>0</v>
      </c>
      <c r="H102" s="350">
        <f>IF($C$102=0,0,'User Input'!J$294*H$28*'User Input'!$F$294)</f>
        <v>0</v>
      </c>
      <c r="I102" s="350">
        <f>IF($C$102=0,0,'User Input'!K$294*I$28*'User Input'!$F$294)</f>
        <v>0</v>
      </c>
      <c r="J102" s="350">
        <f>IF($C$102=0,0,'User Input'!L$294*J$28*'User Input'!$F$294)</f>
        <v>0</v>
      </c>
      <c r="K102" s="350">
        <f>IF($C$102=0,0,'User Input'!M$294*K$28*'User Input'!$F$294)</f>
        <v>0</v>
      </c>
      <c r="L102" s="350">
        <f>IF($C$102=0,0,'User Input'!N$294*L$28*'User Input'!$F$294)</f>
        <v>0</v>
      </c>
      <c r="M102" s="350">
        <f>IF($C$102=0,0,'User Input'!O$294*M$28*'User Input'!$F$294)</f>
        <v>0</v>
      </c>
      <c r="N102" s="350">
        <f>IF($C$102=0,0,'User Input'!P$294*N$28*'User Input'!$F$294)</f>
        <v>0</v>
      </c>
      <c r="O102" s="350">
        <f>IF($C$102=0,0,'User Input'!Q$294*O$28*'User Input'!$F$294)</f>
        <v>0</v>
      </c>
      <c r="P102" s="350">
        <f>IF($C$102=0,0,'User Input'!R$294*P$28*'User Input'!$F$294)</f>
        <v>0</v>
      </c>
      <c r="Q102" s="350">
        <f>IF($C$102=0,0,'User Input'!S$294*Q$28*'User Input'!$F$294)</f>
        <v>0</v>
      </c>
      <c r="R102" s="350">
        <f>IF($C$102=0,0,'User Input'!T$294*R$28*'User Input'!$F$294)</f>
        <v>0</v>
      </c>
      <c r="S102" s="350">
        <f>IF($C$102=0,0,'User Input'!U$294*S$28*'User Input'!$F$294)</f>
        <v>0</v>
      </c>
      <c r="T102" s="350">
        <f>IF($C$102=0,0,'User Input'!V$294*T$28*'User Input'!$F$294)</f>
        <v>0</v>
      </c>
      <c r="U102" s="350">
        <f>IF($C$102=0,0,'User Input'!W$294*U$28*'User Input'!$F$294)</f>
        <v>0</v>
      </c>
      <c r="V102" s="350">
        <f>IF($C$102=0,0,'User Input'!X$294*V$28*'User Input'!$F$294)</f>
        <v>0</v>
      </c>
      <c r="W102" s="350">
        <f>IF($C$102=0,0,'User Input'!Y$294*W$28*'User Input'!$F$294)</f>
        <v>0</v>
      </c>
      <c r="X102" s="350">
        <f>IF($C$102=0,0,'User Input'!Z$294*X$28*'User Input'!$F$294)</f>
        <v>0</v>
      </c>
      <c r="Y102" s="348"/>
    </row>
    <row r="103" spans="2:25" s="347" customFormat="1" x14ac:dyDescent="0.2">
      <c r="B103" s="345"/>
      <c r="C103" s="352" t="str">
        <f>IF('User Input'!$D$209&lt;&gt;0,'User Input'!$D$299,0)</f>
        <v>Other Benefits</v>
      </c>
      <c r="D103" s="349">
        <f>SUM(E103:X103)</f>
        <v>0</v>
      </c>
      <c r="E103" s="350">
        <f>IF($C$103=0,0,'User Input'!G$302*E$28*'User Input'!$F$302)</f>
        <v>0</v>
      </c>
      <c r="F103" s="350">
        <f>IF($C$103=0,0,'User Input'!H$302*F$28*'User Input'!$F$302)</f>
        <v>0</v>
      </c>
      <c r="G103" s="350">
        <f>IF($C$103=0,0,'User Input'!I$302*G$28*'User Input'!$F$302)</f>
        <v>0</v>
      </c>
      <c r="H103" s="350">
        <f>IF($C$103=0,0,'User Input'!J$302*H$28*'User Input'!$F$302)</f>
        <v>0</v>
      </c>
      <c r="I103" s="350">
        <f>IF($C$103=0,0,'User Input'!K$302*I$28*'User Input'!$F$302)</f>
        <v>0</v>
      </c>
      <c r="J103" s="350">
        <f>IF($C$103=0,0,'User Input'!L$302*J$28*'User Input'!$F$302)</f>
        <v>0</v>
      </c>
      <c r="K103" s="350">
        <f>IF($C$103=0,0,'User Input'!M$302*K$28*'User Input'!$F$302)</f>
        <v>0</v>
      </c>
      <c r="L103" s="350">
        <f>IF($C$103=0,0,'User Input'!N$302*L$28*'User Input'!$F$302)</f>
        <v>0</v>
      </c>
      <c r="M103" s="350">
        <f>IF($C$103=0,0,'User Input'!O$302*M$28*'User Input'!$F$302)</f>
        <v>0</v>
      </c>
      <c r="N103" s="350">
        <f>IF($C$103=0,0,'User Input'!P$302*N$28*'User Input'!$F$302)</f>
        <v>0</v>
      </c>
      <c r="O103" s="350">
        <f>IF($C$103=0,0,'User Input'!Q$302*O$28*'User Input'!$F$302)</f>
        <v>0</v>
      </c>
      <c r="P103" s="350">
        <f>IF($C$103=0,0,'User Input'!R$302*P$28*'User Input'!$F$302)</f>
        <v>0</v>
      </c>
      <c r="Q103" s="350">
        <f>IF($C$103=0,0,'User Input'!S$302*Q$28*'User Input'!$F$302)</f>
        <v>0</v>
      </c>
      <c r="R103" s="350">
        <f>IF($C$103=0,0,'User Input'!T$302*R$28*'User Input'!$F$302)</f>
        <v>0</v>
      </c>
      <c r="S103" s="350">
        <f>IF($C$103=0,0,'User Input'!U$302*S$28*'User Input'!$F$302)</f>
        <v>0</v>
      </c>
      <c r="T103" s="350">
        <f>IF($C$103=0,0,'User Input'!V$302*T$28*'User Input'!$F$302)</f>
        <v>0</v>
      </c>
      <c r="U103" s="350">
        <f>IF($C$103=0,0,'User Input'!W$302*U$28*'User Input'!$F$302)</f>
        <v>0</v>
      </c>
      <c r="V103" s="350">
        <f>IF($C$103=0,0,'User Input'!X$302*V$28*'User Input'!$F$302)</f>
        <v>0</v>
      </c>
      <c r="W103" s="350">
        <f>IF($C$103=0,0,'User Input'!Y$302*W$28*'User Input'!$F$302)</f>
        <v>0</v>
      </c>
      <c r="X103" s="350">
        <f>IF($C$103=0,0,'User Input'!Z$302*X$28*'User Input'!$F$302)</f>
        <v>0</v>
      </c>
      <c r="Y103" s="348"/>
    </row>
    <row r="104" spans="2:25" s="229" customFormat="1" x14ac:dyDescent="0.2">
      <c r="B104" s="345"/>
      <c r="C104" s="234" t="s">
        <v>173</v>
      </c>
      <c r="D104" s="246">
        <f t="shared" ref="D104:X104" si="27">SUM(D93:D103)</f>
        <v>0</v>
      </c>
      <c r="E104" s="246">
        <f t="shared" si="27"/>
        <v>0</v>
      </c>
      <c r="F104" s="246">
        <f t="shared" si="27"/>
        <v>0</v>
      </c>
      <c r="G104" s="246">
        <f t="shared" si="27"/>
        <v>0</v>
      </c>
      <c r="H104" s="246">
        <f t="shared" si="27"/>
        <v>0</v>
      </c>
      <c r="I104" s="246">
        <f t="shared" si="27"/>
        <v>0</v>
      </c>
      <c r="J104" s="246">
        <f t="shared" si="27"/>
        <v>0</v>
      </c>
      <c r="K104" s="246">
        <f t="shared" si="27"/>
        <v>0</v>
      </c>
      <c r="L104" s="246">
        <f t="shared" si="27"/>
        <v>0</v>
      </c>
      <c r="M104" s="246">
        <f t="shared" si="27"/>
        <v>0</v>
      </c>
      <c r="N104" s="246">
        <f t="shared" si="27"/>
        <v>0</v>
      </c>
      <c r="O104" s="246">
        <f t="shared" si="27"/>
        <v>0</v>
      </c>
      <c r="P104" s="246">
        <f t="shared" si="27"/>
        <v>0</v>
      </c>
      <c r="Q104" s="246">
        <f t="shared" si="27"/>
        <v>0</v>
      </c>
      <c r="R104" s="246">
        <f t="shared" si="27"/>
        <v>0</v>
      </c>
      <c r="S104" s="246">
        <f t="shared" si="27"/>
        <v>0</v>
      </c>
      <c r="T104" s="246">
        <f t="shared" si="27"/>
        <v>0</v>
      </c>
      <c r="U104" s="246">
        <f t="shared" si="27"/>
        <v>0</v>
      </c>
      <c r="V104" s="246">
        <f t="shared" si="27"/>
        <v>0</v>
      </c>
      <c r="W104" s="246">
        <f t="shared" si="27"/>
        <v>0</v>
      </c>
      <c r="X104" s="246">
        <f t="shared" si="27"/>
        <v>0</v>
      </c>
      <c r="Y104" s="232"/>
    </row>
    <row r="105" spans="2:25" s="229" customFormat="1" x14ac:dyDescent="0.2">
      <c r="B105" s="231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32"/>
    </row>
    <row r="106" spans="2:25" s="158" customFormat="1" x14ac:dyDescent="0.2">
      <c r="B106" s="169"/>
      <c r="C106" s="170" t="s">
        <v>116</v>
      </c>
      <c r="D106" s="252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173"/>
    </row>
    <row r="107" spans="2:25" s="158" customFormat="1" x14ac:dyDescent="0.2">
      <c r="B107" s="169"/>
      <c r="C107" s="236" t="str">
        <f>$C$47</f>
        <v>Annualised Cost - capex (2019)</v>
      </c>
      <c r="D107" s="247">
        <f t="shared" ref="D107:D114" si="28">SUM(E107:X107)</f>
        <v>0</v>
      </c>
      <c r="E107" s="244">
        <f>IF(E295&gt;0,E297,0)</f>
        <v>0</v>
      </c>
      <c r="F107" s="244">
        <f t="shared" ref="F107:X107" si="29">IF(F295&gt;0,F297,0)</f>
        <v>0</v>
      </c>
      <c r="G107" s="244">
        <f t="shared" si="29"/>
        <v>0</v>
      </c>
      <c r="H107" s="244">
        <f t="shared" si="29"/>
        <v>0</v>
      </c>
      <c r="I107" s="244">
        <f t="shared" si="29"/>
        <v>0</v>
      </c>
      <c r="J107" s="244">
        <f t="shared" si="29"/>
        <v>0</v>
      </c>
      <c r="K107" s="244">
        <f t="shared" si="29"/>
        <v>0</v>
      </c>
      <c r="L107" s="244">
        <f t="shared" si="29"/>
        <v>0</v>
      </c>
      <c r="M107" s="244">
        <f t="shared" si="29"/>
        <v>0</v>
      </c>
      <c r="N107" s="244">
        <f t="shared" si="29"/>
        <v>0</v>
      </c>
      <c r="O107" s="244">
        <f t="shared" si="29"/>
        <v>0</v>
      </c>
      <c r="P107" s="244">
        <f t="shared" si="29"/>
        <v>0</v>
      </c>
      <c r="Q107" s="244">
        <f t="shared" si="29"/>
        <v>0</v>
      </c>
      <c r="R107" s="244">
        <f t="shared" si="29"/>
        <v>0</v>
      </c>
      <c r="S107" s="244">
        <f t="shared" si="29"/>
        <v>0</v>
      </c>
      <c r="T107" s="244">
        <f t="shared" si="29"/>
        <v>0</v>
      </c>
      <c r="U107" s="244">
        <f t="shared" si="29"/>
        <v>0</v>
      </c>
      <c r="V107" s="244">
        <f t="shared" si="29"/>
        <v>0</v>
      </c>
      <c r="W107" s="244">
        <f t="shared" si="29"/>
        <v>0</v>
      </c>
      <c r="X107" s="244">
        <f t="shared" si="29"/>
        <v>0</v>
      </c>
      <c r="Y107" s="173"/>
    </row>
    <row r="108" spans="2:25" s="158" customFormat="1" x14ac:dyDescent="0.2">
      <c r="B108" s="169"/>
      <c r="C108" s="236" t="str">
        <f>$C$48</f>
        <v>Annualised Cost - capex (2020)</v>
      </c>
      <c r="D108" s="247">
        <f t="shared" si="28"/>
        <v>0</v>
      </c>
      <c r="E108" s="260">
        <v>0</v>
      </c>
      <c r="F108" s="244">
        <f>IF(F302&gt;0,F304,0)</f>
        <v>0</v>
      </c>
      <c r="G108" s="244">
        <f t="shared" ref="G108:X108" si="30">IF(G302&gt;0,G304,0)</f>
        <v>0</v>
      </c>
      <c r="H108" s="244">
        <f t="shared" si="30"/>
        <v>0</v>
      </c>
      <c r="I108" s="244">
        <f t="shared" si="30"/>
        <v>0</v>
      </c>
      <c r="J108" s="244">
        <f t="shared" si="30"/>
        <v>0</v>
      </c>
      <c r="K108" s="244">
        <f t="shared" si="30"/>
        <v>0</v>
      </c>
      <c r="L108" s="244">
        <f t="shared" si="30"/>
        <v>0</v>
      </c>
      <c r="M108" s="244">
        <f t="shared" si="30"/>
        <v>0</v>
      </c>
      <c r="N108" s="244">
        <f t="shared" si="30"/>
        <v>0</v>
      </c>
      <c r="O108" s="244">
        <f t="shared" si="30"/>
        <v>0</v>
      </c>
      <c r="P108" s="244">
        <f t="shared" si="30"/>
        <v>0</v>
      </c>
      <c r="Q108" s="244">
        <f t="shared" si="30"/>
        <v>0</v>
      </c>
      <c r="R108" s="244">
        <f t="shared" si="30"/>
        <v>0</v>
      </c>
      <c r="S108" s="244">
        <f t="shared" si="30"/>
        <v>0</v>
      </c>
      <c r="T108" s="244">
        <f t="shared" si="30"/>
        <v>0</v>
      </c>
      <c r="U108" s="244">
        <f t="shared" si="30"/>
        <v>0</v>
      </c>
      <c r="V108" s="244">
        <f t="shared" si="30"/>
        <v>0</v>
      </c>
      <c r="W108" s="244">
        <f t="shared" si="30"/>
        <v>0</v>
      </c>
      <c r="X108" s="244">
        <f t="shared" si="30"/>
        <v>0</v>
      </c>
      <c r="Y108" s="173"/>
    </row>
    <row r="109" spans="2:25" s="158" customFormat="1" x14ac:dyDescent="0.2">
      <c r="B109" s="169"/>
      <c r="C109" s="236" t="str">
        <f>$C$49</f>
        <v>Annualised Cost - capex (2021)</v>
      </c>
      <c r="D109" s="247">
        <f t="shared" si="28"/>
        <v>0</v>
      </c>
      <c r="E109" s="260">
        <v>0</v>
      </c>
      <c r="F109" s="260">
        <v>0</v>
      </c>
      <c r="G109" s="244">
        <f>IF(G309&gt;0,G311,0)</f>
        <v>0</v>
      </c>
      <c r="H109" s="244">
        <f t="shared" ref="H109:X109" si="31">IF(H309&gt;0,H311,0)</f>
        <v>0</v>
      </c>
      <c r="I109" s="244">
        <f t="shared" si="31"/>
        <v>0</v>
      </c>
      <c r="J109" s="244">
        <f t="shared" si="31"/>
        <v>0</v>
      </c>
      <c r="K109" s="244">
        <f t="shared" si="31"/>
        <v>0</v>
      </c>
      <c r="L109" s="244">
        <f t="shared" si="31"/>
        <v>0</v>
      </c>
      <c r="M109" s="244">
        <f t="shared" si="31"/>
        <v>0</v>
      </c>
      <c r="N109" s="244">
        <f t="shared" si="31"/>
        <v>0</v>
      </c>
      <c r="O109" s="244">
        <f t="shared" si="31"/>
        <v>0</v>
      </c>
      <c r="P109" s="244">
        <f t="shared" si="31"/>
        <v>0</v>
      </c>
      <c r="Q109" s="244">
        <f t="shared" si="31"/>
        <v>0</v>
      </c>
      <c r="R109" s="244">
        <f t="shared" si="31"/>
        <v>0</v>
      </c>
      <c r="S109" s="244">
        <f t="shared" si="31"/>
        <v>0</v>
      </c>
      <c r="T109" s="244">
        <f t="shared" si="31"/>
        <v>0</v>
      </c>
      <c r="U109" s="244">
        <f t="shared" si="31"/>
        <v>0</v>
      </c>
      <c r="V109" s="244">
        <f t="shared" si="31"/>
        <v>0</v>
      </c>
      <c r="W109" s="244">
        <f t="shared" si="31"/>
        <v>0</v>
      </c>
      <c r="X109" s="244">
        <f t="shared" si="31"/>
        <v>0</v>
      </c>
      <c r="Y109" s="173"/>
    </row>
    <row r="110" spans="2:25" s="158" customFormat="1" x14ac:dyDescent="0.2">
      <c r="B110" s="169"/>
      <c r="C110" s="236" t="str">
        <f>$C$50</f>
        <v>Annualised Cost - capex (2022)</v>
      </c>
      <c r="D110" s="247">
        <f t="shared" si="28"/>
        <v>0</v>
      </c>
      <c r="E110" s="260">
        <v>0</v>
      </c>
      <c r="F110" s="260">
        <v>0</v>
      </c>
      <c r="G110" s="260">
        <v>0</v>
      </c>
      <c r="H110" s="244">
        <f>IF(H316&gt;0,H318,0)</f>
        <v>0</v>
      </c>
      <c r="I110" s="244">
        <f t="shared" ref="I110:X110" si="32">IF(I316&gt;0,I318,0)</f>
        <v>0</v>
      </c>
      <c r="J110" s="244">
        <f t="shared" si="32"/>
        <v>0</v>
      </c>
      <c r="K110" s="244">
        <f t="shared" si="32"/>
        <v>0</v>
      </c>
      <c r="L110" s="244">
        <f t="shared" si="32"/>
        <v>0</v>
      </c>
      <c r="M110" s="244">
        <f t="shared" si="32"/>
        <v>0</v>
      </c>
      <c r="N110" s="244">
        <f t="shared" si="32"/>
        <v>0</v>
      </c>
      <c r="O110" s="244">
        <f t="shared" si="32"/>
        <v>0</v>
      </c>
      <c r="P110" s="244">
        <f t="shared" si="32"/>
        <v>0</v>
      </c>
      <c r="Q110" s="244">
        <f t="shared" si="32"/>
        <v>0</v>
      </c>
      <c r="R110" s="244">
        <f t="shared" si="32"/>
        <v>0</v>
      </c>
      <c r="S110" s="244">
        <f t="shared" si="32"/>
        <v>0</v>
      </c>
      <c r="T110" s="244">
        <f t="shared" si="32"/>
        <v>0</v>
      </c>
      <c r="U110" s="244">
        <f t="shared" si="32"/>
        <v>0</v>
      </c>
      <c r="V110" s="244">
        <f t="shared" si="32"/>
        <v>0</v>
      </c>
      <c r="W110" s="244">
        <f t="shared" si="32"/>
        <v>0</v>
      </c>
      <c r="X110" s="244">
        <f t="shared" si="32"/>
        <v>0</v>
      </c>
      <c r="Y110" s="173"/>
    </row>
    <row r="111" spans="2:25" s="158" customFormat="1" x14ac:dyDescent="0.2">
      <c r="B111" s="169"/>
      <c r="C111" s="236" t="str">
        <f>$C$51</f>
        <v>Annualised Cost - capex (2023)</v>
      </c>
      <c r="D111" s="247">
        <f t="shared" si="28"/>
        <v>0</v>
      </c>
      <c r="E111" s="260">
        <v>0</v>
      </c>
      <c r="F111" s="260">
        <v>0</v>
      </c>
      <c r="G111" s="260">
        <v>0</v>
      </c>
      <c r="H111" s="260">
        <v>0</v>
      </c>
      <c r="I111" s="244">
        <f>IF(I323&gt;0,I325,0)</f>
        <v>0</v>
      </c>
      <c r="J111" s="244">
        <f t="shared" ref="J111:X111" si="33">IF(J323&gt;0,J325,0)</f>
        <v>0</v>
      </c>
      <c r="K111" s="244">
        <f t="shared" si="33"/>
        <v>0</v>
      </c>
      <c r="L111" s="244">
        <f t="shared" si="33"/>
        <v>0</v>
      </c>
      <c r="M111" s="244">
        <f t="shared" si="33"/>
        <v>0</v>
      </c>
      <c r="N111" s="244">
        <f t="shared" si="33"/>
        <v>0</v>
      </c>
      <c r="O111" s="244">
        <f t="shared" si="33"/>
        <v>0</v>
      </c>
      <c r="P111" s="244">
        <f t="shared" si="33"/>
        <v>0</v>
      </c>
      <c r="Q111" s="244">
        <f t="shared" si="33"/>
        <v>0</v>
      </c>
      <c r="R111" s="244">
        <f t="shared" si="33"/>
        <v>0</v>
      </c>
      <c r="S111" s="244">
        <f t="shared" si="33"/>
        <v>0</v>
      </c>
      <c r="T111" s="244">
        <f t="shared" si="33"/>
        <v>0</v>
      </c>
      <c r="U111" s="244">
        <f t="shared" si="33"/>
        <v>0</v>
      </c>
      <c r="V111" s="244">
        <f t="shared" si="33"/>
        <v>0</v>
      </c>
      <c r="W111" s="244">
        <f t="shared" si="33"/>
        <v>0</v>
      </c>
      <c r="X111" s="244">
        <f t="shared" si="33"/>
        <v>0</v>
      </c>
      <c r="Y111" s="173"/>
    </row>
    <row r="112" spans="2:25" s="158" customFormat="1" x14ac:dyDescent="0.2">
      <c r="B112" s="169"/>
      <c r="C112" s="235" t="str">
        <f>$C$52</f>
        <v>O&amp;M Costs</v>
      </c>
      <c r="D112" s="247">
        <f t="shared" si="28"/>
        <v>0</v>
      </c>
      <c r="E112" s="244">
        <f>'User Input'!G324*SUM('User Input'!$F17:F17)*E28</f>
        <v>0</v>
      </c>
      <c r="F112" s="244">
        <f>'User Input'!H324*SUM('User Input'!$F17:G17)*F28</f>
        <v>0</v>
      </c>
      <c r="G112" s="244">
        <f>'User Input'!I324*SUM('User Input'!$F17:H17)*G28</f>
        <v>0</v>
      </c>
      <c r="H112" s="244">
        <f>'User Input'!J324*SUM('User Input'!$F17:I17)*H28</f>
        <v>0</v>
      </c>
      <c r="I112" s="244">
        <f>'User Input'!K324*SUM('User Input'!$F17:J17)*I28</f>
        <v>0</v>
      </c>
      <c r="J112" s="244">
        <f>'User Input'!L324*SUM('User Input'!$F17:K17)*J28</f>
        <v>0</v>
      </c>
      <c r="K112" s="244">
        <f>'User Input'!M324*SUM('User Input'!$F17:L17)*K28</f>
        <v>0</v>
      </c>
      <c r="L112" s="244">
        <f>'User Input'!N324*SUM('User Input'!$F17:M17)*L28</f>
        <v>0</v>
      </c>
      <c r="M112" s="244">
        <f>'User Input'!O324*SUM('User Input'!$F17:N17)*M28</f>
        <v>0</v>
      </c>
      <c r="N112" s="244">
        <f>'User Input'!P324*SUM('User Input'!$F17:O17)*N28</f>
        <v>0</v>
      </c>
      <c r="O112" s="244">
        <f>'User Input'!Q324*SUM('User Input'!$F17:P17)*O28</f>
        <v>0</v>
      </c>
      <c r="P112" s="244">
        <f>'User Input'!R324*SUM('User Input'!$F17:Q17)*P28</f>
        <v>0</v>
      </c>
      <c r="Q112" s="244">
        <f>'User Input'!S324*SUM('User Input'!$F17:R17)*Q28</f>
        <v>0</v>
      </c>
      <c r="R112" s="244">
        <f>'User Input'!T324*SUM('User Input'!$F17:S17)*R28</f>
        <v>0</v>
      </c>
      <c r="S112" s="244">
        <f>'User Input'!U324*SUM('User Input'!$F17:T17)*S28</f>
        <v>0</v>
      </c>
      <c r="T112" s="244">
        <f>'User Input'!V324*SUM('User Input'!$F17:U17)*T28</f>
        <v>0</v>
      </c>
      <c r="U112" s="244">
        <f>'User Input'!W324*SUM('User Input'!$F17:V17)*U28</f>
        <v>0</v>
      </c>
      <c r="V112" s="244">
        <f>'User Input'!X324*SUM('User Input'!$F17:W17)*V28</f>
        <v>0</v>
      </c>
      <c r="W112" s="244">
        <f>'User Input'!Y324*SUM('User Input'!$F17:X17)*W28</f>
        <v>0</v>
      </c>
      <c r="X112" s="244">
        <f>'User Input'!Z324*SUM('User Input'!$F17:Y17)*X28</f>
        <v>0</v>
      </c>
      <c r="Y112" s="173"/>
    </row>
    <row r="113" spans="2:25" s="158" customFormat="1" x14ac:dyDescent="0.2">
      <c r="B113" s="169"/>
      <c r="C113" s="235" t="str">
        <f>$C$53</f>
        <v>Compliance and Admin Costs</v>
      </c>
      <c r="D113" s="247">
        <f t="shared" si="28"/>
        <v>0</v>
      </c>
      <c r="E113" s="244">
        <f>'User Input'!G332*E28</f>
        <v>0</v>
      </c>
      <c r="F113" s="244">
        <f>'User Input'!H332*F28</f>
        <v>0</v>
      </c>
      <c r="G113" s="244">
        <f>'User Input'!I332*G28</f>
        <v>0</v>
      </c>
      <c r="H113" s="244">
        <f>'User Input'!J332*H28</f>
        <v>0</v>
      </c>
      <c r="I113" s="244">
        <f>'User Input'!K332*I28</f>
        <v>0</v>
      </c>
      <c r="J113" s="244">
        <f>'User Input'!L332*J28</f>
        <v>0</v>
      </c>
      <c r="K113" s="244">
        <f>'User Input'!M332*K28</f>
        <v>0</v>
      </c>
      <c r="L113" s="244">
        <f>'User Input'!N332*L28</f>
        <v>0</v>
      </c>
      <c r="M113" s="244">
        <f>'User Input'!O332*M28</f>
        <v>0</v>
      </c>
      <c r="N113" s="244">
        <f>'User Input'!P332*N28</f>
        <v>0</v>
      </c>
      <c r="O113" s="244">
        <f>'User Input'!Q332*O28</f>
        <v>0</v>
      </c>
      <c r="P113" s="244">
        <f>'User Input'!R332*P28</f>
        <v>0</v>
      </c>
      <c r="Q113" s="244">
        <f>'User Input'!S332*Q28</f>
        <v>0</v>
      </c>
      <c r="R113" s="244">
        <f>'User Input'!T332*R28</f>
        <v>0</v>
      </c>
      <c r="S113" s="244">
        <f>'User Input'!U332*S28</f>
        <v>0</v>
      </c>
      <c r="T113" s="244">
        <f>'User Input'!V332*T28</f>
        <v>0</v>
      </c>
      <c r="U113" s="244">
        <f>'User Input'!W332*U28</f>
        <v>0</v>
      </c>
      <c r="V113" s="244">
        <f>'User Input'!X332*V28</f>
        <v>0</v>
      </c>
      <c r="W113" s="244">
        <f>'User Input'!Y332*W28</f>
        <v>0</v>
      </c>
      <c r="X113" s="244">
        <f>'User Input'!Z332*X28</f>
        <v>0</v>
      </c>
      <c r="Y113" s="173"/>
    </row>
    <row r="114" spans="2:25" s="344" customFormat="1" x14ac:dyDescent="0.2">
      <c r="B114" s="345"/>
      <c r="C114" s="346" t="str">
        <f>'User Input'!$D$337</f>
        <v>Other Costs</v>
      </c>
      <c r="D114" s="349">
        <f t="shared" si="28"/>
        <v>0</v>
      </c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48"/>
    </row>
    <row r="115" spans="2:25" s="230" customFormat="1" x14ac:dyDescent="0.2">
      <c r="B115" s="231"/>
      <c r="C115" s="234" t="s">
        <v>2</v>
      </c>
      <c r="D115" s="244">
        <f t="shared" ref="D115:X115" si="34">SUM(D107:D114)</f>
        <v>0</v>
      </c>
      <c r="E115" s="244">
        <f t="shared" si="34"/>
        <v>0</v>
      </c>
      <c r="F115" s="244">
        <f t="shared" si="34"/>
        <v>0</v>
      </c>
      <c r="G115" s="244">
        <f t="shared" si="34"/>
        <v>0</v>
      </c>
      <c r="H115" s="244">
        <f t="shared" si="34"/>
        <v>0</v>
      </c>
      <c r="I115" s="244">
        <f t="shared" si="34"/>
        <v>0</v>
      </c>
      <c r="J115" s="244">
        <f t="shared" si="34"/>
        <v>0</v>
      </c>
      <c r="K115" s="244">
        <f t="shared" si="34"/>
        <v>0</v>
      </c>
      <c r="L115" s="244">
        <f t="shared" si="34"/>
        <v>0</v>
      </c>
      <c r="M115" s="244">
        <f t="shared" si="34"/>
        <v>0</v>
      </c>
      <c r="N115" s="244">
        <f t="shared" si="34"/>
        <v>0</v>
      </c>
      <c r="O115" s="244">
        <f t="shared" si="34"/>
        <v>0</v>
      </c>
      <c r="P115" s="244">
        <f t="shared" si="34"/>
        <v>0</v>
      </c>
      <c r="Q115" s="244">
        <f t="shared" si="34"/>
        <v>0</v>
      </c>
      <c r="R115" s="244">
        <f t="shared" si="34"/>
        <v>0</v>
      </c>
      <c r="S115" s="244">
        <f t="shared" si="34"/>
        <v>0</v>
      </c>
      <c r="T115" s="244">
        <f t="shared" si="34"/>
        <v>0</v>
      </c>
      <c r="U115" s="244">
        <f t="shared" si="34"/>
        <v>0</v>
      </c>
      <c r="V115" s="244">
        <f t="shared" si="34"/>
        <v>0</v>
      </c>
      <c r="W115" s="244">
        <f t="shared" si="34"/>
        <v>0</v>
      </c>
      <c r="X115" s="244">
        <f t="shared" si="34"/>
        <v>0</v>
      </c>
      <c r="Y115" s="232"/>
    </row>
    <row r="116" spans="2:25" s="230" customFormat="1" x14ac:dyDescent="0.2">
      <c r="B116" s="231"/>
      <c r="C116" s="233"/>
      <c r="D116" s="248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32"/>
    </row>
    <row r="117" spans="2:25" s="158" customFormat="1" ht="13.5" thickBot="1" x14ac:dyDescent="0.25">
      <c r="B117" s="169"/>
      <c r="C117" s="170" t="s">
        <v>162</v>
      </c>
      <c r="D117" s="249">
        <f t="shared" ref="D117:X117" si="35">D104-D115</f>
        <v>0</v>
      </c>
      <c r="E117" s="250">
        <f t="shared" si="35"/>
        <v>0</v>
      </c>
      <c r="F117" s="250">
        <f t="shared" si="35"/>
        <v>0</v>
      </c>
      <c r="G117" s="250">
        <f t="shared" si="35"/>
        <v>0</v>
      </c>
      <c r="H117" s="250">
        <f t="shared" si="35"/>
        <v>0</v>
      </c>
      <c r="I117" s="250">
        <f t="shared" si="35"/>
        <v>0</v>
      </c>
      <c r="J117" s="250">
        <f t="shared" si="35"/>
        <v>0</v>
      </c>
      <c r="K117" s="250">
        <f t="shared" si="35"/>
        <v>0</v>
      </c>
      <c r="L117" s="250">
        <f t="shared" si="35"/>
        <v>0</v>
      </c>
      <c r="M117" s="250">
        <f t="shared" si="35"/>
        <v>0</v>
      </c>
      <c r="N117" s="250">
        <f t="shared" si="35"/>
        <v>0</v>
      </c>
      <c r="O117" s="250">
        <f t="shared" si="35"/>
        <v>0</v>
      </c>
      <c r="P117" s="250">
        <f t="shared" si="35"/>
        <v>0</v>
      </c>
      <c r="Q117" s="250">
        <f t="shared" si="35"/>
        <v>0</v>
      </c>
      <c r="R117" s="250">
        <f t="shared" si="35"/>
        <v>0</v>
      </c>
      <c r="S117" s="250">
        <f t="shared" si="35"/>
        <v>0</v>
      </c>
      <c r="T117" s="250">
        <f t="shared" si="35"/>
        <v>0</v>
      </c>
      <c r="U117" s="250">
        <f t="shared" si="35"/>
        <v>0</v>
      </c>
      <c r="V117" s="250">
        <f t="shared" si="35"/>
        <v>0</v>
      </c>
      <c r="W117" s="250">
        <f t="shared" si="35"/>
        <v>0</v>
      </c>
      <c r="X117" s="250">
        <f t="shared" si="35"/>
        <v>0</v>
      </c>
      <c r="Y117" s="173"/>
    </row>
    <row r="118" spans="2:25" s="158" customFormat="1" ht="13.5" thickBot="1" x14ac:dyDescent="0.25">
      <c r="B118" s="169"/>
      <c r="C118" s="174" t="s">
        <v>163</v>
      </c>
      <c r="D118" s="251">
        <f>SUM(E118:X118)</f>
        <v>0</v>
      </c>
      <c r="E118" s="250">
        <f t="shared" ref="E118:X118" si="36">E117/(1+$D$19)^E$25</f>
        <v>0</v>
      </c>
      <c r="F118" s="250">
        <f t="shared" si="36"/>
        <v>0</v>
      </c>
      <c r="G118" s="250">
        <f t="shared" si="36"/>
        <v>0</v>
      </c>
      <c r="H118" s="250">
        <f t="shared" si="36"/>
        <v>0</v>
      </c>
      <c r="I118" s="250">
        <f t="shared" si="36"/>
        <v>0</v>
      </c>
      <c r="J118" s="250">
        <f t="shared" si="36"/>
        <v>0</v>
      </c>
      <c r="K118" s="250">
        <f t="shared" si="36"/>
        <v>0</v>
      </c>
      <c r="L118" s="250">
        <f t="shared" si="36"/>
        <v>0</v>
      </c>
      <c r="M118" s="250">
        <f t="shared" si="36"/>
        <v>0</v>
      </c>
      <c r="N118" s="250">
        <f t="shared" si="36"/>
        <v>0</v>
      </c>
      <c r="O118" s="250">
        <f t="shared" si="36"/>
        <v>0</v>
      </c>
      <c r="P118" s="250">
        <f t="shared" si="36"/>
        <v>0</v>
      </c>
      <c r="Q118" s="250">
        <f t="shared" si="36"/>
        <v>0</v>
      </c>
      <c r="R118" s="250">
        <f t="shared" si="36"/>
        <v>0</v>
      </c>
      <c r="S118" s="250">
        <f t="shared" si="36"/>
        <v>0</v>
      </c>
      <c r="T118" s="250">
        <f t="shared" si="36"/>
        <v>0</v>
      </c>
      <c r="U118" s="250">
        <f t="shared" si="36"/>
        <v>0</v>
      </c>
      <c r="V118" s="250">
        <f t="shared" si="36"/>
        <v>0</v>
      </c>
      <c r="W118" s="250">
        <f t="shared" si="36"/>
        <v>0</v>
      </c>
      <c r="X118" s="250">
        <f t="shared" si="36"/>
        <v>0</v>
      </c>
      <c r="Y118" s="173"/>
    </row>
    <row r="119" spans="2:25" s="158" customFormat="1" x14ac:dyDescent="0.2">
      <c r="B119" s="169"/>
      <c r="C119" s="17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173"/>
    </row>
    <row r="120" spans="2:25" s="158" customFormat="1" x14ac:dyDescent="0.2">
      <c r="B120" s="392" t="str">
        <f>Calculations!B84</f>
        <v xml:space="preserve">Option 3: </v>
      </c>
      <c r="C120" s="395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6"/>
    </row>
    <row r="121" spans="2:25" s="158" customFormat="1" x14ac:dyDescent="0.2">
      <c r="B121" s="169"/>
      <c r="C121" s="17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173"/>
    </row>
    <row r="122" spans="2:25" s="230" customFormat="1" x14ac:dyDescent="0.2">
      <c r="B122" s="231"/>
      <c r="C122" s="229" t="s">
        <v>118</v>
      </c>
      <c r="D122" s="250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32"/>
    </row>
    <row r="123" spans="2:25" s="229" customFormat="1" x14ac:dyDescent="0.2">
      <c r="B123" s="231"/>
      <c r="C123" s="346" t="str">
        <f>'User Input'!$D$214</f>
        <v>Value of Electricity to Customers (VCR)</v>
      </c>
      <c r="D123" s="243">
        <f>SUM(E123:X123)</f>
        <v>0</v>
      </c>
      <c r="E123" s="244">
        <f>'User Input'!G218*'Administrator Input'!$F$60*E$28*'User Input'!$F$218</f>
        <v>0</v>
      </c>
      <c r="F123" s="244">
        <f>'User Input'!H218*'Administrator Input'!$F$60*F$28*'User Input'!$F$218</f>
        <v>0</v>
      </c>
      <c r="G123" s="244">
        <f>'User Input'!I218*'Administrator Input'!$F$60*G$28*'User Input'!$F$218</f>
        <v>0</v>
      </c>
      <c r="H123" s="244">
        <f>'User Input'!J218*'Administrator Input'!$F$60*H$28*'User Input'!$F$218</f>
        <v>0</v>
      </c>
      <c r="I123" s="244">
        <f>'User Input'!K218*'Administrator Input'!$F$60*I$28*'User Input'!$F$218</f>
        <v>0</v>
      </c>
      <c r="J123" s="244">
        <f>'User Input'!L218*'Administrator Input'!$F$60*J$28*'User Input'!$F$218</f>
        <v>0</v>
      </c>
      <c r="K123" s="244">
        <f>'User Input'!M218*'Administrator Input'!$F$60*K$28*'User Input'!$F$218</f>
        <v>0</v>
      </c>
      <c r="L123" s="244">
        <f>'User Input'!N218*'Administrator Input'!$F$60*L$28*'User Input'!$F$218</f>
        <v>0</v>
      </c>
      <c r="M123" s="244">
        <f>'User Input'!O218*'Administrator Input'!$F$60*M$28*'User Input'!$F$218</f>
        <v>0</v>
      </c>
      <c r="N123" s="244">
        <f>'User Input'!P218*'Administrator Input'!$F$60*N$28*'User Input'!$F$218</f>
        <v>0</v>
      </c>
      <c r="O123" s="244">
        <f>'User Input'!Q218*'Administrator Input'!$F$60*O$28*'User Input'!$F$218</f>
        <v>0</v>
      </c>
      <c r="P123" s="244">
        <f>'User Input'!R218*'Administrator Input'!$F$60*P$28*'User Input'!$F$218</f>
        <v>0</v>
      </c>
      <c r="Q123" s="244">
        <f>'User Input'!S218*'Administrator Input'!$F$60*Q$28*'User Input'!$F$218</f>
        <v>0</v>
      </c>
      <c r="R123" s="244">
        <f>'User Input'!T218*'Administrator Input'!$F$60*R$28*'User Input'!$F$218</f>
        <v>0</v>
      </c>
      <c r="S123" s="244">
        <f>'User Input'!U218*'Administrator Input'!$F$60*S$28*'User Input'!$F$218</f>
        <v>0</v>
      </c>
      <c r="T123" s="244">
        <f>'User Input'!V218*'Administrator Input'!$F$60*T$28*'User Input'!$F$218</f>
        <v>0</v>
      </c>
      <c r="U123" s="244">
        <f>'User Input'!W218*'Administrator Input'!$F$60*U$28*'User Input'!$F$218</f>
        <v>0</v>
      </c>
      <c r="V123" s="244">
        <f>'User Input'!X218*'Administrator Input'!$F$60*V$28*'User Input'!$F$218</f>
        <v>0</v>
      </c>
      <c r="W123" s="244">
        <f>'User Input'!Y218*'Administrator Input'!$F$60*W$28*'User Input'!$F$218</f>
        <v>0</v>
      </c>
      <c r="X123" s="244">
        <f>'User Input'!Z218*'Administrator Input'!$F$60*X$28*'User Input'!$F$218</f>
        <v>0</v>
      </c>
      <c r="Y123" s="232"/>
    </row>
    <row r="124" spans="2:25" s="230" customFormat="1" x14ac:dyDescent="0.2">
      <c r="B124" s="231"/>
      <c r="C124" s="235" t="str">
        <f>'User Input'!$D$222</f>
        <v>Changes in Voluntary Load Curtailment</v>
      </c>
      <c r="D124" s="245">
        <f t="shared" ref="D124:D133" si="37">SUM(E124:X124)</f>
        <v>0</v>
      </c>
      <c r="E124" s="350">
        <f>('User Input'!G$226*'Administrator Input'!$F$59*E$28)/1000*'User Input'!$F$226</f>
        <v>0</v>
      </c>
      <c r="F124" s="350">
        <f>('User Input'!H$226*'Administrator Input'!$F$59*F$28)/1000*'User Input'!$F$226</f>
        <v>0</v>
      </c>
      <c r="G124" s="350">
        <f>('User Input'!I$226*'Administrator Input'!$F$59*G$28)/1000*'User Input'!$F$226</f>
        <v>0</v>
      </c>
      <c r="H124" s="350">
        <f>('User Input'!J$226*'Administrator Input'!$F$59*H$28)/1000*'User Input'!$F$226</f>
        <v>0</v>
      </c>
      <c r="I124" s="350">
        <f>('User Input'!K$226*'Administrator Input'!$F$59*I$28)/1000*'User Input'!$F$226</f>
        <v>0</v>
      </c>
      <c r="J124" s="350">
        <f>('User Input'!L$226*'Administrator Input'!$F$59*J$28)/1000*'User Input'!$F$226</f>
        <v>0</v>
      </c>
      <c r="K124" s="350">
        <f>('User Input'!M$226*'Administrator Input'!$F$59*K$28)/1000*'User Input'!$F$226</f>
        <v>0</v>
      </c>
      <c r="L124" s="350">
        <f>('User Input'!N$226*'Administrator Input'!$F$59*L$28)/1000*'User Input'!$F$226</f>
        <v>0</v>
      </c>
      <c r="M124" s="350">
        <f>('User Input'!O$226*'Administrator Input'!$F$59*M$28)/1000*'User Input'!$F$226</f>
        <v>0</v>
      </c>
      <c r="N124" s="350">
        <f>('User Input'!P$226*'Administrator Input'!$F$59*N$28)/1000*'User Input'!$F$226</f>
        <v>0</v>
      </c>
      <c r="O124" s="350">
        <f>('User Input'!Q$226*'Administrator Input'!$F$59*O$28)/1000*'User Input'!$F$226</f>
        <v>0</v>
      </c>
      <c r="P124" s="350">
        <f>('User Input'!R$226*'Administrator Input'!$F$59*P$28)/1000*'User Input'!$F$226</f>
        <v>0</v>
      </c>
      <c r="Q124" s="350">
        <f>('User Input'!S$226*'Administrator Input'!$F$59*Q$28)/1000*'User Input'!$F$226</f>
        <v>0</v>
      </c>
      <c r="R124" s="350">
        <f>('User Input'!T$226*'Administrator Input'!$F$59*R$28)/1000*'User Input'!$F$226</f>
        <v>0</v>
      </c>
      <c r="S124" s="350">
        <f>('User Input'!U$226*'Administrator Input'!$F$59*S$28)/1000*'User Input'!$F$226</f>
        <v>0</v>
      </c>
      <c r="T124" s="350">
        <f>('User Input'!V$226*'Administrator Input'!$F$59*T$28)/1000*'User Input'!$F$226</f>
        <v>0</v>
      </c>
      <c r="U124" s="350">
        <f>('User Input'!W$226*'Administrator Input'!$F$59*U$28)/1000*'User Input'!$F$226</f>
        <v>0</v>
      </c>
      <c r="V124" s="350">
        <f>('User Input'!X$226*'Administrator Input'!$F$59*V$28)/1000*'User Input'!$F$226</f>
        <v>0</v>
      </c>
      <c r="W124" s="350">
        <f>('User Input'!Y$226*'Administrator Input'!$F$59*W$28)/1000*'User Input'!$F$226</f>
        <v>0</v>
      </c>
      <c r="X124" s="350">
        <f>('User Input'!Z$226*'Administrator Input'!$F$59*X$28)/1000*'User Input'!$F$226</f>
        <v>0</v>
      </c>
      <c r="Y124" s="232"/>
    </row>
    <row r="125" spans="2:25" s="344" customFormat="1" x14ac:dyDescent="0.2">
      <c r="B125" s="345"/>
      <c r="C125" s="346" t="str">
        <f>'User Input'!$D$230</f>
        <v>Changes in Costs to Other Parties</v>
      </c>
      <c r="D125" s="349">
        <f t="shared" si="37"/>
        <v>0</v>
      </c>
      <c r="E125" s="350">
        <f>'User Input'!G$234*E$28*'User Input'!$F$234</f>
        <v>0</v>
      </c>
      <c r="F125" s="350">
        <f>'User Input'!H$234*F$28*'User Input'!$F$234</f>
        <v>0</v>
      </c>
      <c r="G125" s="350">
        <f>'User Input'!I$234*G$28*'User Input'!$F$234</f>
        <v>0</v>
      </c>
      <c r="H125" s="350">
        <f>'User Input'!J$234*H$28*'User Input'!$F$234</f>
        <v>0</v>
      </c>
      <c r="I125" s="350">
        <f>'User Input'!K$234*I$28*'User Input'!$F$234</f>
        <v>0</v>
      </c>
      <c r="J125" s="350">
        <f>'User Input'!L$234*J$28*'User Input'!$F$234</f>
        <v>0</v>
      </c>
      <c r="K125" s="350">
        <f>'User Input'!M$234*K$28*'User Input'!$F$234</f>
        <v>0</v>
      </c>
      <c r="L125" s="350">
        <f>'User Input'!N$234*L$28*'User Input'!$F$234</f>
        <v>0</v>
      </c>
      <c r="M125" s="350">
        <f>'User Input'!O$234*M$28*'User Input'!$F$234</f>
        <v>0</v>
      </c>
      <c r="N125" s="350">
        <f>'User Input'!P$234*N$28*'User Input'!$F$234</f>
        <v>0</v>
      </c>
      <c r="O125" s="350">
        <f>'User Input'!Q$234*O$28*'User Input'!$F$234</f>
        <v>0</v>
      </c>
      <c r="P125" s="350">
        <f>'User Input'!R$234*P$28*'User Input'!$F$234</f>
        <v>0</v>
      </c>
      <c r="Q125" s="350">
        <f>'User Input'!S$234*Q$28*'User Input'!$F$234</f>
        <v>0</v>
      </c>
      <c r="R125" s="350">
        <f>'User Input'!T$234*R$28*'User Input'!$F$234</f>
        <v>0</v>
      </c>
      <c r="S125" s="350">
        <f>'User Input'!U$234*S$28*'User Input'!$F$234</f>
        <v>0</v>
      </c>
      <c r="T125" s="350">
        <f>'User Input'!V$234*T$28*'User Input'!$F$234</f>
        <v>0</v>
      </c>
      <c r="U125" s="350">
        <f>'User Input'!W$234*U$28*'User Input'!$F$234</f>
        <v>0</v>
      </c>
      <c r="V125" s="350">
        <f>'User Input'!X$234*V$28*'User Input'!$F$234</f>
        <v>0</v>
      </c>
      <c r="W125" s="350">
        <f>'User Input'!Y$234*W$28*'User Input'!$F$234</f>
        <v>0</v>
      </c>
      <c r="X125" s="350">
        <f>'User Input'!Z$234*X$28*'User Input'!$F$234</f>
        <v>0</v>
      </c>
      <c r="Y125" s="348"/>
    </row>
    <row r="126" spans="2:25" s="344" customFormat="1" x14ac:dyDescent="0.2">
      <c r="B126" s="345"/>
      <c r="C126" s="346" t="str">
        <f>'User Input'!$D$238</f>
        <v>Difference in Timing (capex)</v>
      </c>
      <c r="D126" s="349">
        <f t="shared" si="37"/>
        <v>0</v>
      </c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48"/>
    </row>
    <row r="127" spans="2:25" s="344" customFormat="1" x14ac:dyDescent="0.2">
      <c r="B127" s="345"/>
      <c r="C127" s="346" t="str">
        <f>'User Input'!$D$246</f>
        <v xml:space="preserve">Changes in Load Transfer Capacity </v>
      </c>
      <c r="D127" s="349">
        <f t="shared" si="37"/>
        <v>0</v>
      </c>
      <c r="E127" s="350">
        <f>('User Input'!G$250*'Administrator Input'!$F$61*E$28)/1000*'User Input'!$F$250</f>
        <v>0</v>
      </c>
      <c r="F127" s="350">
        <f>('User Input'!H$250*'Administrator Input'!$F$61*F$28)/1000*'User Input'!$F$250</f>
        <v>0</v>
      </c>
      <c r="G127" s="350">
        <f>('User Input'!I$250*'Administrator Input'!$F$61*G$28)/1000*'User Input'!$F$250</f>
        <v>0</v>
      </c>
      <c r="H127" s="350">
        <f>('User Input'!J$250*'Administrator Input'!$F$61*H$28)/1000*'User Input'!$F$250</f>
        <v>0</v>
      </c>
      <c r="I127" s="350">
        <f>('User Input'!K$250*'Administrator Input'!$F$61*I$28)/1000*'User Input'!$F$250</f>
        <v>0</v>
      </c>
      <c r="J127" s="350">
        <f>('User Input'!L$250*'Administrator Input'!$F$61*J$28)/1000*'User Input'!$F$250</f>
        <v>0</v>
      </c>
      <c r="K127" s="350">
        <f>('User Input'!M$250*'Administrator Input'!$F$61*K$28)/1000*'User Input'!$F$250</f>
        <v>0</v>
      </c>
      <c r="L127" s="350">
        <f>('User Input'!N$250*'Administrator Input'!$F$61*L$28)/1000*'User Input'!$F$250</f>
        <v>0</v>
      </c>
      <c r="M127" s="350">
        <f>('User Input'!O$250*'Administrator Input'!$F$61*M$28)/1000*'User Input'!$F$250</f>
        <v>0</v>
      </c>
      <c r="N127" s="350">
        <f>('User Input'!P$250*'Administrator Input'!$F$61*N$28)/1000*'User Input'!$F$250</f>
        <v>0</v>
      </c>
      <c r="O127" s="350">
        <f>('User Input'!Q$250*'Administrator Input'!$F$61*O$28)/1000*'User Input'!$F$250</f>
        <v>0</v>
      </c>
      <c r="P127" s="350">
        <f>('User Input'!R$250*'Administrator Input'!$F$61*P$28)/1000*'User Input'!$F$250</f>
        <v>0</v>
      </c>
      <c r="Q127" s="350">
        <f>('User Input'!S$250*'Administrator Input'!$F$61*Q$28)/1000*'User Input'!$F$250</f>
        <v>0</v>
      </c>
      <c r="R127" s="350">
        <f>('User Input'!T$250*'Administrator Input'!$F$61*R$28)/1000*'User Input'!$F$250</f>
        <v>0</v>
      </c>
      <c r="S127" s="350">
        <f>('User Input'!U$250*'Administrator Input'!$F$61*S$28)/1000*'User Input'!$F$250</f>
        <v>0</v>
      </c>
      <c r="T127" s="350">
        <f>('User Input'!V$250*'Administrator Input'!$F$61*T$28)/1000*'User Input'!$F$250</f>
        <v>0</v>
      </c>
      <c r="U127" s="350">
        <f>('User Input'!W$250*'Administrator Input'!$F$61*U$28)/1000*'User Input'!$F$250</f>
        <v>0</v>
      </c>
      <c r="V127" s="350">
        <f>('User Input'!X$250*'Administrator Input'!$F$61*V$28)/1000*'User Input'!$F$250</f>
        <v>0</v>
      </c>
      <c r="W127" s="350">
        <f>('User Input'!Y$250*'Administrator Input'!$F$61*W$28)/1000*'User Input'!$F$250</f>
        <v>0</v>
      </c>
      <c r="X127" s="350">
        <f>('User Input'!Z$250*'Administrator Input'!$F$61*X$28)/1000*'User Input'!$F$250</f>
        <v>0</v>
      </c>
      <c r="Y127" s="348"/>
    </row>
    <row r="128" spans="2:25" s="344" customFormat="1" x14ac:dyDescent="0.2">
      <c r="B128" s="345"/>
      <c r="C128" s="346" t="str">
        <f>'User Input'!$D$254</f>
        <v>Option Value</v>
      </c>
      <c r="D128" s="349">
        <f t="shared" si="37"/>
        <v>0</v>
      </c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48"/>
    </row>
    <row r="129" spans="2:25" s="229" customFormat="1" x14ac:dyDescent="0.2">
      <c r="B129" s="231"/>
      <c r="C129" s="346" t="str">
        <f>'User Input'!$D$262</f>
        <v>Avoided Network Losses</v>
      </c>
      <c r="D129" s="243">
        <f t="shared" si="37"/>
        <v>0</v>
      </c>
      <c r="E129" s="244">
        <f>('User Input'!G266*'Administrator Input'!$F$62*E$28)/1000*'User Input'!$F$266</f>
        <v>0</v>
      </c>
      <c r="F129" s="244">
        <f>('User Input'!H266*'Administrator Input'!$F$62*F$28)/1000*'User Input'!$F$266</f>
        <v>0</v>
      </c>
      <c r="G129" s="244">
        <f>('User Input'!I266*'Administrator Input'!$F$62*G$28)/1000*'User Input'!$F$266</f>
        <v>0</v>
      </c>
      <c r="H129" s="244">
        <f>('User Input'!J266*'Administrator Input'!$F$62*H$28)/1000*'User Input'!$F$266</f>
        <v>0</v>
      </c>
      <c r="I129" s="244">
        <f>('User Input'!K266*'Administrator Input'!$F$62*I$28)/1000*'User Input'!$F$266</f>
        <v>0</v>
      </c>
      <c r="J129" s="244">
        <f>('User Input'!L266*'Administrator Input'!$F$62*J$28)/1000*'User Input'!$F$266</f>
        <v>0</v>
      </c>
      <c r="K129" s="244">
        <f>('User Input'!M266*'Administrator Input'!$F$62*K$28)/1000*'User Input'!$F$266</f>
        <v>0</v>
      </c>
      <c r="L129" s="244">
        <f>('User Input'!N266*'Administrator Input'!$F$62*L$28)/1000*'User Input'!$F$266</f>
        <v>0</v>
      </c>
      <c r="M129" s="244">
        <f>('User Input'!O266*'Administrator Input'!$F$62*M$28)/1000*'User Input'!$F$266</f>
        <v>0</v>
      </c>
      <c r="N129" s="244">
        <f>('User Input'!P266*'Administrator Input'!$F$62*N$28)/1000*'User Input'!$F$266</f>
        <v>0</v>
      </c>
      <c r="O129" s="244">
        <f>('User Input'!Q266*'Administrator Input'!$F$62*O$28)/1000*'User Input'!$F$266</f>
        <v>0</v>
      </c>
      <c r="P129" s="244">
        <f>('User Input'!R266*'Administrator Input'!$F$62*P$28)/1000*'User Input'!$F$266</f>
        <v>0</v>
      </c>
      <c r="Q129" s="244">
        <f>('User Input'!S266*'Administrator Input'!$F$62*Q$28)/1000*'User Input'!$F$266</f>
        <v>0</v>
      </c>
      <c r="R129" s="244">
        <f>('User Input'!T266*'Administrator Input'!$F$62*R$28)/1000*'User Input'!$F$266</f>
        <v>0</v>
      </c>
      <c r="S129" s="244">
        <f>('User Input'!U266*'Administrator Input'!$F$62*S$28)/1000*'User Input'!$F$266</f>
        <v>0</v>
      </c>
      <c r="T129" s="244">
        <f>('User Input'!V266*'Administrator Input'!$F$62*T$28)/1000*'User Input'!$F$266</f>
        <v>0</v>
      </c>
      <c r="U129" s="244">
        <f>('User Input'!W266*'Administrator Input'!$F$62*U$28)/1000*'User Input'!$F$266</f>
        <v>0</v>
      </c>
      <c r="V129" s="244">
        <f>('User Input'!X266*'Administrator Input'!$F$62*V$28)/1000*'User Input'!$F$266</f>
        <v>0</v>
      </c>
      <c r="W129" s="244">
        <f>('User Input'!Y266*'Administrator Input'!$F$62*W$28)/1000*'User Input'!$F$266</f>
        <v>0</v>
      </c>
      <c r="X129" s="244">
        <f>('User Input'!Z266*'Administrator Input'!$F$62*X$28)/1000*'User Input'!$F$266</f>
        <v>0</v>
      </c>
      <c r="Y129" s="232"/>
    </row>
    <row r="130" spans="2:25" s="344" customFormat="1" x14ac:dyDescent="0.2">
      <c r="B130" s="345"/>
      <c r="C130" s="346" t="str">
        <f>'User Input'!$D$270</f>
        <v>Other Benefits</v>
      </c>
      <c r="D130" s="349">
        <f t="shared" si="37"/>
        <v>0</v>
      </c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48"/>
    </row>
    <row r="131" spans="2:25" s="347" customFormat="1" x14ac:dyDescent="0.2">
      <c r="B131" s="345"/>
      <c r="C131" s="352" t="str">
        <f>IF('User Input'!$D$209&lt;&gt;0,'User Input'!$D$283,0)</f>
        <v>Avoided Environmental Impact</v>
      </c>
      <c r="D131" s="349">
        <f t="shared" si="37"/>
        <v>0</v>
      </c>
      <c r="E131" s="350">
        <f>IF($C$131=0,0,'User Input'!G$287*E$28*'User Input'!$F$287)</f>
        <v>0</v>
      </c>
      <c r="F131" s="350">
        <f>IF($C$131=0,0,'User Input'!H$287*F$28*'User Input'!$F$287)</f>
        <v>0</v>
      </c>
      <c r="G131" s="350">
        <f>IF($C$131=0,0,'User Input'!I$287*G$28*'User Input'!$F$287)</f>
        <v>0</v>
      </c>
      <c r="H131" s="350">
        <f>IF($C$131=0,0,'User Input'!J$287*H$28*'User Input'!$F$287)</f>
        <v>0</v>
      </c>
      <c r="I131" s="350">
        <f>IF($C$131=0,0,'User Input'!K$287*I$28*'User Input'!$F$287)</f>
        <v>0</v>
      </c>
      <c r="J131" s="350">
        <f>IF($C$131=0,0,'User Input'!L$287*J$28*'User Input'!$F$287)</f>
        <v>0</v>
      </c>
      <c r="K131" s="350">
        <f>IF($C$131=0,0,'User Input'!M$287*K$28*'User Input'!$F$287)</f>
        <v>0</v>
      </c>
      <c r="L131" s="350">
        <f>IF($C$131=0,0,'User Input'!N$287*L$28*'User Input'!$F$287)</f>
        <v>0</v>
      </c>
      <c r="M131" s="350">
        <f>IF($C$131=0,0,'User Input'!O$287*M$28*'User Input'!$F$287)</f>
        <v>0</v>
      </c>
      <c r="N131" s="350">
        <f>IF($C$131=0,0,'User Input'!P$287*N$28*'User Input'!$F$287)</f>
        <v>0</v>
      </c>
      <c r="O131" s="350">
        <f>IF($C$131=0,0,'User Input'!Q$287*O$28*'User Input'!$F$287)</f>
        <v>0</v>
      </c>
      <c r="P131" s="350">
        <f>IF($C$131=0,0,'User Input'!R$287*P$28*'User Input'!$F$287)</f>
        <v>0</v>
      </c>
      <c r="Q131" s="350">
        <f>IF($C$131=0,0,'User Input'!S$287*Q$28*'User Input'!$F$287)</f>
        <v>0</v>
      </c>
      <c r="R131" s="350">
        <f>IF($C$131=0,0,'User Input'!T$287*R$28*'User Input'!$F$287)</f>
        <v>0</v>
      </c>
      <c r="S131" s="350">
        <f>IF($C$131=0,0,'User Input'!U$287*S$28*'User Input'!$F$287)</f>
        <v>0</v>
      </c>
      <c r="T131" s="350">
        <f>IF($C$131=0,0,'User Input'!V$287*T$28*'User Input'!$F$287)</f>
        <v>0</v>
      </c>
      <c r="U131" s="350">
        <f>IF($C$131=0,0,'User Input'!W$287*U$28*'User Input'!$F$287)</f>
        <v>0</v>
      </c>
      <c r="V131" s="350">
        <f>IF($C$131=0,0,'User Input'!X$287*V$28*'User Input'!$F$287)</f>
        <v>0</v>
      </c>
      <c r="W131" s="350">
        <f>IF($C$131=0,0,'User Input'!Y$287*W$28*'User Input'!$F$287)</f>
        <v>0</v>
      </c>
      <c r="X131" s="350">
        <f>IF($C$131=0,0,'User Input'!Z$287*X$28*'User Input'!$F$287)</f>
        <v>0</v>
      </c>
      <c r="Y131" s="348"/>
    </row>
    <row r="132" spans="2:25" s="347" customFormat="1" x14ac:dyDescent="0.2">
      <c r="B132" s="345"/>
      <c r="C132" s="352" t="str">
        <f>IF('User Input'!$D$209&lt;&gt;0,'User Input'!$D$291,0)</f>
        <v>Community Health and Safety</v>
      </c>
      <c r="D132" s="349">
        <f t="shared" si="37"/>
        <v>0</v>
      </c>
      <c r="E132" s="350">
        <f>IF($C$132=0,0,'User Input'!G$295*E$28*'User Input'!$F$295)</f>
        <v>0</v>
      </c>
      <c r="F132" s="350">
        <f>IF($C$132=0,0,'User Input'!H$295*F$28*'User Input'!$F$295)</f>
        <v>0</v>
      </c>
      <c r="G132" s="350">
        <f>IF($C$132=0,0,'User Input'!I$295*G$28*'User Input'!$F$295)</f>
        <v>0</v>
      </c>
      <c r="H132" s="350">
        <f>IF($C$132=0,0,'User Input'!J$295*H$28*'User Input'!$F$295)</f>
        <v>0</v>
      </c>
      <c r="I132" s="350">
        <f>IF($C$132=0,0,'User Input'!K$295*I$28*'User Input'!$F$295)</f>
        <v>0</v>
      </c>
      <c r="J132" s="350">
        <f>IF($C$132=0,0,'User Input'!L$295*J$28*'User Input'!$F$295)</f>
        <v>0</v>
      </c>
      <c r="K132" s="350">
        <f>IF($C$132=0,0,'User Input'!M$295*K$28*'User Input'!$F$295)</f>
        <v>0</v>
      </c>
      <c r="L132" s="350">
        <f>IF($C$132=0,0,'User Input'!N$295*L$28*'User Input'!$F$295)</f>
        <v>0</v>
      </c>
      <c r="M132" s="350">
        <f>IF($C$132=0,0,'User Input'!O$295*M$28*'User Input'!$F$295)</f>
        <v>0</v>
      </c>
      <c r="N132" s="350">
        <f>IF($C$132=0,0,'User Input'!P$295*N$28*'User Input'!$F$295)</f>
        <v>0</v>
      </c>
      <c r="O132" s="350">
        <f>IF($C$132=0,0,'User Input'!Q$295*O$28*'User Input'!$F$295)</f>
        <v>0</v>
      </c>
      <c r="P132" s="350">
        <f>IF($C$132=0,0,'User Input'!R$295*P$28*'User Input'!$F$295)</f>
        <v>0</v>
      </c>
      <c r="Q132" s="350">
        <f>IF($C$132=0,0,'User Input'!S$295*Q$28*'User Input'!$F$295)</f>
        <v>0</v>
      </c>
      <c r="R132" s="350">
        <f>IF($C$132=0,0,'User Input'!T$295*R$28*'User Input'!$F$295)</f>
        <v>0</v>
      </c>
      <c r="S132" s="350">
        <f>IF($C$132=0,0,'User Input'!U$295*S$28*'User Input'!$F$295)</f>
        <v>0</v>
      </c>
      <c r="T132" s="350">
        <f>IF($C$132=0,0,'User Input'!V$295*T$28*'User Input'!$F$295)</f>
        <v>0</v>
      </c>
      <c r="U132" s="350">
        <f>IF($C$132=0,0,'User Input'!W$295*U$28*'User Input'!$F$295)</f>
        <v>0</v>
      </c>
      <c r="V132" s="350">
        <f>IF($C$132=0,0,'User Input'!X$295*V$28*'User Input'!$F$295)</f>
        <v>0</v>
      </c>
      <c r="W132" s="350">
        <f>IF($C$132=0,0,'User Input'!Y$295*W$28*'User Input'!$F$295)</f>
        <v>0</v>
      </c>
      <c r="X132" s="350">
        <f>IF($C$132=0,0,'User Input'!Z$295*X$28*'User Input'!$F$295)</f>
        <v>0</v>
      </c>
      <c r="Y132" s="348"/>
    </row>
    <row r="133" spans="2:25" s="347" customFormat="1" x14ac:dyDescent="0.2">
      <c r="B133" s="345"/>
      <c r="C133" s="352" t="str">
        <f>IF('User Input'!$D$209&lt;&gt;0,'User Input'!$D$299,0)</f>
        <v>Other Benefits</v>
      </c>
      <c r="D133" s="349">
        <f t="shared" si="37"/>
        <v>0</v>
      </c>
      <c r="E133" s="350">
        <f>IF($C$133=0,0,'User Input'!G$303*E$28*'User Input'!$F$303)</f>
        <v>0</v>
      </c>
      <c r="F133" s="350">
        <f>IF($C$133=0,0,'User Input'!H$303*F$28*'User Input'!$F$303)</f>
        <v>0</v>
      </c>
      <c r="G133" s="350">
        <f>IF($C$133=0,0,'User Input'!I$303*G$28*'User Input'!$F$303)</f>
        <v>0</v>
      </c>
      <c r="H133" s="350">
        <f>IF($C$133=0,0,'User Input'!J$303*H$28*'User Input'!$F$303)</f>
        <v>0</v>
      </c>
      <c r="I133" s="350">
        <f>IF($C$133=0,0,'User Input'!K$303*I$28*'User Input'!$F$303)</f>
        <v>0</v>
      </c>
      <c r="J133" s="350">
        <f>IF($C$133=0,0,'User Input'!L$303*J$28*'User Input'!$F$303)</f>
        <v>0</v>
      </c>
      <c r="K133" s="350">
        <f>IF($C$133=0,0,'User Input'!M$303*K$28*'User Input'!$F$303)</f>
        <v>0</v>
      </c>
      <c r="L133" s="350">
        <f>IF($C$133=0,0,'User Input'!N$303*L$28*'User Input'!$F$303)</f>
        <v>0</v>
      </c>
      <c r="M133" s="350">
        <f>IF($C$133=0,0,'User Input'!O$303*M$28*'User Input'!$F$303)</f>
        <v>0</v>
      </c>
      <c r="N133" s="350">
        <f>IF($C$133=0,0,'User Input'!P$303*N$28*'User Input'!$F$303)</f>
        <v>0</v>
      </c>
      <c r="O133" s="350">
        <f>IF($C$133=0,0,'User Input'!Q$303*O$28*'User Input'!$F$303)</f>
        <v>0</v>
      </c>
      <c r="P133" s="350">
        <f>IF($C$133=0,0,'User Input'!R$303*P$28*'User Input'!$F$303)</f>
        <v>0</v>
      </c>
      <c r="Q133" s="350">
        <f>IF($C$133=0,0,'User Input'!S$303*Q$28*'User Input'!$F$303)</f>
        <v>0</v>
      </c>
      <c r="R133" s="350">
        <f>IF($C$133=0,0,'User Input'!T$303*R$28*'User Input'!$F$303)</f>
        <v>0</v>
      </c>
      <c r="S133" s="350">
        <f>IF($C$133=0,0,'User Input'!U$303*S$28*'User Input'!$F$303)</f>
        <v>0</v>
      </c>
      <c r="T133" s="350">
        <f>IF($C$133=0,0,'User Input'!V$303*T$28*'User Input'!$F$303)</f>
        <v>0</v>
      </c>
      <c r="U133" s="350">
        <f>IF($C$133=0,0,'User Input'!W$303*U$28*'User Input'!$F$303)</f>
        <v>0</v>
      </c>
      <c r="V133" s="350">
        <f>IF($C$133=0,0,'User Input'!X$303*V$28*'User Input'!$F$303)</f>
        <v>0</v>
      </c>
      <c r="W133" s="350">
        <f>IF($C$133=0,0,'User Input'!Y$303*W$28*'User Input'!$F$303)</f>
        <v>0</v>
      </c>
      <c r="X133" s="350">
        <f>IF($C$133=0,0,'User Input'!Z$303*X$28*'User Input'!$F$303)</f>
        <v>0</v>
      </c>
      <c r="Y133" s="348"/>
    </row>
    <row r="134" spans="2:25" s="229" customFormat="1" x14ac:dyDescent="0.2">
      <c r="B134" s="345"/>
      <c r="C134" s="234" t="s">
        <v>173</v>
      </c>
      <c r="D134" s="246">
        <f t="shared" ref="D134:X134" si="38">SUM(D123:D133)</f>
        <v>0</v>
      </c>
      <c r="E134" s="246">
        <f t="shared" si="38"/>
        <v>0</v>
      </c>
      <c r="F134" s="246">
        <f t="shared" si="38"/>
        <v>0</v>
      </c>
      <c r="G134" s="246">
        <f t="shared" si="38"/>
        <v>0</v>
      </c>
      <c r="H134" s="246">
        <f t="shared" si="38"/>
        <v>0</v>
      </c>
      <c r="I134" s="246">
        <f t="shared" si="38"/>
        <v>0</v>
      </c>
      <c r="J134" s="246">
        <f t="shared" si="38"/>
        <v>0</v>
      </c>
      <c r="K134" s="246">
        <f t="shared" si="38"/>
        <v>0</v>
      </c>
      <c r="L134" s="246">
        <f t="shared" si="38"/>
        <v>0</v>
      </c>
      <c r="M134" s="246">
        <f t="shared" si="38"/>
        <v>0</v>
      </c>
      <c r="N134" s="246">
        <f t="shared" si="38"/>
        <v>0</v>
      </c>
      <c r="O134" s="246">
        <f t="shared" si="38"/>
        <v>0</v>
      </c>
      <c r="P134" s="246">
        <f t="shared" si="38"/>
        <v>0</v>
      </c>
      <c r="Q134" s="246">
        <f t="shared" si="38"/>
        <v>0</v>
      </c>
      <c r="R134" s="246">
        <f t="shared" si="38"/>
        <v>0</v>
      </c>
      <c r="S134" s="246">
        <f t="shared" si="38"/>
        <v>0</v>
      </c>
      <c r="T134" s="246">
        <f t="shared" si="38"/>
        <v>0</v>
      </c>
      <c r="U134" s="246">
        <f t="shared" si="38"/>
        <v>0</v>
      </c>
      <c r="V134" s="246">
        <f t="shared" si="38"/>
        <v>0</v>
      </c>
      <c r="W134" s="246">
        <f t="shared" si="38"/>
        <v>0</v>
      </c>
      <c r="X134" s="246">
        <f t="shared" si="38"/>
        <v>0</v>
      </c>
      <c r="Y134" s="232"/>
    </row>
    <row r="135" spans="2:25" s="229" customFormat="1" x14ac:dyDescent="0.2">
      <c r="B135" s="231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32"/>
    </row>
    <row r="136" spans="2:25" s="158" customFormat="1" x14ac:dyDescent="0.2">
      <c r="B136" s="169"/>
      <c r="C136" s="170" t="s">
        <v>116</v>
      </c>
      <c r="D136" s="252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173"/>
    </row>
    <row r="137" spans="2:25" s="158" customFormat="1" x14ac:dyDescent="0.2">
      <c r="B137" s="169"/>
      <c r="C137" s="236" t="str">
        <f>$C$47</f>
        <v>Annualised Cost - capex (2019)</v>
      </c>
      <c r="D137" s="247">
        <f t="shared" ref="D137:D144" si="39">SUM(E137:X137)</f>
        <v>0</v>
      </c>
      <c r="E137" s="244">
        <f>IF(E332&gt;0,E334,0)</f>
        <v>0</v>
      </c>
      <c r="F137" s="244">
        <f t="shared" ref="F137:X137" si="40">IF(F332&gt;0,F334,0)</f>
        <v>0</v>
      </c>
      <c r="G137" s="244">
        <f t="shared" si="40"/>
        <v>0</v>
      </c>
      <c r="H137" s="244">
        <f t="shared" si="40"/>
        <v>0</v>
      </c>
      <c r="I137" s="244">
        <f t="shared" si="40"/>
        <v>0</v>
      </c>
      <c r="J137" s="244">
        <f t="shared" si="40"/>
        <v>0</v>
      </c>
      <c r="K137" s="244">
        <f t="shared" si="40"/>
        <v>0</v>
      </c>
      <c r="L137" s="244">
        <f t="shared" si="40"/>
        <v>0</v>
      </c>
      <c r="M137" s="244">
        <f t="shared" si="40"/>
        <v>0</v>
      </c>
      <c r="N137" s="244">
        <f t="shared" si="40"/>
        <v>0</v>
      </c>
      <c r="O137" s="244">
        <f t="shared" si="40"/>
        <v>0</v>
      </c>
      <c r="P137" s="244">
        <f t="shared" si="40"/>
        <v>0</v>
      </c>
      <c r="Q137" s="244">
        <f t="shared" si="40"/>
        <v>0</v>
      </c>
      <c r="R137" s="244">
        <f t="shared" si="40"/>
        <v>0</v>
      </c>
      <c r="S137" s="244">
        <f t="shared" si="40"/>
        <v>0</v>
      </c>
      <c r="T137" s="244">
        <f t="shared" si="40"/>
        <v>0</v>
      </c>
      <c r="U137" s="244">
        <f t="shared" si="40"/>
        <v>0</v>
      </c>
      <c r="V137" s="244">
        <f t="shared" si="40"/>
        <v>0</v>
      </c>
      <c r="W137" s="244">
        <f t="shared" si="40"/>
        <v>0</v>
      </c>
      <c r="X137" s="244">
        <f t="shared" si="40"/>
        <v>0</v>
      </c>
      <c r="Y137" s="173"/>
    </row>
    <row r="138" spans="2:25" s="158" customFormat="1" x14ac:dyDescent="0.2">
      <c r="B138" s="169"/>
      <c r="C138" s="236" t="str">
        <f>$C$48</f>
        <v>Annualised Cost - capex (2020)</v>
      </c>
      <c r="D138" s="247">
        <f t="shared" si="39"/>
        <v>0</v>
      </c>
      <c r="E138" s="260">
        <v>0</v>
      </c>
      <c r="F138" s="244">
        <f>IF(F339&gt;0,F341,0)</f>
        <v>0</v>
      </c>
      <c r="G138" s="244">
        <f t="shared" ref="G138:X138" si="41">IF(G339&gt;0,G341,0)</f>
        <v>0</v>
      </c>
      <c r="H138" s="244">
        <f t="shared" si="41"/>
        <v>0</v>
      </c>
      <c r="I138" s="244">
        <f t="shared" si="41"/>
        <v>0</v>
      </c>
      <c r="J138" s="244">
        <f t="shared" si="41"/>
        <v>0</v>
      </c>
      <c r="K138" s="244">
        <f t="shared" si="41"/>
        <v>0</v>
      </c>
      <c r="L138" s="244">
        <f t="shared" si="41"/>
        <v>0</v>
      </c>
      <c r="M138" s="244">
        <f t="shared" si="41"/>
        <v>0</v>
      </c>
      <c r="N138" s="244">
        <f t="shared" si="41"/>
        <v>0</v>
      </c>
      <c r="O138" s="244">
        <f t="shared" si="41"/>
        <v>0</v>
      </c>
      <c r="P138" s="244">
        <f t="shared" si="41"/>
        <v>0</v>
      </c>
      <c r="Q138" s="244">
        <f t="shared" si="41"/>
        <v>0</v>
      </c>
      <c r="R138" s="244">
        <f t="shared" si="41"/>
        <v>0</v>
      </c>
      <c r="S138" s="244">
        <f t="shared" si="41"/>
        <v>0</v>
      </c>
      <c r="T138" s="244">
        <f t="shared" si="41"/>
        <v>0</v>
      </c>
      <c r="U138" s="244">
        <f t="shared" si="41"/>
        <v>0</v>
      </c>
      <c r="V138" s="244">
        <f t="shared" si="41"/>
        <v>0</v>
      </c>
      <c r="W138" s="244">
        <f t="shared" si="41"/>
        <v>0</v>
      </c>
      <c r="X138" s="244">
        <f t="shared" si="41"/>
        <v>0</v>
      </c>
      <c r="Y138" s="173"/>
    </row>
    <row r="139" spans="2:25" s="158" customFormat="1" x14ac:dyDescent="0.2">
      <c r="B139" s="169"/>
      <c r="C139" s="236" t="str">
        <f>$C$49</f>
        <v>Annualised Cost - capex (2021)</v>
      </c>
      <c r="D139" s="247">
        <f t="shared" si="39"/>
        <v>0</v>
      </c>
      <c r="E139" s="260">
        <v>0</v>
      </c>
      <c r="F139" s="260">
        <v>0</v>
      </c>
      <c r="G139" s="244">
        <f>IF(G346&gt;0,G348,0)</f>
        <v>0</v>
      </c>
      <c r="H139" s="244">
        <f t="shared" ref="H139:X139" si="42">IF(H346&gt;0,H348,0)</f>
        <v>0</v>
      </c>
      <c r="I139" s="244">
        <f t="shared" si="42"/>
        <v>0</v>
      </c>
      <c r="J139" s="244">
        <f t="shared" si="42"/>
        <v>0</v>
      </c>
      <c r="K139" s="244">
        <f t="shared" si="42"/>
        <v>0</v>
      </c>
      <c r="L139" s="244">
        <f t="shared" si="42"/>
        <v>0</v>
      </c>
      <c r="M139" s="244">
        <f t="shared" si="42"/>
        <v>0</v>
      </c>
      <c r="N139" s="244">
        <f t="shared" si="42"/>
        <v>0</v>
      </c>
      <c r="O139" s="244">
        <f t="shared" si="42"/>
        <v>0</v>
      </c>
      <c r="P139" s="244">
        <f t="shared" si="42"/>
        <v>0</v>
      </c>
      <c r="Q139" s="244">
        <f t="shared" si="42"/>
        <v>0</v>
      </c>
      <c r="R139" s="244">
        <f t="shared" si="42"/>
        <v>0</v>
      </c>
      <c r="S139" s="244">
        <f t="shared" si="42"/>
        <v>0</v>
      </c>
      <c r="T139" s="244">
        <f t="shared" si="42"/>
        <v>0</v>
      </c>
      <c r="U139" s="244">
        <f t="shared" si="42"/>
        <v>0</v>
      </c>
      <c r="V139" s="244">
        <f t="shared" si="42"/>
        <v>0</v>
      </c>
      <c r="W139" s="244">
        <f t="shared" si="42"/>
        <v>0</v>
      </c>
      <c r="X139" s="244">
        <f t="shared" si="42"/>
        <v>0</v>
      </c>
      <c r="Y139" s="173"/>
    </row>
    <row r="140" spans="2:25" s="158" customFormat="1" x14ac:dyDescent="0.2">
      <c r="B140" s="169"/>
      <c r="C140" s="236" t="str">
        <f>$C$50</f>
        <v>Annualised Cost - capex (2022)</v>
      </c>
      <c r="D140" s="247">
        <f t="shared" si="39"/>
        <v>0</v>
      </c>
      <c r="E140" s="260">
        <v>0</v>
      </c>
      <c r="F140" s="260">
        <v>0</v>
      </c>
      <c r="G140" s="260">
        <v>0</v>
      </c>
      <c r="H140" s="244">
        <f>IF(H353&gt;0,H355,0)</f>
        <v>0</v>
      </c>
      <c r="I140" s="244">
        <f t="shared" ref="I140:X140" si="43">IF(I353&gt;0,I355,0)</f>
        <v>0</v>
      </c>
      <c r="J140" s="244">
        <f t="shared" si="43"/>
        <v>0</v>
      </c>
      <c r="K140" s="244">
        <f t="shared" si="43"/>
        <v>0</v>
      </c>
      <c r="L140" s="244">
        <f t="shared" si="43"/>
        <v>0</v>
      </c>
      <c r="M140" s="244">
        <f t="shared" si="43"/>
        <v>0</v>
      </c>
      <c r="N140" s="244">
        <f t="shared" si="43"/>
        <v>0</v>
      </c>
      <c r="O140" s="244">
        <f t="shared" si="43"/>
        <v>0</v>
      </c>
      <c r="P140" s="244">
        <f t="shared" si="43"/>
        <v>0</v>
      </c>
      <c r="Q140" s="244">
        <f t="shared" si="43"/>
        <v>0</v>
      </c>
      <c r="R140" s="244">
        <f t="shared" si="43"/>
        <v>0</v>
      </c>
      <c r="S140" s="244">
        <f t="shared" si="43"/>
        <v>0</v>
      </c>
      <c r="T140" s="244">
        <f t="shared" si="43"/>
        <v>0</v>
      </c>
      <c r="U140" s="244">
        <f t="shared" si="43"/>
        <v>0</v>
      </c>
      <c r="V140" s="244">
        <f t="shared" si="43"/>
        <v>0</v>
      </c>
      <c r="W140" s="244">
        <f t="shared" si="43"/>
        <v>0</v>
      </c>
      <c r="X140" s="244">
        <f t="shared" si="43"/>
        <v>0</v>
      </c>
      <c r="Y140" s="173"/>
    </row>
    <row r="141" spans="2:25" s="158" customFormat="1" x14ac:dyDescent="0.2">
      <c r="B141" s="169"/>
      <c r="C141" s="236" t="str">
        <f>$C$51</f>
        <v>Annualised Cost - capex (2023)</v>
      </c>
      <c r="D141" s="247">
        <f t="shared" si="39"/>
        <v>0</v>
      </c>
      <c r="E141" s="260">
        <v>0</v>
      </c>
      <c r="F141" s="260">
        <v>0</v>
      </c>
      <c r="G141" s="260">
        <v>0</v>
      </c>
      <c r="H141" s="260">
        <v>0</v>
      </c>
      <c r="I141" s="244">
        <f>IF(I360&gt;0,I362,0)</f>
        <v>0</v>
      </c>
      <c r="J141" s="244">
        <f t="shared" ref="J141:X141" si="44">IF(J360&gt;0,J362,0)</f>
        <v>0</v>
      </c>
      <c r="K141" s="244">
        <f t="shared" si="44"/>
        <v>0</v>
      </c>
      <c r="L141" s="244">
        <f t="shared" si="44"/>
        <v>0</v>
      </c>
      <c r="M141" s="244">
        <f t="shared" si="44"/>
        <v>0</v>
      </c>
      <c r="N141" s="244">
        <f t="shared" si="44"/>
        <v>0</v>
      </c>
      <c r="O141" s="244">
        <f t="shared" si="44"/>
        <v>0</v>
      </c>
      <c r="P141" s="244">
        <f t="shared" si="44"/>
        <v>0</v>
      </c>
      <c r="Q141" s="244">
        <f t="shared" si="44"/>
        <v>0</v>
      </c>
      <c r="R141" s="244">
        <f t="shared" si="44"/>
        <v>0</v>
      </c>
      <c r="S141" s="244">
        <f t="shared" si="44"/>
        <v>0</v>
      </c>
      <c r="T141" s="244">
        <f t="shared" si="44"/>
        <v>0</v>
      </c>
      <c r="U141" s="244">
        <f t="shared" si="44"/>
        <v>0</v>
      </c>
      <c r="V141" s="244">
        <f t="shared" si="44"/>
        <v>0</v>
      </c>
      <c r="W141" s="244">
        <f t="shared" si="44"/>
        <v>0</v>
      </c>
      <c r="X141" s="244">
        <f t="shared" si="44"/>
        <v>0</v>
      </c>
      <c r="Y141" s="173"/>
    </row>
    <row r="142" spans="2:25" s="158" customFormat="1" x14ac:dyDescent="0.2">
      <c r="B142" s="169"/>
      <c r="C142" s="235" t="str">
        <f>$C$52</f>
        <v>O&amp;M Costs</v>
      </c>
      <c r="D142" s="247">
        <f t="shared" si="39"/>
        <v>0</v>
      </c>
      <c r="E142" s="244">
        <f>'User Input'!G325*SUM('User Input'!$F18:F18)*E28</f>
        <v>0</v>
      </c>
      <c r="F142" s="244">
        <f>'User Input'!H325*SUM('User Input'!$F18:G18)*F28</f>
        <v>0</v>
      </c>
      <c r="G142" s="244">
        <f>'User Input'!I325*SUM('User Input'!$F18:H18)*G28</f>
        <v>0</v>
      </c>
      <c r="H142" s="244">
        <f>'User Input'!J325*SUM('User Input'!$F18:I18)*H28</f>
        <v>0</v>
      </c>
      <c r="I142" s="244">
        <f>'User Input'!K325*SUM('User Input'!$F18:J18)*I28</f>
        <v>0</v>
      </c>
      <c r="J142" s="244">
        <f>'User Input'!L325*SUM('User Input'!$F18:K18)*J28</f>
        <v>0</v>
      </c>
      <c r="K142" s="244">
        <f>'User Input'!M325*SUM('User Input'!$F18:L18)*K28</f>
        <v>0</v>
      </c>
      <c r="L142" s="244">
        <f>'User Input'!N325*SUM('User Input'!$F18:M18)*L28</f>
        <v>0</v>
      </c>
      <c r="M142" s="244">
        <f>'User Input'!O325*SUM('User Input'!$F18:N18)*M28</f>
        <v>0</v>
      </c>
      <c r="N142" s="244">
        <f>'User Input'!P325*SUM('User Input'!$F18:O18)*N28</f>
        <v>0</v>
      </c>
      <c r="O142" s="244">
        <f>'User Input'!Q325*SUM('User Input'!$F18:P18)*O28</f>
        <v>0</v>
      </c>
      <c r="P142" s="244">
        <f>'User Input'!R325*SUM('User Input'!$F18:Q18)*P28</f>
        <v>0</v>
      </c>
      <c r="Q142" s="244">
        <f>'User Input'!S325*SUM('User Input'!$F18:R18)*Q28</f>
        <v>0</v>
      </c>
      <c r="R142" s="244">
        <f>'User Input'!T325*SUM('User Input'!$F18:S18)*R28</f>
        <v>0</v>
      </c>
      <c r="S142" s="244">
        <f>'User Input'!U325*SUM('User Input'!$F18:T18)*S28</f>
        <v>0</v>
      </c>
      <c r="T142" s="244">
        <f>'User Input'!V325*SUM('User Input'!$F18:U18)*T28</f>
        <v>0</v>
      </c>
      <c r="U142" s="244">
        <f>'User Input'!W325*SUM('User Input'!$F18:V18)*U28</f>
        <v>0</v>
      </c>
      <c r="V142" s="244">
        <f>'User Input'!X325*SUM('User Input'!$F18:W18)*V28</f>
        <v>0</v>
      </c>
      <c r="W142" s="244">
        <f>'User Input'!Y325*SUM('User Input'!$F18:X18)*W28</f>
        <v>0</v>
      </c>
      <c r="X142" s="244">
        <f>'User Input'!Z325*SUM('User Input'!$F18:Y18)*X28</f>
        <v>0</v>
      </c>
      <c r="Y142" s="173"/>
    </row>
    <row r="143" spans="2:25" s="158" customFormat="1" x14ac:dyDescent="0.2">
      <c r="B143" s="169"/>
      <c r="C143" s="235" t="str">
        <f>$C$53</f>
        <v>Compliance and Admin Costs</v>
      </c>
      <c r="D143" s="247">
        <f t="shared" si="39"/>
        <v>0</v>
      </c>
      <c r="E143" s="244">
        <f>'User Input'!G333*E28</f>
        <v>0</v>
      </c>
      <c r="F143" s="244">
        <f>'User Input'!H333*F28</f>
        <v>0</v>
      </c>
      <c r="G143" s="244">
        <f>'User Input'!I333*G28</f>
        <v>0</v>
      </c>
      <c r="H143" s="244">
        <f>'User Input'!J333*H28</f>
        <v>0</v>
      </c>
      <c r="I143" s="244">
        <f>'User Input'!K333*I28</f>
        <v>0</v>
      </c>
      <c r="J143" s="244">
        <f>'User Input'!L333*J28</f>
        <v>0</v>
      </c>
      <c r="K143" s="244">
        <f>'User Input'!M333*K28</f>
        <v>0</v>
      </c>
      <c r="L143" s="244">
        <f>'User Input'!N333*L28</f>
        <v>0</v>
      </c>
      <c r="M143" s="244">
        <f>'User Input'!O333*M28</f>
        <v>0</v>
      </c>
      <c r="N143" s="244">
        <f>'User Input'!P333*N28</f>
        <v>0</v>
      </c>
      <c r="O143" s="244">
        <f>'User Input'!Q333*O28</f>
        <v>0</v>
      </c>
      <c r="P143" s="244">
        <f>'User Input'!R333*P28</f>
        <v>0</v>
      </c>
      <c r="Q143" s="244">
        <f>'User Input'!S333*Q28</f>
        <v>0</v>
      </c>
      <c r="R143" s="244">
        <f>'User Input'!T333*R28</f>
        <v>0</v>
      </c>
      <c r="S143" s="244">
        <f>'User Input'!U333*S28</f>
        <v>0</v>
      </c>
      <c r="T143" s="244">
        <f>'User Input'!V333*T28</f>
        <v>0</v>
      </c>
      <c r="U143" s="244">
        <f>'User Input'!W333*U28</f>
        <v>0</v>
      </c>
      <c r="V143" s="244">
        <f>'User Input'!X333*V28</f>
        <v>0</v>
      </c>
      <c r="W143" s="244">
        <f>'User Input'!Y333*W28</f>
        <v>0</v>
      </c>
      <c r="X143" s="244">
        <f>'User Input'!Z333*X28</f>
        <v>0</v>
      </c>
      <c r="Y143" s="173"/>
    </row>
    <row r="144" spans="2:25" s="344" customFormat="1" x14ac:dyDescent="0.2">
      <c r="B144" s="345"/>
      <c r="C144" s="346" t="str">
        <f>'User Input'!$D$337</f>
        <v>Other Costs</v>
      </c>
      <c r="D144" s="349">
        <f t="shared" si="39"/>
        <v>0</v>
      </c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48"/>
    </row>
    <row r="145" spans="2:25" s="230" customFormat="1" x14ac:dyDescent="0.2">
      <c r="B145" s="231"/>
      <c r="C145" s="234" t="s">
        <v>2</v>
      </c>
      <c r="D145" s="244">
        <f t="shared" ref="D145:X145" si="45">SUM(D137:D144)</f>
        <v>0</v>
      </c>
      <c r="E145" s="244">
        <f t="shared" si="45"/>
        <v>0</v>
      </c>
      <c r="F145" s="244">
        <f t="shared" si="45"/>
        <v>0</v>
      </c>
      <c r="G145" s="244">
        <f t="shared" si="45"/>
        <v>0</v>
      </c>
      <c r="H145" s="244">
        <f t="shared" si="45"/>
        <v>0</v>
      </c>
      <c r="I145" s="244">
        <f t="shared" si="45"/>
        <v>0</v>
      </c>
      <c r="J145" s="244">
        <f t="shared" si="45"/>
        <v>0</v>
      </c>
      <c r="K145" s="244">
        <f t="shared" si="45"/>
        <v>0</v>
      </c>
      <c r="L145" s="244">
        <f t="shared" si="45"/>
        <v>0</v>
      </c>
      <c r="M145" s="244">
        <f t="shared" si="45"/>
        <v>0</v>
      </c>
      <c r="N145" s="244">
        <f t="shared" si="45"/>
        <v>0</v>
      </c>
      <c r="O145" s="244">
        <f t="shared" si="45"/>
        <v>0</v>
      </c>
      <c r="P145" s="244">
        <f t="shared" si="45"/>
        <v>0</v>
      </c>
      <c r="Q145" s="244">
        <f t="shared" si="45"/>
        <v>0</v>
      </c>
      <c r="R145" s="244">
        <f t="shared" si="45"/>
        <v>0</v>
      </c>
      <c r="S145" s="244">
        <f t="shared" si="45"/>
        <v>0</v>
      </c>
      <c r="T145" s="244">
        <f t="shared" si="45"/>
        <v>0</v>
      </c>
      <c r="U145" s="244">
        <f t="shared" si="45"/>
        <v>0</v>
      </c>
      <c r="V145" s="244">
        <f t="shared" si="45"/>
        <v>0</v>
      </c>
      <c r="W145" s="244">
        <f t="shared" si="45"/>
        <v>0</v>
      </c>
      <c r="X145" s="244">
        <f t="shared" si="45"/>
        <v>0</v>
      </c>
      <c r="Y145" s="232"/>
    </row>
    <row r="146" spans="2:25" s="230" customFormat="1" x14ac:dyDescent="0.2">
      <c r="B146" s="231"/>
      <c r="C146" s="233"/>
      <c r="D146" s="248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32"/>
    </row>
    <row r="147" spans="2:25" s="158" customFormat="1" ht="13.5" thickBot="1" x14ac:dyDescent="0.25">
      <c r="B147" s="169"/>
      <c r="C147" s="170" t="s">
        <v>162</v>
      </c>
      <c r="D147" s="249">
        <f t="shared" ref="D147:X147" si="46">D134-D145</f>
        <v>0</v>
      </c>
      <c r="E147" s="250">
        <f t="shared" si="46"/>
        <v>0</v>
      </c>
      <c r="F147" s="250">
        <f t="shared" si="46"/>
        <v>0</v>
      </c>
      <c r="G147" s="250">
        <f t="shared" si="46"/>
        <v>0</v>
      </c>
      <c r="H147" s="250">
        <f t="shared" si="46"/>
        <v>0</v>
      </c>
      <c r="I147" s="250">
        <f t="shared" si="46"/>
        <v>0</v>
      </c>
      <c r="J147" s="250">
        <f t="shared" si="46"/>
        <v>0</v>
      </c>
      <c r="K147" s="250">
        <f t="shared" si="46"/>
        <v>0</v>
      </c>
      <c r="L147" s="250">
        <f t="shared" si="46"/>
        <v>0</v>
      </c>
      <c r="M147" s="250">
        <f t="shared" si="46"/>
        <v>0</v>
      </c>
      <c r="N147" s="250">
        <f t="shared" si="46"/>
        <v>0</v>
      </c>
      <c r="O147" s="250">
        <f t="shared" si="46"/>
        <v>0</v>
      </c>
      <c r="P147" s="250">
        <f t="shared" si="46"/>
        <v>0</v>
      </c>
      <c r="Q147" s="250">
        <f t="shared" si="46"/>
        <v>0</v>
      </c>
      <c r="R147" s="250">
        <f t="shared" si="46"/>
        <v>0</v>
      </c>
      <c r="S147" s="250">
        <f t="shared" si="46"/>
        <v>0</v>
      </c>
      <c r="T147" s="250">
        <f t="shared" si="46"/>
        <v>0</v>
      </c>
      <c r="U147" s="250">
        <f t="shared" si="46"/>
        <v>0</v>
      </c>
      <c r="V147" s="250">
        <f t="shared" si="46"/>
        <v>0</v>
      </c>
      <c r="W147" s="250">
        <f t="shared" si="46"/>
        <v>0</v>
      </c>
      <c r="X147" s="250">
        <f t="shared" si="46"/>
        <v>0</v>
      </c>
      <c r="Y147" s="173"/>
    </row>
    <row r="148" spans="2:25" s="158" customFormat="1" ht="13.5" thickBot="1" x14ac:dyDescent="0.25">
      <c r="B148" s="169"/>
      <c r="C148" s="174" t="s">
        <v>163</v>
      </c>
      <c r="D148" s="251">
        <f>SUM(E148:X148)</f>
        <v>0</v>
      </c>
      <c r="E148" s="250">
        <f t="shared" ref="E148:X148" si="47">E147/(1+$D$19)^E$25</f>
        <v>0</v>
      </c>
      <c r="F148" s="250">
        <f t="shared" si="47"/>
        <v>0</v>
      </c>
      <c r="G148" s="250">
        <f t="shared" si="47"/>
        <v>0</v>
      </c>
      <c r="H148" s="250">
        <f t="shared" si="47"/>
        <v>0</v>
      </c>
      <c r="I148" s="250">
        <f t="shared" si="47"/>
        <v>0</v>
      </c>
      <c r="J148" s="250">
        <f t="shared" si="47"/>
        <v>0</v>
      </c>
      <c r="K148" s="250">
        <f t="shared" si="47"/>
        <v>0</v>
      </c>
      <c r="L148" s="250">
        <f t="shared" si="47"/>
        <v>0</v>
      </c>
      <c r="M148" s="250">
        <f t="shared" si="47"/>
        <v>0</v>
      </c>
      <c r="N148" s="250">
        <f t="shared" si="47"/>
        <v>0</v>
      </c>
      <c r="O148" s="250">
        <f t="shared" si="47"/>
        <v>0</v>
      </c>
      <c r="P148" s="250">
        <f t="shared" si="47"/>
        <v>0</v>
      </c>
      <c r="Q148" s="250">
        <f t="shared" si="47"/>
        <v>0</v>
      </c>
      <c r="R148" s="250">
        <f t="shared" si="47"/>
        <v>0</v>
      </c>
      <c r="S148" s="250">
        <f t="shared" si="47"/>
        <v>0</v>
      </c>
      <c r="T148" s="250">
        <f t="shared" si="47"/>
        <v>0</v>
      </c>
      <c r="U148" s="250">
        <f t="shared" si="47"/>
        <v>0</v>
      </c>
      <c r="V148" s="250">
        <f t="shared" si="47"/>
        <v>0</v>
      </c>
      <c r="W148" s="250">
        <f t="shared" si="47"/>
        <v>0</v>
      </c>
      <c r="X148" s="250">
        <f t="shared" si="47"/>
        <v>0</v>
      </c>
      <c r="Y148" s="173"/>
    </row>
    <row r="149" spans="2:25" s="158" customFormat="1" x14ac:dyDescent="0.2">
      <c r="B149" s="169"/>
      <c r="C149" s="17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173"/>
    </row>
    <row r="150" spans="2:25" s="158" customFormat="1" x14ac:dyDescent="0.2">
      <c r="B150" s="392" t="str">
        <f>Calculations!B108</f>
        <v xml:space="preserve">Option 4: </v>
      </c>
      <c r="C150" s="395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6"/>
    </row>
    <row r="151" spans="2:25" s="158" customFormat="1" x14ac:dyDescent="0.2">
      <c r="B151" s="169"/>
      <c r="C151" s="17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173"/>
    </row>
    <row r="152" spans="2:25" s="230" customFormat="1" x14ac:dyDescent="0.2">
      <c r="B152" s="231"/>
      <c r="C152" s="229" t="s">
        <v>118</v>
      </c>
      <c r="D152" s="250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32"/>
    </row>
    <row r="153" spans="2:25" s="229" customFormat="1" x14ac:dyDescent="0.2">
      <c r="B153" s="231"/>
      <c r="C153" s="346" t="str">
        <f>'User Input'!$D$214</f>
        <v>Value of Electricity to Customers (VCR)</v>
      </c>
      <c r="D153" s="243">
        <f>SUM(E153:X153)</f>
        <v>0</v>
      </c>
      <c r="E153" s="244">
        <f>'User Input'!G219*'Administrator Input'!$F$60*E$28*'User Input'!$F$219</f>
        <v>0</v>
      </c>
      <c r="F153" s="244">
        <f>'User Input'!H219*'Administrator Input'!$F$60*F$28*'User Input'!$F$219</f>
        <v>0</v>
      </c>
      <c r="G153" s="244">
        <f>'User Input'!I219*'Administrator Input'!$F$60*G$28*'User Input'!$F$219</f>
        <v>0</v>
      </c>
      <c r="H153" s="244">
        <f>'User Input'!J219*'Administrator Input'!$F$60*H$28*'User Input'!$F$219</f>
        <v>0</v>
      </c>
      <c r="I153" s="244">
        <f>'User Input'!K219*'Administrator Input'!$F$60*I$28*'User Input'!$F$219</f>
        <v>0</v>
      </c>
      <c r="J153" s="244">
        <f>'User Input'!L219*'Administrator Input'!$F$60*J$28*'User Input'!$F$219</f>
        <v>0</v>
      </c>
      <c r="K153" s="244">
        <f>'User Input'!M219*'Administrator Input'!$F$60*K$28*'User Input'!$F$219</f>
        <v>0</v>
      </c>
      <c r="L153" s="244">
        <f>'User Input'!N219*'Administrator Input'!$F$60*L$28*'User Input'!$F$219</f>
        <v>0</v>
      </c>
      <c r="M153" s="244">
        <f>'User Input'!O219*'Administrator Input'!$F$60*M$28*'User Input'!$F$219</f>
        <v>0</v>
      </c>
      <c r="N153" s="244">
        <f>'User Input'!P219*'Administrator Input'!$F$60*N$28*'User Input'!$F$219</f>
        <v>0</v>
      </c>
      <c r="O153" s="244">
        <f>'User Input'!Q219*'Administrator Input'!$F$60*O$28*'User Input'!$F$219</f>
        <v>0</v>
      </c>
      <c r="P153" s="244">
        <f>'User Input'!R219*'Administrator Input'!$F$60*P$28*'User Input'!$F$219</f>
        <v>0</v>
      </c>
      <c r="Q153" s="244">
        <f>'User Input'!S219*'Administrator Input'!$F$60*Q$28*'User Input'!$F$219</f>
        <v>0</v>
      </c>
      <c r="R153" s="244">
        <f>'User Input'!T219*'Administrator Input'!$F$60*R$28*'User Input'!$F$219</f>
        <v>0</v>
      </c>
      <c r="S153" s="244">
        <f>'User Input'!U219*'Administrator Input'!$F$60*S$28*'User Input'!$F$219</f>
        <v>0</v>
      </c>
      <c r="T153" s="244">
        <f>'User Input'!V219*'Administrator Input'!$F$60*T$28*'User Input'!$F$219</f>
        <v>0</v>
      </c>
      <c r="U153" s="244">
        <f>'User Input'!W219*'Administrator Input'!$F$60*U$28*'User Input'!$F$219</f>
        <v>0</v>
      </c>
      <c r="V153" s="244">
        <f>'User Input'!X219*'Administrator Input'!$F$60*V$28*'User Input'!$F$219</f>
        <v>0</v>
      </c>
      <c r="W153" s="244">
        <f>'User Input'!Y219*'Administrator Input'!$F$60*W$28*'User Input'!$F$219</f>
        <v>0</v>
      </c>
      <c r="X153" s="244">
        <f>'User Input'!Z219*'Administrator Input'!$F$60*X$28*'User Input'!$F$219</f>
        <v>0</v>
      </c>
      <c r="Y153" s="232"/>
    </row>
    <row r="154" spans="2:25" s="230" customFormat="1" x14ac:dyDescent="0.2">
      <c r="B154" s="231"/>
      <c r="C154" s="235" t="str">
        <f>'User Input'!$D$222</f>
        <v>Changes in Voluntary Load Curtailment</v>
      </c>
      <c r="D154" s="245">
        <f t="shared" ref="D154:D163" si="48">SUM(E154:X154)</f>
        <v>0</v>
      </c>
      <c r="E154" s="350">
        <f>('User Input'!G$227*'Administrator Input'!$F$59*E$28)/1000*'User Input'!$F$227</f>
        <v>0</v>
      </c>
      <c r="F154" s="350">
        <f>('User Input'!H$227*'Administrator Input'!$F$59*F$28)/1000*'User Input'!$F$227</f>
        <v>0</v>
      </c>
      <c r="G154" s="350">
        <f>('User Input'!I$227*'Administrator Input'!$F$59*G$28)/1000*'User Input'!$F$227</f>
        <v>0</v>
      </c>
      <c r="H154" s="350">
        <f>('User Input'!J$227*'Administrator Input'!$F$59*H$28)/1000*'User Input'!$F$227</f>
        <v>0</v>
      </c>
      <c r="I154" s="350">
        <f>('User Input'!K$227*'Administrator Input'!$F$59*I$28)/1000*'User Input'!$F$227</f>
        <v>0</v>
      </c>
      <c r="J154" s="350">
        <f>('User Input'!L$227*'Administrator Input'!$F$59*J$28)/1000*'User Input'!$F$227</f>
        <v>0</v>
      </c>
      <c r="K154" s="350">
        <f>('User Input'!M$227*'Administrator Input'!$F$59*K$28)/1000*'User Input'!$F$227</f>
        <v>0</v>
      </c>
      <c r="L154" s="350">
        <f>('User Input'!N$227*'Administrator Input'!$F$59*L$28)/1000*'User Input'!$F$227</f>
        <v>0</v>
      </c>
      <c r="M154" s="350">
        <f>('User Input'!O$227*'Administrator Input'!$F$59*M$28)/1000*'User Input'!$F$227</f>
        <v>0</v>
      </c>
      <c r="N154" s="350">
        <f>('User Input'!P$227*'Administrator Input'!$F$59*N$28)/1000*'User Input'!$F$227</f>
        <v>0</v>
      </c>
      <c r="O154" s="350">
        <f>('User Input'!Q$227*'Administrator Input'!$F$59*O$28)/1000*'User Input'!$F$227</f>
        <v>0</v>
      </c>
      <c r="P154" s="350">
        <f>('User Input'!R$227*'Administrator Input'!$F$59*P$28)/1000*'User Input'!$F$227</f>
        <v>0</v>
      </c>
      <c r="Q154" s="350">
        <f>('User Input'!S$227*'Administrator Input'!$F$59*Q$28)/1000*'User Input'!$F$227</f>
        <v>0</v>
      </c>
      <c r="R154" s="350">
        <f>('User Input'!T$227*'Administrator Input'!$F$59*R$28)/1000*'User Input'!$F$227</f>
        <v>0</v>
      </c>
      <c r="S154" s="350">
        <f>('User Input'!U$227*'Administrator Input'!$F$59*S$28)/1000*'User Input'!$F$227</f>
        <v>0</v>
      </c>
      <c r="T154" s="350">
        <f>('User Input'!V$227*'Administrator Input'!$F$59*T$28)/1000*'User Input'!$F$227</f>
        <v>0</v>
      </c>
      <c r="U154" s="350">
        <f>('User Input'!W$227*'Administrator Input'!$F$59*U$28)/1000*'User Input'!$F$227</f>
        <v>0</v>
      </c>
      <c r="V154" s="350">
        <f>('User Input'!X$227*'Administrator Input'!$F$59*V$28)/1000*'User Input'!$F$227</f>
        <v>0</v>
      </c>
      <c r="W154" s="350">
        <f>('User Input'!Y$227*'Administrator Input'!$F$59*W$28)/1000*'User Input'!$F$227</f>
        <v>0</v>
      </c>
      <c r="X154" s="350">
        <f>('User Input'!Z$227*'Administrator Input'!$F$59*X$28)/1000*'User Input'!$F$227</f>
        <v>0</v>
      </c>
      <c r="Y154" s="232"/>
    </row>
    <row r="155" spans="2:25" s="344" customFormat="1" x14ac:dyDescent="0.2">
      <c r="B155" s="345"/>
      <c r="C155" s="346" t="str">
        <f>'User Input'!$D$230</f>
        <v>Changes in Costs to Other Parties</v>
      </c>
      <c r="D155" s="349">
        <f t="shared" si="48"/>
        <v>0</v>
      </c>
      <c r="E155" s="350">
        <f>'User Input'!G$235*E$28*'User Input'!$F$235</f>
        <v>0</v>
      </c>
      <c r="F155" s="350">
        <f>'User Input'!H$235*F$28*'User Input'!$F$235</f>
        <v>0</v>
      </c>
      <c r="G155" s="350">
        <f>'User Input'!I$235*G$28*'User Input'!$F$235</f>
        <v>0</v>
      </c>
      <c r="H155" s="350">
        <f>'User Input'!J$235*H$28*'User Input'!$F$235</f>
        <v>0</v>
      </c>
      <c r="I155" s="350">
        <f>'User Input'!K$235*I$28*'User Input'!$F$235</f>
        <v>0</v>
      </c>
      <c r="J155" s="350">
        <f>'User Input'!L$235*J$28*'User Input'!$F$235</f>
        <v>0</v>
      </c>
      <c r="K155" s="350">
        <f>'User Input'!M$235*K$28*'User Input'!$F$235</f>
        <v>0</v>
      </c>
      <c r="L155" s="350">
        <f>'User Input'!N$235*L$28*'User Input'!$F$235</f>
        <v>0</v>
      </c>
      <c r="M155" s="350">
        <f>'User Input'!O$235*M$28*'User Input'!$F$235</f>
        <v>0</v>
      </c>
      <c r="N155" s="350">
        <f>'User Input'!P$235*N$28*'User Input'!$F$235</f>
        <v>0</v>
      </c>
      <c r="O155" s="350">
        <f>'User Input'!Q$235*O$28*'User Input'!$F$235</f>
        <v>0</v>
      </c>
      <c r="P155" s="350">
        <f>'User Input'!R$235*P$28*'User Input'!$F$235</f>
        <v>0</v>
      </c>
      <c r="Q155" s="350">
        <f>'User Input'!S$235*Q$28*'User Input'!$F$235</f>
        <v>0</v>
      </c>
      <c r="R155" s="350">
        <f>'User Input'!T$235*R$28*'User Input'!$F$235</f>
        <v>0</v>
      </c>
      <c r="S155" s="350">
        <f>'User Input'!U$235*S$28*'User Input'!$F$235</f>
        <v>0</v>
      </c>
      <c r="T155" s="350">
        <f>'User Input'!V$235*T$28*'User Input'!$F$235</f>
        <v>0</v>
      </c>
      <c r="U155" s="350">
        <f>'User Input'!W$235*U$28*'User Input'!$F$235</f>
        <v>0</v>
      </c>
      <c r="V155" s="350">
        <f>'User Input'!X$235*V$28*'User Input'!$F$235</f>
        <v>0</v>
      </c>
      <c r="W155" s="350">
        <f>'User Input'!Y$235*W$28*'User Input'!$F$235</f>
        <v>0</v>
      </c>
      <c r="X155" s="350">
        <f>'User Input'!Z$235*X$28*'User Input'!$F$235</f>
        <v>0</v>
      </c>
      <c r="Y155" s="348"/>
    </row>
    <row r="156" spans="2:25" s="344" customFormat="1" x14ac:dyDescent="0.2">
      <c r="B156" s="345"/>
      <c r="C156" s="346" t="str">
        <f>'User Input'!$D$238</f>
        <v>Difference in Timing (capex)</v>
      </c>
      <c r="D156" s="349">
        <f t="shared" si="48"/>
        <v>0</v>
      </c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48"/>
    </row>
    <row r="157" spans="2:25" s="344" customFormat="1" x14ac:dyDescent="0.2">
      <c r="B157" s="345"/>
      <c r="C157" s="346" t="str">
        <f>'User Input'!$D$246</f>
        <v xml:space="preserve">Changes in Load Transfer Capacity </v>
      </c>
      <c r="D157" s="349">
        <f t="shared" si="48"/>
        <v>0</v>
      </c>
      <c r="E157" s="350">
        <f>('User Input'!G$251*'Administrator Input'!$F$61*E$28)/1000*'User Input'!$F$251</f>
        <v>0</v>
      </c>
      <c r="F157" s="350">
        <f>('User Input'!H$251*'Administrator Input'!$F$61*F$28)/1000*'User Input'!$F$251</f>
        <v>0</v>
      </c>
      <c r="G157" s="350">
        <f>('User Input'!I$251*'Administrator Input'!$F$61*G$28)/1000*'User Input'!$F$251</f>
        <v>0</v>
      </c>
      <c r="H157" s="350">
        <f>('User Input'!J$251*'Administrator Input'!$F$61*H$28)/1000*'User Input'!$F$251</f>
        <v>0</v>
      </c>
      <c r="I157" s="350">
        <f>('User Input'!K$251*'Administrator Input'!$F$61*I$28)/1000*'User Input'!$F$251</f>
        <v>0</v>
      </c>
      <c r="J157" s="350">
        <f>('User Input'!L$251*'Administrator Input'!$F$61*J$28)/1000*'User Input'!$F$251</f>
        <v>0</v>
      </c>
      <c r="K157" s="350">
        <f>('User Input'!M$251*'Administrator Input'!$F$61*K$28)/1000*'User Input'!$F$251</f>
        <v>0</v>
      </c>
      <c r="L157" s="350">
        <f>('User Input'!N$251*'Administrator Input'!$F$61*L$28)/1000*'User Input'!$F$251</f>
        <v>0</v>
      </c>
      <c r="M157" s="350">
        <f>('User Input'!O$251*'Administrator Input'!$F$61*M$28)/1000*'User Input'!$F$251</f>
        <v>0</v>
      </c>
      <c r="N157" s="350">
        <f>('User Input'!P$251*'Administrator Input'!$F$61*N$28)/1000*'User Input'!$F$251</f>
        <v>0</v>
      </c>
      <c r="O157" s="350">
        <f>('User Input'!Q$251*'Administrator Input'!$F$61*O$28)/1000*'User Input'!$F$251</f>
        <v>0</v>
      </c>
      <c r="P157" s="350">
        <f>('User Input'!R$251*'Administrator Input'!$F$61*P$28)/1000*'User Input'!$F$251</f>
        <v>0</v>
      </c>
      <c r="Q157" s="350">
        <f>('User Input'!S$251*'Administrator Input'!$F$61*Q$28)/1000*'User Input'!$F$251</f>
        <v>0</v>
      </c>
      <c r="R157" s="350">
        <f>('User Input'!T$251*'Administrator Input'!$F$61*R$28)/1000*'User Input'!$F$251</f>
        <v>0</v>
      </c>
      <c r="S157" s="350">
        <f>('User Input'!U$251*'Administrator Input'!$F$61*S$28)/1000*'User Input'!$F$251</f>
        <v>0</v>
      </c>
      <c r="T157" s="350">
        <f>('User Input'!V$251*'Administrator Input'!$F$61*T$28)/1000*'User Input'!$F$251</f>
        <v>0</v>
      </c>
      <c r="U157" s="350">
        <f>('User Input'!W$251*'Administrator Input'!$F$61*U$28)/1000*'User Input'!$F$251</f>
        <v>0</v>
      </c>
      <c r="V157" s="350">
        <f>('User Input'!X$251*'Administrator Input'!$F$61*V$28)/1000*'User Input'!$F$251</f>
        <v>0</v>
      </c>
      <c r="W157" s="350">
        <f>('User Input'!Y$251*'Administrator Input'!$F$61*W$28)/1000*'User Input'!$F$251</f>
        <v>0</v>
      </c>
      <c r="X157" s="350">
        <f>('User Input'!Z$251*'Administrator Input'!$F$61*X$28)/1000*'User Input'!$F$251</f>
        <v>0</v>
      </c>
      <c r="Y157" s="348"/>
    </row>
    <row r="158" spans="2:25" s="344" customFormat="1" x14ac:dyDescent="0.2">
      <c r="B158" s="345"/>
      <c r="C158" s="346" t="str">
        <f>'User Input'!$D$254</f>
        <v>Option Value</v>
      </c>
      <c r="D158" s="349">
        <f t="shared" si="48"/>
        <v>0</v>
      </c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48"/>
    </row>
    <row r="159" spans="2:25" s="229" customFormat="1" x14ac:dyDescent="0.2">
      <c r="B159" s="231"/>
      <c r="C159" s="346" t="str">
        <f>'User Input'!$D$262</f>
        <v>Avoided Network Losses</v>
      </c>
      <c r="D159" s="243">
        <f t="shared" si="48"/>
        <v>0</v>
      </c>
      <c r="E159" s="244">
        <f>('User Input'!G267*'Administrator Input'!$F$62*E$28)/1000*'User Input'!$F$267</f>
        <v>0</v>
      </c>
      <c r="F159" s="244">
        <f>('User Input'!H267*'Administrator Input'!$F$62*F$28)/1000*'User Input'!$F$267</f>
        <v>0</v>
      </c>
      <c r="G159" s="244">
        <f>('User Input'!I267*'Administrator Input'!$F$62*G$28)/1000*'User Input'!$F$267</f>
        <v>0</v>
      </c>
      <c r="H159" s="244">
        <f>('User Input'!J267*'Administrator Input'!$F$62*H$28)/1000*'User Input'!$F$267</f>
        <v>0</v>
      </c>
      <c r="I159" s="244">
        <f>('User Input'!K267*'Administrator Input'!$F$62*I$28)/1000*'User Input'!$F$267</f>
        <v>0</v>
      </c>
      <c r="J159" s="244">
        <f>('User Input'!L267*'Administrator Input'!$F$62*J$28)/1000*'User Input'!$F$267</f>
        <v>0</v>
      </c>
      <c r="K159" s="244">
        <f>('User Input'!M267*'Administrator Input'!$F$62*K$28)/1000*'User Input'!$F$267</f>
        <v>0</v>
      </c>
      <c r="L159" s="244">
        <f>('User Input'!N267*'Administrator Input'!$F$62*L$28)/1000*'User Input'!$F$267</f>
        <v>0</v>
      </c>
      <c r="M159" s="244">
        <f>('User Input'!O267*'Administrator Input'!$F$62*M$28)/1000*'User Input'!$F$267</f>
        <v>0</v>
      </c>
      <c r="N159" s="244">
        <f>('User Input'!P267*'Administrator Input'!$F$62*N$28)/1000*'User Input'!$F$267</f>
        <v>0</v>
      </c>
      <c r="O159" s="244">
        <f>('User Input'!Q267*'Administrator Input'!$F$62*O$28)/1000*'User Input'!$F$267</f>
        <v>0</v>
      </c>
      <c r="P159" s="244">
        <f>('User Input'!R267*'Administrator Input'!$F$62*P$28)/1000*'User Input'!$F$267</f>
        <v>0</v>
      </c>
      <c r="Q159" s="244">
        <f>('User Input'!S267*'Administrator Input'!$F$62*Q$28)/1000*'User Input'!$F$267</f>
        <v>0</v>
      </c>
      <c r="R159" s="244">
        <f>('User Input'!T267*'Administrator Input'!$F$62*R$28)/1000*'User Input'!$F$267</f>
        <v>0</v>
      </c>
      <c r="S159" s="244">
        <f>('User Input'!U267*'Administrator Input'!$F$62*S$28)/1000*'User Input'!$F$267</f>
        <v>0</v>
      </c>
      <c r="T159" s="244">
        <f>('User Input'!V267*'Administrator Input'!$F$62*T$28)/1000*'User Input'!$F$267</f>
        <v>0</v>
      </c>
      <c r="U159" s="244">
        <f>('User Input'!W267*'Administrator Input'!$F$62*U$28)/1000*'User Input'!$F$267</f>
        <v>0</v>
      </c>
      <c r="V159" s="244">
        <f>('User Input'!X267*'Administrator Input'!$F$62*V$28)/1000*'User Input'!$F$267</f>
        <v>0</v>
      </c>
      <c r="W159" s="244">
        <f>('User Input'!Y267*'Administrator Input'!$F$62*W$28)/1000*'User Input'!$F$267</f>
        <v>0</v>
      </c>
      <c r="X159" s="244">
        <f>('User Input'!Z267*'Administrator Input'!$F$62*X$28)/1000*'User Input'!$F$267</f>
        <v>0</v>
      </c>
      <c r="Y159" s="232"/>
    </row>
    <row r="160" spans="2:25" s="344" customFormat="1" x14ac:dyDescent="0.2">
      <c r="B160" s="345"/>
      <c r="C160" s="346" t="str">
        <f>'User Input'!$D$270</f>
        <v>Other Benefits</v>
      </c>
      <c r="D160" s="349">
        <f t="shared" si="48"/>
        <v>0</v>
      </c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48"/>
    </row>
    <row r="161" spans="2:25" s="347" customFormat="1" x14ac:dyDescent="0.2">
      <c r="B161" s="345"/>
      <c r="C161" s="352" t="str">
        <f>IF('User Input'!$D$209&lt;&gt;0,'User Input'!$D$283,0)</f>
        <v>Avoided Environmental Impact</v>
      </c>
      <c r="D161" s="349">
        <f t="shared" si="48"/>
        <v>0</v>
      </c>
      <c r="E161" s="350">
        <f>IF($C$161=0,0,'User Input'!G$288*E$28*'User Input'!$F$288)</f>
        <v>0</v>
      </c>
      <c r="F161" s="350">
        <f>IF($C$161=0,0,'User Input'!H$288*F$28*'User Input'!$F$288)</f>
        <v>0</v>
      </c>
      <c r="G161" s="350">
        <f>IF($C$161=0,0,'User Input'!I$288*G$28*'User Input'!$F$288)</f>
        <v>0</v>
      </c>
      <c r="H161" s="350">
        <f>IF($C$161=0,0,'User Input'!J$288*H$28*'User Input'!$F$288)</f>
        <v>0</v>
      </c>
      <c r="I161" s="350">
        <f>IF($C$161=0,0,'User Input'!K$288*I$28*'User Input'!$F$288)</f>
        <v>0</v>
      </c>
      <c r="J161" s="350">
        <f>IF($C$161=0,0,'User Input'!L$288*J$28*'User Input'!$F$288)</f>
        <v>0</v>
      </c>
      <c r="K161" s="350">
        <f>IF($C$161=0,0,'User Input'!M$288*K$28*'User Input'!$F$288)</f>
        <v>0</v>
      </c>
      <c r="L161" s="350">
        <f>IF($C$161=0,0,'User Input'!N$288*L$28*'User Input'!$F$288)</f>
        <v>0</v>
      </c>
      <c r="M161" s="350">
        <f>IF($C$161=0,0,'User Input'!O$288*M$28*'User Input'!$F$288)</f>
        <v>0</v>
      </c>
      <c r="N161" s="350">
        <f>IF($C$161=0,0,'User Input'!P$288*N$28*'User Input'!$F$288)</f>
        <v>0</v>
      </c>
      <c r="O161" s="350">
        <f>IF($C$161=0,0,'User Input'!Q$288*O$28*'User Input'!$F$288)</f>
        <v>0</v>
      </c>
      <c r="P161" s="350">
        <f>IF($C$161=0,0,'User Input'!R$288*P$28*'User Input'!$F$288)</f>
        <v>0</v>
      </c>
      <c r="Q161" s="350">
        <f>IF($C$161=0,0,'User Input'!S$288*Q$28*'User Input'!$F$288)</f>
        <v>0</v>
      </c>
      <c r="R161" s="350">
        <f>IF($C$161=0,0,'User Input'!T$288*R$28*'User Input'!$F$288)</f>
        <v>0</v>
      </c>
      <c r="S161" s="350">
        <f>IF($C$161=0,0,'User Input'!U$288*S$28*'User Input'!$F$288)</f>
        <v>0</v>
      </c>
      <c r="T161" s="350">
        <f>IF($C$161=0,0,'User Input'!V$288*T$28*'User Input'!$F$288)</f>
        <v>0</v>
      </c>
      <c r="U161" s="350">
        <f>IF($C$161=0,0,'User Input'!W$288*U$28*'User Input'!$F$288)</f>
        <v>0</v>
      </c>
      <c r="V161" s="350">
        <f>IF($C$161=0,0,'User Input'!X$288*V$28*'User Input'!$F$288)</f>
        <v>0</v>
      </c>
      <c r="W161" s="350">
        <f>IF($C$161=0,0,'User Input'!Y$288*W$28*'User Input'!$F$288)</f>
        <v>0</v>
      </c>
      <c r="X161" s="350">
        <f>IF($C$161=0,0,'User Input'!Z$288*X$28*'User Input'!$F$288)</f>
        <v>0</v>
      </c>
      <c r="Y161" s="348"/>
    </row>
    <row r="162" spans="2:25" s="347" customFormat="1" x14ac:dyDescent="0.2">
      <c r="B162" s="345"/>
      <c r="C162" s="352" t="str">
        <f>IF('User Input'!$D$209&lt;&gt;0,'User Input'!$D$291,0)</f>
        <v>Community Health and Safety</v>
      </c>
      <c r="D162" s="349">
        <f t="shared" si="48"/>
        <v>0</v>
      </c>
      <c r="E162" s="350">
        <f>IF($C$162=0,0,'User Input'!G$296*E$28*'User Input'!$F$296)</f>
        <v>0</v>
      </c>
      <c r="F162" s="350">
        <f>IF($C$162=0,0,'User Input'!H$296*F$28*'User Input'!$F$296)</f>
        <v>0</v>
      </c>
      <c r="G162" s="350">
        <f>IF($C$162=0,0,'User Input'!I$296*G$28*'User Input'!$F$296)</f>
        <v>0</v>
      </c>
      <c r="H162" s="350">
        <f>IF($C$162=0,0,'User Input'!J$296*H$28*'User Input'!$F$296)</f>
        <v>0</v>
      </c>
      <c r="I162" s="350">
        <f>IF($C$162=0,0,'User Input'!K$296*I$28*'User Input'!$F$296)</f>
        <v>0</v>
      </c>
      <c r="J162" s="350">
        <f>IF($C$162=0,0,'User Input'!L$296*J$28*'User Input'!$F$296)</f>
        <v>0</v>
      </c>
      <c r="K162" s="350">
        <f>IF($C$162=0,0,'User Input'!M$296*K$28*'User Input'!$F$296)</f>
        <v>0</v>
      </c>
      <c r="L162" s="350">
        <f>IF($C$162=0,0,'User Input'!N$296*L$28*'User Input'!$F$296)</f>
        <v>0</v>
      </c>
      <c r="M162" s="350">
        <f>IF($C$162=0,0,'User Input'!O$296*M$28*'User Input'!$F$296)</f>
        <v>0</v>
      </c>
      <c r="N162" s="350">
        <f>IF($C$162=0,0,'User Input'!P$296*N$28*'User Input'!$F$296)</f>
        <v>0</v>
      </c>
      <c r="O162" s="350">
        <f>IF($C$162=0,0,'User Input'!Q$296*O$28*'User Input'!$F$296)</f>
        <v>0</v>
      </c>
      <c r="P162" s="350">
        <f>IF($C$162=0,0,'User Input'!R$296*P$28*'User Input'!$F$296)</f>
        <v>0</v>
      </c>
      <c r="Q162" s="350">
        <f>IF($C$162=0,0,'User Input'!S$296*Q$28*'User Input'!$F$296)</f>
        <v>0</v>
      </c>
      <c r="R162" s="350">
        <f>IF($C$162=0,0,'User Input'!T$296*R$28*'User Input'!$F$296)</f>
        <v>0</v>
      </c>
      <c r="S162" s="350">
        <f>IF($C$162=0,0,'User Input'!U$296*S$28*'User Input'!$F$296)</f>
        <v>0</v>
      </c>
      <c r="T162" s="350">
        <f>IF($C$162=0,0,'User Input'!V$296*T$28*'User Input'!$F$296)</f>
        <v>0</v>
      </c>
      <c r="U162" s="350">
        <f>IF($C$162=0,0,'User Input'!W$296*U$28*'User Input'!$F$296)</f>
        <v>0</v>
      </c>
      <c r="V162" s="350">
        <f>IF($C$162=0,0,'User Input'!X$296*V$28*'User Input'!$F$296)</f>
        <v>0</v>
      </c>
      <c r="W162" s="350">
        <f>IF($C$162=0,0,'User Input'!Y$296*W$28*'User Input'!$F$296)</f>
        <v>0</v>
      </c>
      <c r="X162" s="350">
        <f>IF($C$162=0,0,'User Input'!Z$296*X$28*'User Input'!$F$296)</f>
        <v>0</v>
      </c>
      <c r="Y162" s="348"/>
    </row>
    <row r="163" spans="2:25" s="347" customFormat="1" x14ac:dyDescent="0.2">
      <c r="B163" s="345"/>
      <c r="C163" s="352" t="str">
        <f>IF('User Input'!$D$209&lt;&gt;0,'User Input'!$D$299,0)</f>
        <v>Other Benefits</v>
      </c>
      <c r="D163" s="349">
        <f t="shared" si="48"/>
        <v>0</v>
      </c>
      <c r="E163" s="350">
        <f>IF($C$163=0,0,'User Input'!G$304*E$28*'User Input'!$F$304)</f>
        <v>0</v>
      </c>
      <c r="F163" s="350">
        <f>IF($C$163=0,0,'User Input'!H$304*F$28*'User Input'!$F$304)</f>
        <v>0</v>
      </c>
      <c r="G163" s="350">
        <f>IF($C$163=0,0,'User Input'!I$304*G$28*'User Input'!$F$304)</f>
        <v>0</v>
      </c>
      <c r="H163" s="350">
        <f>IF($C$163=0,0,'User Input'!J$304*H$28*'User Input'!$F$304)</f>
        <v>0</v>
      </c>
      <c r="I163" s="350">
        <f>IF($C$163=0,0,'User Input'!K$304*I$28*'User Input'!$F$304)</f>
        <v>0</v>
      </c>
      <c r="J163" s="350">
        <f>IF($C$163=0,0,'User Input'!L$304*J$28*'User Input'!$F$304)</f>
        <v>0</v>
      </c>
      <c r="K163" s="350">
        <f>IF($C$163=0,0,'User Input'!M$304*K$28*'User Input'!$F$304)</f>
        <v>0</v>
      </c>
      <c r="L163" s="350">
        <f>IF($C$163=0,0,'User Input'!N$304*L$28*'User Input'!$F$304)</f>
        <v>0</v>
      </c>
      <c r="M163" s="350">
        <f>IF($C$163=0,0,'User Input'!O$304*M$28*'User Input'!$F$304)</f>
        <v>0</v>
      </c>
      <c r="N163" s="350">
        <f>IF($C$163=0,0,'User Input'!P$304*N$28*'User Input'!$F$304)</f>
        <v>0</v>
      </c>
      <c r="O163" s="350">
        <f>IF($C$163=0,0,'User Input'!Q$304*O$28*'User Input'!$F$304)</f>
        <v>0</v>
      </c>
      <c r="P163" s="350">
        <f>IF($C$163=0,0,'User Input'!R$304*P$28*'User Input'!$F$304)</f>
        <v>0</v>
      </c>
      <c r="Q163" s="350">
        <f>IF($C$163=0,0,'User Input'!S$304*Q$28*'User Input'!$F$304)</f>
        <v>0</v>
      </c>
      <c r="R163" s="350">
        <f>IF($C$163=0,0,'User Input'!T$304*R$28*'User Input'!$F$304)</f>
        <v>0</v>
      </c>
      <c r="S163" s="350">
        <f>IF($C$163=0,0,'User Input'!U$304*S$28*'User Input'!$F$304)</f>
        <v>0</v>
      </c>
      <c r="T163" s="350">
        <f>IF($C$163=0,0,'User Input'!V$304*T$28*'User Input'!$F$304)</f>
        <v>0</v>
      </c>
      <c r="U163" s="350">
        <f>IF($C$163=0,0,'User Input'!W$304*U$28*'User Input'!$F$304)</f>
        <v>0</v>
      </c>
      <c r="V163" s="350">
        <f>IF($C$163=0,0,'User Input'!X$304*V$28*'User Input'!$F$304)</f>
        <v>0</v>
      </c>
      <c r="W163" s="350">
        <f>IF($C$163=0,0,'User Input'!Y$304*W$28*'User Input'!$F$304)</f>
        <v>0</v>
      </c>
      <c r="X163" s="350">
        <f>IF($C$163=0,0,'User Input'!Z$304*X$28*'User Input'!$F$304)</f>
        <v>0</v>
      </c>
      <c r="Y163" s="348"/>
    </row>
    <row r="164" spans="2:25" s="229" customFormat="1" x14ac:dyDescent="0.2">
      <c r="B164" s="345"/>
      <c r="C164" s="234" t="s">
        <v>173</v>
      </c>
      <c r="D164" s="246">
        <f t="shared" ref="D164:X164" si="49">SUM(D153:D163)</f>
        <v>0</v>
      </c>
      <c r="E164" s="246">
        <f t="shared" si="49"/>
        <v>0</v>
      </c>
      <c r="F164" s="246">
        <f t="shared" si="49"/>
        <v>0</v>
      </c>
      <c r="G164" s="246">
        <f t="shared" si="49"/>
        <v>0</v>
      </c>
      <c r="H164" s="246">
        <f t="shared" si="49"/>
        <v>0</v>
      </c>
      <c r="I164" s="246">
        <f t="shared" si="49"/>
        <v>0</v>
      </c>
      <c r="J164" s="246">
        <f t="shared" si="49"/>
        <v>0</v>
      </c>
      <c r="K164" s="246">
        <f t="shared" si="49"/>
        <v>0</v>
      </c>
      <c r="L164" s="246">
        <f t="shared" si="49"/>
        <v>0</v>
      </c>
      <c r="M164" s="246">
        <f t="shared" si="49"/>
        <v>0</v>
      </c>
      <c r="N164" s="246">
        <f t="shared" si="49"/>
        <v>0</v>
      </c>
      <c r="O164" s="246">
        <f t="shared" si="49"/>
        <v>0</v>
      </c>
      <c r="P164" s="246">
        <f t="shared" si="49"/>
        <v>0</v>
      </c>
      <c r="Q164" s="246">
        <f t="shared" si="49"/>
        <v>0</v>
      </c>
      <c r="R164" s="246">
        <f t="shared" si="49"/>
        <v>0</v>
      </c>
      <c r="S164" s="246">
        <f t="shared" si="49"/>
        <v>0</v>
      </c>
      <c r="T164" s="246">
        <f t="shared" si="49"/>
        <v>0</v>
      </c>
      <c r="U164" s="246">
        <f t="shared" si="49"/>
        <v>0</v>
      </c>
      <c r="V164" s="246">
        <f t="shared" si="49"/>
        <v>0</v>
      </c>
      <c r="W164" s="246">
        <f t="shared" si="49"/>
        <v>0</v>
      </c>
      <c r="X164" s="246">
        <f t="shared" si="49"/>
        <v>0</v>
      </c>
      <c r="Y164" s="232"/>
    </row>
    <row r="165" spans="2:25" s="229" customFormat="1" x14ac:dyDescent="0.2">
      <c r="B165" s="231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32"/>
    </row>
    <row r="166" spans="2:25" s="158" customFormat="1" x14ac:dyDescent="0.2">
      <c r="B166" s="169"/>
      <c r="C166" s="170" t="s">
        <v>116</v>
      </c>
      <c r="D166" s="252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173"/>
    </row>
    <row r="167" spans="2:25" s="158" customFormat="1" x14ac:dyDescent="0.2">
      <c r="B167" s="169"/>
      <c r="C167" s="236" t="str">
        <f>$C$47</f>
        <v>Annualised Cost - capex (2019)</v>
      </c>
      <c r="D167" s="247">
        <f t="shared" ref="D167:D174" si="50">SUM(E167:X167)</f>
        <v>0</v>
      </c>
      <c r="E167" s="244">
        <f>IF(E369&gt;0,E371,0)</f>
        <v>0</v>
      </c>
      <c r="F167" s="244">
        <f t="shared" ref="F167:X167" si="51">IF(F369&gt;0,F371,0)</f>
        <v>0</v>
      </c>
      <c r="G167" s="244">
        <f t="shared" si="51"/>
        <v>0</v>
      </c>
      <c r="H167" s="244">
        <f t="shared" si="51"/>
        <v>0</v>
      </c>
      <c r="I167" s="244">
        <f t="shared" si="51"/>
        <v>0</v>
      </c>
      <c r="J167" s="244">
        <f t="shared" si="51"/>
        <v>0</v>
      </c>
      <c r="K167" s="244">
        <f t="shared" si="51"/>
        <v>0</v>
      </c>
      <c r="L167" s="244">
        <f t="shared" si="51"/>
        <v>0</v>
      </c>
      <c r="M167" s="244">
        <f t="shared" si="51"/>
        <v>0</v>
      </c>
      <c r="N167" s="244">
        <f t="shared" si="51"/>
        <v>0</v>
      </c>
      <c r="O167" s="244">
        <f t="shared" si="51"/>
        <v>0</v>
      </c>
      <c r="P167" s="244">
        <f t="shared" si="51"/>
        <v>0</v>
      </c>
      <c r="Q167" s="244">
        <f t="shared" si="51"/>
        <v>0</v>
      </c>
      <c r="R167" s="244">
        <f t="shared" si="51"/>
        <v>0</v>
      </c>
      <c r="S167" s="244">
        <f t="shared" si="51"/>
        <v>0</v>
      </c>
      <c r="T167" s="244">
        <f t="shared" si="51"/>
        <v>0</v>
      </c>
      <c r="U167" s="244">
        <f t="shared" si="51"/>
        <v>0</v>
      </c>
      <c r="V167" s="244">
        <f t="shared" si="51"/>
        <v>0</v>
      </c>
      <c r="W167" s="244">
        <f t="shared" si="51"/>
        <v>0</v>
      </c>
      <c r="X167" s="244">
        <f t="shared" si="51"/>
        <v>0</v>
      </c>
      <c r="Y167" s="173"/>
    </row>
    <row r="168" spans="2:25" s="158" customFormat="1" x14ac:dyDescent="0.2">
      <c r="B168" s="169"/>
      <c r="C168" s="236" t="str">
        <f>$C$48</f>
        <v>Annualised Cost - capex (2020)</v>
      </c>
      <c r="D168" s="247">
        <f t="shared" si="50"/>
        <v>0</v>
      </c>
      <c r="E168" s="260">
        <v>0</v>
      </c>
      <c r="F168" s="244">
        <f>IF(F376&gt;0,F378,0)</f>
        <v>0</v>
      </c>
      <c r="G168" s="244">
        <f t="shared" ref="G168:X168" si="52">IF(G376&gt;0,G378,0)</f>
        <v>0</v>
      </c>
      <c r="H168" s="244">
        <f t="shared" si="52"/>
        <v>0</v>
      </c>
      <c r="I168" s="244">
        <f t="shared" si="52"/>
        <v>0</v>
      </c>
      <c r="J168" s="244">
        <f t="shared" si="52"/>
        <v>0</v>
      </c>
      <c r="K168" s="244">
        <f t="shared" si="52"/>
        <v>0</v>
      </c>
      <c r="L168" s="244">
        <f t="shared" si="52"/>
        <v>0</v>
      </c>
      <c r="M168" s="244">
        <f t="shared" si="52"/>
        <v>0</v>
      </c>
      <c r="N168" s="244">
        <f t="shared" si="52"/>
        <v>0</v>
      </c>
      <c r="O168" s="244">
        <f t="shared" si="52"/>
        <v>0</v>
      </c>
      <c r="P168" s="244">
        <f t="shared" si="52"/>
        <v>0</v>
      </c>
      <c r="Q168" s="244">
        <f t="shared" si="52"/>
        <v>0</v>
      </c>
      <c r="R168" s="244">
        <f t="shared" si="52"/>
        <v>0</v>
      </c>
      <c r="S168" s="244">
        <f t="shared" si="52"/>
        <v>0</v>
      </c>
      <c r="T168" s="244">
        <f t="shared" si="52"/>
        <v>0</v>
      </c>
      <c r="U168" s="244">
        <f t="shared" si="52"/>
        <v>0</v>
      </c>
      <c r="V168" s="244">
        <f t="shared" si="52"/>
        <v>0</v>
      </c>
      <c r="W168" s="244">
        <f t="shared" si="52"/>
        <v>0</v>
      </c>
      <c r="X168" s="244">
        <f t="shared" si="52"/>
        <v>0</v>
      </c>
      <c r="Y168" s="173"/>
    </row>
    <row r="169" spans="2:25" s="158" customFormat="1" x14ac:dyDescent="0.2">
      <c r="B169" s="169"/>
      <c r="C169" s="236" t="str">
        <f>$C$49</f>
        <v>Annualised Cost - capex (2021)</v>
      </c>
      <c r="D169" s="247">
        <f t="shared" si="50"/>
        <v>0</v>
      </c>
      <c r="E169" s="260">
        <v>0</v>
      </c>
      <c r="F169" s="260">
        <v>0</v>
      </c>
      <c r="G169" s="244">
        <f>IF(G383&gt;0,G385,0)</f>
        <v>0</v>
      </c>
      <c r="H169" s="244">
        <f t="shared" ref="H169:X169" si="53">IF(H383&gt;0,H385,0)</f>
        <v>0</v>
      </c>
      <c r="I169" s="244">
        <f t="shared" si="53"/>
        <v>0</v>
      </c>
      <c r="J169" s="244">
        <f t="shared" si="53"/>
        <v>0</v>
      </c>
      <c r="K169" s="244">
        <f t="shared" si="53"/>
        <v>0</v>
      </c>
      <c r="L169" s="244">
        <f t="shared" si="53"/>
        <v>0</v>
      </c>
      <c r="M169" s="244">
        <f t="shared" si="53"/>
        <v>0</v>
      </c>
      <c r="N169" s="244">
        <f t="shared" si="53"/>
        <v>0</v>
      </c>
      <c r="O169" s="244">
        <f t="shared" si="53"/>
        <v>0</v>
      </c>
      <c r="P169" s="244">
        <f t="shared" si="53"/>
        <v>0</v>
      </c>
      <c r="Q169" s="244">
        <f t="shared" si="53"/>
        <v>0</v>
      </c>
      <c r="R169" s="244">
        <f t="shared" si="53"/>
        <v>0</v>
      </c>
      <c r="S169" s="244">
        <f t="shared" si="53"/>
        <v>0</v>
      </c>
      <c r="T169" s="244">
        <f t="shared" si="53"/>
        <v>0</v>
      </c>
      <c r="U169" s="244">
        <f t="shared" si="53"/>
        <v>0</v>
      </c>
      <c r="V169" s="244">
        <f t="shared" si="53"/>
        <v>0</v>
      </c>
      <c r="W169" s="244">
        <f t="shared" si="53"/>
        <v>0</v>
      </c>
      <c r="X169" s="244">
        <f t="shared" si="53"/>
        <v>0</v>
      </c>
      <c r="Y169" s="173"/>
    </row>
    <row r="170" spans="2:25" s="158" customFormat="1" x14ac:dyDescent="0.2">
      <c r="B170" s="169"/>
      <c r="C170" s="236" t="str">
        <f>$C$50</f>
        <v>Annualised Cost - capex (2022)</v>
      </c>
      <c r="D170" s="247">
        <f t="shared" si="50"/>
        <v>0</v>
      </c>
      <c r="E170" s="260">
        <v>0</v>
      </c>
      <c r="F170" s="260">
        <v>0</v>
      </c>
      <c r="G170" s="260">
        <v>0</v>
      </c>
      <c r="H170" s="244">
        <f>IF(H390&gt;0,H392,0)</f>
        <v>0</v>
      </c>
      <c r="I170" s="244">
        <f t="shared" ref="I170:X170" si="54">IF(I390&gt;0,I392,0)</f>
        <v>0</v>
      </c>
      <c r="J170" s="244">
        <f t="shared" si="54"/>
        <v>0</v>
      </c>
      <c r="K170" s="244">
        <f t="shared" si="54"/>
        <v>0</v>
      </c>
      <c r="L170" s="244">
        <f t="shared" si="54"/>
        <v>0</v>
      </c>
      <c r="M170" s="244">
        <f t="shared" si="54"/>
        <v>0</v>
      </c>
      <c r="N170" s="244">
        <f t="shared" si="54"/>
        <v>0</v>
      </c>
      <c r="O170" s="244">
        <f t="shared" si="54"/>
        <v>0</v>
      </c>
      <c r="P170" s="244">
        <f t="shared" si="54"/>
        <v>0</v>
      </c>
      <c r="Q170" s="244">
        <f t="shared" si="54"/>
        <v>0</v>
      </c>
      <c r="R170" s="244">
        <f t="shared" si="54"/>
        <v>0</v>
      </c>
      <c r="S170" s="244">
        <f t="shared" si="54"/>
        <v>0</v>
      </c>
      <c r="T170" s="244">
        <f t="shared" si="54"/>
        <v>0</v>
      </c>
      <c r="U170" s="244">
        <f t="shared" si="54"/>
        <v>0</v>
      </c>
      <c r="V170" s="244">
        <f t="shared" si="54"/>
        <v>0</v>
      </c>
      <c r="W170" s="244">
        <f t="shared" si="54"/>
        <v>0</v>
      </c>
      <c r="X170" s="244">
        <f t="shared" si="54"/>
        <v>0</v>
      </c>
      <c r="Y170" s="173"/>
    </row>
    <row r="171" spans="2:25" s="158" customFormat="1" x14ac:dyDescent="0.2">
      <c r="B171" s="169"/>
      <c r="C171" s="236" t="str">
        <f>$C$51</f>
        <v>Annualised Cost - capex (2023)</v>
      </c>
      <c r="D171" s="247">
        <f t="shared" si="50"/>
        <v>0</v>
      </c>
      <c r="E171" s="260">
        <v>0</v>
      </c>
      <c r="F171" s="260">
        <v>0</v>
      </c>
      <c r="G171" s="260">
        <v>0</v>
      </c>
      <c r="H171" s="260">
        <v>0</v>
      </c>
      <c r="I171" s="244">
        <f>IF(I397&gt;0,I399,0)</f>
        <v>0</v>
      </c>
      <c r="J171" s="244">
        <f t="shared" ref="J171:X171" si="55">IF(J397&gt;0,J399,0)</f>
        <v>0</v>
      </c>
      <c r="K171" s="244">
        <f t="shared" si="55"/>
        <v>0</v>
      </c>
      <c r="L171" s="244">
        <f t="shared" si="55"/>
        <v>0</v>
      </c>
      <c r="M171" s="244">
        <f t="shared" si="55"/>
        <v>0</v>
      </c>
      <c r="N171" s="244">
        <f t="shared" si="55"/>
        <v>0</v>
      </c>
      <c r="O171" s="244">
        <f t="shared" si="55"/>
        <v>0</v>
      </c>
      <c r="P171" s="244">
        <f t="shared" si="55"/>
        <v>0</v>
      </c>
      <c r="Q171" s="244">
        <f t="shared" si="55"/>
        <v>0</v>
      </c>
      <c r="R171" s="244">
        <f t="shared" si="55"/>
        <v>0</v>
      </c>
      <c r="S171" s="244">
        <f t="shared" si="55"/>
        <v>0</v>
      </c>
      <c r="T171" s="244">
        <f t="shared" si="55"/>
        <v>0</v>
      </c>
      <c r="U171" s="244">
        <f t="shared" si="55"/>
        <v>0</v>
      </c>
      <c r="V171" s="244">
        <f t="shared" si="55"/>
        <v>0</v>
      </c>
      <c r="W171" s="244">
        <f t="shared" si="55"/>
        <v>0</v>
      </c>
      <c r="X171" s="244">
        <f t="shared" si="55"/>
        <v>0</v>
      </c>
      <c r="Y171" s="173"/>
    </row>
    <row r="172" spans="2:25" s="158" customFormat="1" x14ac:dyDescent="0.2">
      <c r="B172" s="169"/>
      <c r="C172" s="235" t="str">
        <f>$C$52</f>
        <v>O&amp;M Costs</v>
      </c>
      <c r="D172" s="247">
        <f t="shared" si="50"/>
        <v>0</v>
      </c>
      <c r="E172" s="244">
        <f>'User Input'!G326*SUM('User Input'!$F19:F19)*E28</f>
        <v>0</v>
      </c>
      <c r="F172" s="244">
        <f>'User Input'!H326*SUM('User Input'!$F19:G19)*F28</f>
        <v>0</v>
      </c>
      <c r="G172" s="244">
        <f>'User Input'!I326*SUM('User Input'!$F19:H19)*G28</f>
        <v>0</v>
      </c>
      <c r="H172" s="244">
        <f>'User Input'!J326*SUM('User Input'!$F19:I19)*H28</f>
        <v>0</v>
      </c>
      <c r="I172" s="244">
        <f>'User Input'!K326*SUM('User Input'!$F19:J19)*I28</f>
        <v>0</v>
      </c>
      <c r="J172" s="244">
        <f>'User Input'!L326*SUM('User Input'!$F19:K19)*J28</f>
        <v>0</v>
      </c>
      <c r="K172" s="244">
        <f>'User Input'!M326*SUM('User Input'!$F19:L19)*K28</f>
        <v>0</v>
      </c>
      <c r="L172" s="244">
        <f>'User Input'!N326*SUM('User Input'!$F19:M19)*L28</f>
        <v>0</v>
      </c>
      <c r="M172" s="244">
        <f>'User Input'!O326*SUM('User Input'!$F19:N19)*M28</f>
        <v>0</v>
      </c>
      <c r="N172" s="244">
        <f>'User Input'!P326*SUM('User Input'!$F19:O19)*N28</f>
        <v>0</v>
      </c>
      <c r="O172" s="244">
        <f>'User Input'!Q326*SUM('User Input'!$F19:P19)*O28</f>
        <v>0</v>
      </c>
      <c r="P172" s="244">
        <f>'User Input'!R326*SUM('User Input'!$F19:Q19)*P28</f>
        <v>0</v>
      </c>
      <c r="Q172" s="244">
        <f>'User Input'!S326*SUM('User Input'!$F19:R19)*Q28</f>
        <v>0</v>
      </c>
      <c r="R172" s="244">
        <f>'User Input'!T326*SUM('User Input'!$F19:S19)*R28</f>
        <v>0</v>
      </c>
      <c r="S172" s="244">
        <f>'User Input'!U326*SUM('User Input'!$F19:T19)*S28</f>
        <v>0</v>
      </c>
      <c r="T172" s="244">
        <f>'User Input'!V326*SUM('User Input'!$F19:U19)*T28</f>
        <v>0</v>
      </c>
      <c r="U172" s="244">
        <f>'User Input'!W326*SUM('User Input'!$F19:V19)*U28</f>
        <v>0</v>
      </c>
      <c r="V172" s="244">
        <f>'User Input'!X326*SUM('User Input'!$F19:W19)*V28</f>
        <v>0</v>
      </c>
      <c r="W172" s="244">
        <f>'User Input'!Y326*SUM('User Input'!$F19:X19)*W28</f>
        <v>0</v>
      </c>
      <c r="X172" s="244">
        <f>'User Input'!Z326*SUM('User Input'!$F19:Y19)*X28</f>
        <v>0</v>
      </c>
      <c r="Y172" s="173"/>
    </row>
    <row r="173" spans="2:25" s="158" customFormat="1" x14ac:dyDescent="0.2">
      <c r="B173" s="169"/>
      <c r="C173" s="235" t="str">
        <f>$C$53</f>
        <v>Compliance and Admin Costs</v>
      </c>
      <c r="D173" s="247">
        <f t="shared" si="50"/>
        <v>0</v>
      </c>
      <c r="E173" s="244">
        <f>'User Input'!G334*E28</f>
        <v>0</v>
      </c>
      <c r="F173" s="244">
        <f>'User Input'!H334*F28</f>
        <v>0</v>
      </c>
      <c r="G173" s="244">
        <f>'User Input'!I334*G28</f>
        <v>0</v>
      </c>
      <c r="H173" s="244">
        <f>'User Input'!J334*H28</f>
        <v>0</v>
      </c>
      <c r="I173" s="244">
        <f>'User Input'!K334*I28</f>
        <v>0</v>
      </c>
      <c r="J173" s="244">
        <f>'User Input'!L334*J28</f>
        <v>0</v>
      </c>
      <c r="K173" s="244">
        <f>'User Input'!M334*K28</f>
        <v>0</v>
      </c>
      <c r="L173" s="244">
        <f>'User Input'!N334*L28</f>
        <v>0</v>
      </c>
      <c r="M173" s="244">
        <f>'User Input'!O334*M28</f>
        <v>0</v>
      </c>
      <c r="N173" s="244">
        <f>'User Input'!P334*N28</f>
        <v>0</v>
      </c>
      <c r="O173" s="244">
        <f>'User Input'!Q334*O28</f>
        <v>0</v>
      </c>
      <c r="P173" s="244">
        <f>'User Input'!R334*P28</f>
        <v>0</v>
      </c>
      <c r="Q173" s="244">
        <f>'User Input'!S334*Q28</f>
        <v>0</v>
      </c>
      <c r="R173" s="244">
        <f>'User Input'!T334*R28</f>
        <v>0</v>
      </c>
      <c r="S173" s="244">
        <f>'User Input'!U334*S28</f>
        <v>0</v>
      </c>
      <c r="T173" s="244">
        <f>'User Input'!V334*T28</f>
        <v>0</v>
      </c>
      <c r="U173" s="244">
        <f>'User Input'!W334*U28</f>
        <v>0</v>
      </c>
      <c r="V173" s="244">
        <f>'User Input'!X334*V28</f>
        <v>0</v>
      </c>
      <c r="W173" s="244">
        <f>'User Input'!Y334*W28</f>
        <v>0</v>
      </c>
      <c r="X173" s="244">
        <f>'User Input'!Z334*X28</f>
        <v>0</v>
      </c>
      <c r="Y173" s="173"/>
    </row>
    <row r="174" spans="2:25" s="344" customFormat="1" x14ac:dyDescent="0.2">
      <c r="B174" s="345"/>
      <c r="C174" s="346" t="str">
        <f>'User Input'!$D$337</f>
        <v>Other Costs</v>
      </c>
      <c r="D174" s="349">
        <f t="shared" si="50"/>
        <v>0</v>
      </c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48"/>
    </row>
    <row r="175" spans="2:25" s="230" customFormat="1" x14ac:dyDescent="0.2">
      <c r="B175" s="231"/>
      <c r="C175" s="234" t="s">
        <v>2</v>
      </c>
      <c r="D175" s="244">
        <f t="shared" ref="D175:X175" si="56">SUM(D167:D174)</f>
        <v>0</v>
      </c>
      <c r="E175" s="244">
        <f t="shared" si="56"/>
        <v>0</v>
      </c>
      <c r="F175" s="244">
        <f t="shared" si="56"/>
        <v>0</v>
      </c>
      <c r="G175" s="244">
        <f t="shared" si="56"/>
        <v>0</v>
      </c>
      <c r="H175" s="244">
        <f t="shared" si="56"/>
        <v>0</v>
      </c>
      <c r="I175" s="244">
        <f t="shared" si="56"/>
        <v>0</v>
      </c>
      <c r="J175" s="244">
        <f t="shared" si="56"/>
        <v>0</v>
      </c>
      <c r="K175" s="244">
        <f t="shared" si="56"/>
        <v>0</v>
      </c>
      <c r="L175" s="244">
        <f t="shared" si="56"/>
        <v>0</v>
      </c>
      <c r="M175" s="244">
        <f t="shared" si="56"/>
        <v>0</v>
      </c>
      <c r="N175" s="244">
        <f t="shared" si="56"/>
        <v>0</v>
      </c>
      <c r="O175" s="244">
        <f t="shared" si="56"/>
        <v>0</v>
      </c>
      <c r="P175" s="244">
        <f t="shared" si="56"/>
        <v>0</v>
      </c>
      <c r="Q175" s="244">
        <f t="shared" si="56"/>
        <v>0</v>
      </c>
      <c r="R175" s="244">
        <f t="shared" si="56"/>
        <v>0</v>
      </c>
      <c r="S175" s="244">
        <f t="shared" si="56"/>
        <v>0</v>
      </c>
      <c r="T175" s="244">
        <f t="shared" si="56"/>
        <v>0</v>
      </c>
      <c r="U175" s="244">
        <f t="shared" si="56"/>
        <v>0</v>
      </c>
      <c r="V175" s="244">
        <f t="shared" si="56"/>
        <v>0</v>
      </c>
      <c r="W175" s="244">
        <f t="shared" si="56"/>
        <v>0</v>
      </c>
      <c r="X175" s="244">
        <f t="shared" si="56"/>
        <v>0</v>
      </c>
      <c r="Y175" s="232"/>
    </row>
    <row r="176" spans="2:25" s="230" customFormat="1" x14ac:dyDescent="0.2">
      <c r="B176" s="231"/>
      <c r="C176" s="233"/>
      <c r="D176" s="248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32"/>
    </row>
    <row r="177" spans="2:25" s="158" customFormat="1" ht="13.5" thickBot="1" x14ac:dyDescent="0.25">
      <c r="B177" s="169"/>
      <c r="C177" s="170" t="s">
        <v>162</v>
      </c>
      <c r="D177" s="249">
        <f t="shared" ref="D177:X177" si="57">D164-D175</f>
        <v>0</v>
      </c>
      <c r="E177" s="250">
        <f t="shared" si="57"/>
        <v>0</v>
      </c>
      <c r="F177" s="250">
        <f t="shared" si="57"/>
        <v>0</v>
      </c>
      <c r="G177" s="250">
        <f t="shared" si="57"/>
        <v>0</v>
      </c>
      <c r="H177" s="250">
        <f t="shared" si="57"/>
        <v>0</v>
      </c>
      <c r="I177" s="250">
        <f t="shared" si="57"/>
        <v>0</v>
      </c>
      <c r="J177" s="250">
        <f t="shared" si="57"/>
        <v>0</v>
      </c>
      <c r="K177" s="250">
        <f t="shared" si="57"/>
        <v>0</v>
      </c>
      <c r="L177" s="250">
        <f t="shared" si="57"/>
        <v>0</v>
      </c>
      <c r="M177" s="250">
        <f t="shared" si="57"/>
        <v>0</v>
      </c>
      <c r="N177" s="250">
        <f t="shared" si="57"/>
        <v>0</v>
      </c>
      <c r="O177" s="250">
        <f t="shared" si="57"/>
        <v>0</v>
      </c>
      <c r="P177" s="250">
        <f t="shared" si="57"/>
        <v>0</v>
      </c>
      <c r="Q177" s="250">
        <f t="shared" si="57"/>
        <v>0</v>
      </c>
      <c r="R177" s="250">
        <f t="shared" si="57"/>
        <v>0</v>
      </c>
      <c r="S177" s="250">
        <f t="shared" si="57"/>
        <v>0</v>
      </c>
      <c r="T177" s="250">
        <f t="shared" si="57"/>
        <v>0</v>
      </c>
      <c r="U177" s="250">
        <f t="shared" si="57"/>
        <v>0</v>
      </c>
      <c r="V177" s="250">
        <f t="shared" si="57"/>
        <v>0</v>
      </c>
      <c r="W177" s="250">
        <f t="shared" si="57"/>
        <v>0</v>
      </c>
      <c r="X177" s="250">
        <f t="shared" si="57"/>
        <v>0</v>
      </c>
      <c r="Y177" s="173"/>
    </row>
    <row r="178" spans="2:25" s="158" customFormat="1" ht="13.5" thickBot="1" x14ac:dyDescent="0.25">
      <c r="B178" s="169"/>
      <c r="C178" s="174" t="s">
        <v>163</v>
      </c>
      <c r="D178" s="251">
        <f>SUM(E178:X178)</f>
        <v>0</v>
      </c>
      <c r="E178" s="250">
        <f t="shared" ref="E178:X178" si="58">E177/(1+$D$19)^E$25</f>
        <v>0</v>
      </c>
      <c r="F178" s="250">
        <f t="shared" si="58"/>
        <v>0</v>
      </c>
      <c r="G178" s="250">
        <f t="shared" si="58"/>
        <v>0</v>
      </c>
      <c r="H178" s="250">
        <f t="shared" si="58"/>
        <v>0</v>
      </c>
      <c r="I178" s="250">
        <f t="shared" si="58"/>
        <v>0</v>
      </c>
      <c r="J178" s="250">
        <f t="shared" si="58"/>
        <v>0</v>
      </c>
      <c r="K178" s="250">
        <f t="shared" si="58"/>
        <v>0</v>
      </c>
      <c r="L178" s="250">
        <f t="shared" si="58"/>
        <v>0</v>
      </c>
      <c r="M178" s="250">
        <f t="shared" si="58"/>
        <v>0</v>
      </c>
      <c r="N178" s="250">
        <f t="shared" si="58"/>
        <v>0</v>
      </c>
      <c r="O178" s="250">
        <f t="shared" si="58"/>
        <v>0</v>
      </c>
      <c r="P178" s="250">
        <f t="shared" si="58"/>
        <v>0</v>
      </c>
      <c r="Q178" s="250">
        <f t="shared" si="58"/>
        <v>0</v>
      </c>
      <c r="R178" s="250">
        <f t="shared" si="58"/>
        <v>0</v>
      </c>
      <c r="S178" s="250">
        <f t="shared" si="58"/>
        <v>0</v>
      </c>
      <c r="T178" s="250">
        <f t="shared" si="58"/>
        <v>0</v>
      </c>
      <c r="U178" s="250">
        <f t="shared" si="58"/>
        <v>0</v>
      </c>
      <c r="V178" s="250">
        <f t="shared" si="58"/>
        <v>0</v>
      </c>
      <c r="W178" s="250">
        <f t="shared" si="58"/>
        <v>0</v>
      </c>
      <c r="X178" s="250">
        <f t="shared" si="58"/>
        <v>0</v>
      </c>
      <c r="Y178" s="173"/>
    </row>
    <row r="179" spans="2:25" s="158" customFormat="1" x14ac:dyDescent="0.2">
      <c r="B179" s="169"/>
      <c r="C179" s="17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173"/>
    </row>
    <row r="180" spans="2:25" s="158" customFormat="1" x14ac:dyDescent="0.2">
      <c r="B180" s="392" t="str">
        <f>Calculations!B132</f>
        <v xml:space="preserve">Option 5: </v>
      </c>
      <c r="C180" s="393"/>
      <c r="D180" s="398"/>
      <c r="E180" s="398"/>
      <c r="F180" s="398"/>
      <c r="G180" s="398"/>
      <c r="H180" s="398"/>
      <c r="I180" s="398"/>
      <c r="J180" s="398"/>
      <c r="K180" s="398"/>
      <c r="L180" s="398"/>
      <c r="M180" s="398"/>
      <c r="N180" s="398"/>
      <c r="O180" s="398"/>
      <c r="P180" s="398"/>
      <c r="Q180" s="398"/>
      <c r="R180" s="398"/>
      <c r="S180" s="398"/>
      <c r="T180" s="398"/>
      <c r="U180" s="398"/>
      <c r="V180" s="398"/>
      <c r="W180" s="398"/>
      <c r="X180" s="398"/>
      <c r="Y180" s="394"/>
    </row>
    <row r="181" spans="2:25" s="158" customFormat="1" x14ac:dyDescent="0.2">
      <c r="B181" s="169"/>
      <c r="C181" s="17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173"/>
    </row>
    <row r="182" spans="2:25" s="230" customFormat="1" x14ac:dyDescent="0.2">
      <c r="B182" s="231"/>
      <c r="C182" s="229" t="s">
        <v>118</v>
      </c>
      <c r="D182" s="250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32"/>
    </row>
    <row r="183" spans="2:25" s="229" customFormat="1" x14ac:dyDescent="0.2">
      <c r="B183" s="231"/>
      <c r="C183" s="346" t="str">
        <f>$C$33</f>
        <v>Value of Electricity to Customers (VCR)</v>
      </c>
      <c r="D183" s="243">
        <f>SUM(E183:X183)</f>
        <v>0</v>
      </c>
      <c r="E183" s="244">
        <f>'User Input'!G220*'Administrator Input'!$F$60*E$28*'User Input'!$F$220</f>
        <v>0</v>
      </c>
      <c r="F183" s="244">
        <f>'User Input'!H220*'Administrator Input'!$F$60*F$28*'User Input'!$F$220</f>
        <v>0</v>
      </c>
      <c r="G183" s="244">
        <f>'User Input'!I220*'Administrator Input'!$F$60*G$28*'User Input'!$F$220</f>
        <v>0</v>
      </c>
      <c r="H183" s="244">
        <f>'User Input'!J220*'Administrator Input'!$F$60*H$28*'User Input'!$F$220</f>
        <v>0</v>
      </c>
      <c r="I183" s="244">
        <f>'User Input'!K220*'Administrator Input'!$F$60*I$28*'User Input'!$F$220</f>
        <v>0</v>
      </c>
      <c r="J183" s="244">
        <f>'User Input'!L220*'Administrator Input'!$F$60*J$28*'User Input'!$F$220</f>
        <v>0</v>
      </c>
      <c r="K183" s="244">
        <f>'User Input'!M220*'Administrator Input'!$F$60*K$28*'User Input'!$F$220</f>
        <v>0</v>
      </c>
      <c r="L183" s="244">
        <f>'User Input'!N220*'Administrator Input'!$F$60*L$28*'User Input'!$F$220</f>
        <v>0</v>
      </c>
      <c r="M183" s="244">
        <f>'User Input'!O220*'Administrator Input'!$F$60*M$28*'User Input'!$F$220</f>
        <v>0</v>
      </c>
      <c r="N183" s="244">
        <f>'User Input'!P220*'Administrator Input'!$F$60*N$28*'User Input'!$F$220</f>
        <v>0</v>
      </c>
      <c r="O183" s="244">
        <f>'User Input'!Q220*'Administrator Input'!$F$60*O$28*'User Input'!$F$220</f>
        <v>0</v>
      </c>
      <c r="P183" s="244">
        <f>'User Input'!R220*'Administrator Input'!$F$60*P$28*'User Input'!$F$220</f>
        <v>0</v>
      </c>
      <c r="Q183" s="244">
        <f>'User Input'!S220*'Administrator Input'!$F$60*Q$28*'User Input'!$F$220</f>
        <v>0</v>
      </c>
      <c r="R183" s="244">
        <f>'User Input'!T220*'Administrator Input'!$F$60*R$28*'User Input'!$F$220</f>
        <v>0</v>
      </c>
      <c r="S183" s="244">
        <f>'User Input'!U220*'Administrator Input'!$F$60*S$28*'User Input'!$F$220</f>
        <v>0</v>
      </c>
      <c r="T183" s="244">
        <f>'User Input'!V220*'Administrator Input'!$F$60*T$28*'User Input'!$F$220</f>
        <v>0</v>
      </c>
      <c r="U183" s="244">
        <f>'User Input'!W220*'Administrator Input'!$F$60*U$28*'User Input'!$F$220</f>
        <v>0</v>
      </c>
      <c r="V183" s="244">
        <f>'User Input'!X220*'Administrator Input'!$F$60*V$28*'User Input'!$F$220</f>
        <v>0</v>
      </c>
      <c r="W183" s="244">
        <f>'User Input'!Y220*'Administrator Input'!$F$60*W$28*'User Input'!$F$220</f>
        <v>0</v>
      </c>
      <c r="X183" s="244">
        <f>'User Input'!Z220*'Administrator Input'!$F$60*X$28*'User Input'!$F$220</f>
        <v>0</v>
      </c>
      <c r="Y183" s="232"/>
    </row>
    <row r="184" spans="2:25" s="230" customFormat="1" x14ac:dyDescent="0.2">
      <c r="B184" s="231"/>
      <c r="C184" s="235" t="str">
        <f>'User Input'!$D$222</f>
        <v>Changes in Voluntary Load Curtailment</v>
      </c>
      <c r="D184" s="245">
        <f t="shared" ref="D184:D193" si="59">SUM(E184:X184)</f>
        <v>0</v>
      </c>
      <c r="E184" s="350">
        <f>('User Input'!G$228*'Administrator Input'!$F$59*E$28)/1000*'User Input'!$F$228</f>
        <v>0</v>
      </c>
      <c r="F184" s="350">
        <f>('User Input'!H$228*'Administrator Input'!$F$59*F$28)/1000*'User Input'!$F$228</f>
        <v>0</v>
      </c>
      <c r="G184" s="350">
        <f>('User Input'!I$228*'Administrator Input'!$F$59*G$28)/1000*'User Input'!$F$228</f>
        <v>0</v>
      </c>
      <c r="H184" s="350">
        <f>('User Input'!J$228*'Administrator Input'!$F$59*H$28)/1000*'User Input'!$F$228</f>
        <v>0</v>
      </c>
      <c r="I184" s="350">
        <f>('User Input'!K$228*'Administrator Input'!$F$59*I$28)/1000*'User Input'!$F$228</f>
        <v>0</v>
      </c>
      <c r="J184" s="350">
        <f>('User Input'!L$228*'Administrator Input'!$F$59*J$28)/1000*'User Input'!$F$228</f>
        <v>0</v>
      </c>
      <c r="K184" s="350">
        <f>('User Input'!M$228*'Administrator Input'!$F$59*K$28)/1000*'User Input'!$F$228</f>
        <v>0</v>
      </c>
      <c r="L184" s="350">
        <f>('User Input'!N$228*'Administrator Input'!$F$59*L$28)/1000*'User Input'!$F$228</f>
        <v>0</v>
      </c>
      <c r="M184" s="350">
        <f>('User Input'!O$228*'Administrator Input'!$F$59*M$28)/1000*'User Input'!$F$228</f>
        <v>0</v>
      </c>
      <c r="N184" s="350">
        <f>('User Input'!P$228*'Administrator Input'!$F$59*N$28)/1000*'User Input'!$F$228</f>
        <v>0</v>
      </c>
      <c r="O184" s="350">
        <f>('User Input'!Q$228*'Administrator Input'!$F$59*O$28)/1000*'User Input'!$F$228</f>
        <v>0</v>
      </c>
      <c r="P184" s="350">
        <f>('User Input'!R$228*'Administrator Input'!$F$59*P$28)/1000*'User Input'!$F$228</f>
        <v>0</v>
      </c>
      <c r="Q184" s="350">
        <f>('User Input'!S$228*'Administrator Input'!$F$59*Q$28)/1000*'User Input'!$F$228</f>
        <v>0</v>
      </c>
      <c r="R184" s="350">
        <f>('User Input'!T$228*'Administrator Input'!$F$59*R$28)/1000*'User Input'!$F$228</f>
        <v>0</v>
      </c>
      <c r="S184" s="350">
        <f>('User Input'!U$228*'Administrator Input'!$F$59*S$28)/1000*'User Input'!$F$228</f>
        <v>0</v>
      </c>
      <c r="T184" s="350">
        <f>('User Input'!V$228*'Administrator Input'!$F$59*T$28)/1000*'User Input'!$F$228</f>
        <v>0</v>
      </c>
      <c r="U184" s="350">
        <f>('User Input'!W$228*'Administrator Input'!$F$59*U$28)/1000*'User Input'!$F$228</f>
        <v>0</v>
      </c>
      <c r="V184" s="350">
        <f>('User Input'!X$228*'Administrator Input'!$F$59*V$28)/1000*'User Input'!$F$228</f>
        <v>0</v>
      </c>
      <c r="W184" s="350">
        <f>('User Input'!Y$228*'Administrator Input'!$F$59*W$28)/1000*'User Input'!$F$228</f>
        <v>0</v>
      </c>
      <c r="X184" s="350">
        <f>('User Input'!Z$228*'Administrator Input'!$F$59*X$28)/1000*'User Input'!$F$228</f>
        <v>0</v>
      </c>
      <c r="Y184" s="232"/>
    </row>
    <row r="185" spans="2:25" s="344" customFormat="1" x14ac:dyDescent="0.2">
      <c r="B185" s="345"/>
      <c r="C185" s="346" t="str">
        <f>'User Input'!$D$230</f>
        <v>Changes in Costs to Other Parties</v>
      </c>
      <c r="D185" s="349">
        <f t="shared" si="59"/>
        <v>0</v>
      </c>
      <c r="E185" s="350">
        <f>'User Input'!G$236*E$28*'User Input'!$F$236</f>
        <v>0</v>
      </c>
      <c r="F185" s="350">
        <f>'User Input'!H$236*F$28*'User Input'!$F$236</f>
        <v>0</v>
      </c>
      <c r="G185" s="350">
        <f>'User Input'!I$236*G$28*'User Input'!$F$236</f>
        <v>0</v>
      </c>
      <c r="H185" s="350">
        <f>'User Input'!J$236*H$28*'User Input'!$F$236</f>
        <v>0</v>
      </c>
      <c r="I185" s="350">
        <f>'User Input'!K$236*I$28*'User Input'!$F$236</f>
        <v>0</v>
      </c>
      <c r="J185" s="350">
        <f>'User Input'!L$236*J$28*'User Input'!$F$236</f>
        <v>0</v>
      </c>
      <c r="K185" s="350">
        <f>'User Input'!M$236*K$28*'User Input'!$F$236</f>
        <v>0</v>
      </c>
      <c r="L185" s="350">
        <f>'User Input'!N$236*L$28*'User Input'!$F$236</f>
        <v>0</v>
      </c>
      <c r="M185" s="350">
        <f>'User Input'!O$236*M$28*'User Input'!$F$236</f>
        <v>0</v>
      </c>
      <c r="N185" s="350">
        <f>'User Input'!P$236*N$28*'User Input'!$F$236</f>
        <v>0</v>
      </c>
      <c r="O185" s="350">
        <f>'User Input'!Q$236*O$28*'User Input'!$F$236</f>
        <v>0</v>
      </c>
      <c r="P185" s="350">
        <f>'User Input'!R$236*P$28*'User Input'!$F$236</f>
        <v>0</v>
      </c>
      <c r="Q185" s="350">
        <f>'User Input'!S$236*Q$28*'User Input'!$F$236</f>
        <v>0</v>
      </c>
      <c r="R185" s="350">
        <f>'User Input'!T$236*R$28*'User Input'!$F$236</f>
        <v>0</v>
      </c>
      <c r="S185" s="350">
        <f>'User Input'!U$236*S$28*'User Input'!$F$236</f>
        <v>0</v>
      </c>
      <c r="T185" s="350">
        <f>'User Input'!V$236*T$28*'User Input'!$F$236</f>
        <v>0</v>
      </c>
      <c r="U185" s="350">
        <f>'User Input'!W$236*U$28*'User Input'!$F$236</f>
        <v>0</v>
      </c>
      <c r="V185" s="350">
        <f>'User Input'!X$236*V$28*'User Input'!$F$236</f>
        <v>0</v>
      </c>
      <c r="W185" s="350">
        <f>'User Input'!Y$236*W$28*'User Input'!$F$236</f>
        <v>0</v>
      </c>
      <c r="X185" s="350">
        <f>'User Input'!Z$236*X$28*'User Input'!$F$236</f>
        <v>0</v>
      </c>
      <c r="Y185" s="348"/>
    </row>
    <row r="186" spans="2:25" s="344" customFormat="1" x14ac:dyDescent="0.2">
      <c r="B186" s="345"/>
      <c r="C186" s="346" t="str">
        <f>'User Input'!$D$238</f>
        <v>Difference in Timing (capex)</v>
      </c>
      <c r="D186" s="349">
        <f t="shared" si="59"/>
        <v>0</v>
      </c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48"/>
    </row>
    <row r="187" spans="2:25" s="344" customFormat="1" x14ac:dyDescent="0.2">
      <c r="B187" s="345"/>
      <c r="C187" s="346" t="str">
        <f>'User Input'!$D$246</f>
        <v xml:space="preserve">Changes in Load Transfer Capacity </v>
      </c>
      <c r="D187" s="349">
        <f t="shared" si="59"/>
        <v>0</v>
      </c>
      <c r="E187" s="350">
        <f>('User Input'!G$252*'Administrator Input'!$F$61*E$28)/1000*'User Input'!$F$252</f>
        <v>0</v>
      </c>
      <c r="F187" s="350">
        <f>('User Input'!H$252*'Administrator Input'!$F$61*F$28)/1000*'User Input'!$F$252</f>
        <v>0</v>
      </c>
      <c r="G187" s="350">
        <f>('User Input'!I$252*'Administrator Input'!$F$61*G$28)/1000*'User Input'!$F$252</f>
        <v>0</v>
      </c>
      <c r="H187" s="350">
        <f>('User Input'!J$252*'Administrator Input'!$F$61*H$28)/1000*'User Input'!$F$252</f>
        <v>0</v>
      </c>
      <c r="I187" s="350">
        <f>('User Input'!K$252*'Administrator Input'!$F$61*I$28)/1000*'User Input'!$F$252</f>
        <v>0</v>
      </c>
      <c r="J187" s="350">
        <f>('User Input'!L$252*'Administrator Input'!$F$61*J$28)/1000*'User Input'!$F$252</f>
        <v>0</v>
      </c>
      <c r="K187" s="350">
        <f>('User Input'!M$252*'Administrator Input'!$F$61*K$28)/1000*'User Input'!$F$252</f>
        <v>0</v>
      </c>
      <c r="L187" s="350">
        <f>('User Input'!N$252*'Administrator Input'!$F$61*L$28)/1000*'User Input'!$F$252</f>
        <v>0</v>
      </c>
      <c r="M187" s="350">
        <f>('User Input'!O$252*'Administrator Input'!$F$61*M$28)/1000*'User Input'!$F$252</f>
        <v>0</v>
      </c>
      <c r="N187" s="350">
        <f>('User Input'!P$252*'Administrator Input'!$F$61*N$28)/1000*'User Input'!$F$252</f>
        <v>0</v>
      </c>
      <c r="O187" s="350">
        <f>('User Input'!Q$252*'Administrator Input'!$F$61*O$28)/1000*'User Input'!$F$252</f>
        <v>0</v>
      </c>
      <c r="P187" s="350">
        <f>('User Input'!R$252*'Administrator Input'!$F$61*P$28)/1000*'User Input'!$F$252</f>
        <v>0</v>
      </c>
      <c r="Q187" s="350">
        <f>('User Input'!S$252*'Administrator Input'!$F$61*Q$28)/1000*'User Input'!$F$252</f>
        <v>0</v>
      </c>
      <c r="R187" s="350">
        <f>('User Input'!T$252*'Administrator Input'!$F$61*R$28)/1000*'User Input'!$F$252</f>
        <v>0</v>
      </c>
      <c r="S187" s="350">
        <f>('User Input'!U$252*'Administrator Input'!$F$61*S$28)/1000*'User Input'!$F$252</f>
        <v>0</v>
      </c>
      <c r="T187" s="350">
        <f>('User Input'!V$252*'Administrator Input'!$F$61*T$28)/1000*'User Input'!$F$252</f>
        <v>0</v>
      </c>
      <c r="U187" s="350">
        <f>('User Input'!W$252*'Administrator Input'!$F$61*U$28)/1000*'User Input'!$F$252</f>
        <v>0</v>
      </c>
      <c r="V187" s="350">
        <f>('User Input'!X$252*'Administrator Input'!$F$61*V$28)/1000*'User Input'!$F$252</f>
        <v>0</v>
      </c>
      <c r="W187" s="350">
        <f>('User Input'!Y$252*'Administrator Input'!$F$61*W$28)/1000*'User Input'!$F$252</f>
        <v>0</v>
      </c>
      <c r="X187" s="350">
        <f>('User Input'!Z$252*'Administrator Input'!$F$61*X$28)/1000*'User Input'!$F$252</f>
        <v>0</v>
      </c>
      <c r="Y187" s="348"/>
    </row>
    <row r="188" spans="2:25" s="344" customFormat="1" x14ac:dyDescent="0.2">
      <c r="B188" s="345"/>
      <c r="C188" s="346" t="str">
        <f>'User Input'!$D$254</f>
        <v>Option Value</v>
      </c>
      <c r="D188" s="349">
        <f t="shared" si="59"/>
        <v>0</v>
      </c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48"/>
    </row>
    <row r="189" spans="2:25" s="229" customFormat="1" x14ac:dyDescent="0.2">
      <c r="B189" s="231"/>
      <c r="C189" s="346" t="str">
        <f>'User Input'!$D$262</f>
        <v>Avoided Network Losses</v>
      </c>
      <c r="D189" s="243">
        <f t="shared" si="59"/>
        <v>0</v>
      </c>
      <c r="E189" s="244">
        <f>('User Input'!G268*'Administrator Input'!$F$62*E$28)/1000*'User Input'!$F$268</f>
        <v>0</v>
      </c>
      <c r="F189" s="244">
        <f>('User Input'!H268*'Administrator Input'!$F$62*F$28)/1000*'User Input'!$F$268</f>
        <v>0</v>
      </c>
      <c r="G189" s="244">
        <f>('User Input'!I268*'Administrator Input'!$F$62*G$28)/1000*'User Input'!$F$268</f>
        <v>0</v>
      </c>
      <c r="H189" s="244">
        <f>('User Input'!J268*'Administrator Input'!$F$62*H$28)/1000*'User Input'!$F$268</f>
        <v>0</v>
      </c>
      <c r="I189" s="244">
        <f>('User Input'!K268*'Administrator Input'!$F$62*I$28)/1000*'User Input'!$F$268</f>
        <v>0</v>
      </c>
      <c r="J189" s="244">
        <f>('User Input'!L268*'Administrator Input'!$F$62*J$28)/1000*'User Input'!$F$268</f>
        <v>0</v>
      </c>
      <c r="K189" s="244">
        <f>('User Input'!M268*'Administrator Input'!$F$62*K$28)/1000*'User Input'!$F$268</f>
        <v>0</v>
      </c>
      <c r="L189" s="244">
        <f>('User Input'!N268*'Administrator Input'!$F$62*L$28)/1000*'User Input'!$F$268</f>
        <v>0</v>
      </c>
      <c r="M189" s="244">
        <f>('User Input'!O268*'Administrator Input'!$F$62*M$28)/1000*'User Input'!$F$268</f>
        <v>0</v>
      </c>
      <c r="N189" s="244">
        <f>('User Input'!P268*'Administrator Input'!$F$62*N$28)/1000*'User Input'!$F$268</f>
        <v>0</v>
      </c>
      <c r="O189" s="244">
        <f>('User Input'!Q268*'Administrator Input'!$F$62*O$28)/1000*'User Input'!$F$268</f>
        <v>0</v>
      </c>
      <c r="P189" s="244">
        <f>('User Input'!R268*'Administrator Input'!$F$62*P$28)/1000*'User Input'!$F$268</f>
        <v>0</v>
      </c>
      <c r="Q189" s="244">
        <f>('User Input'!S268*'Administrator Input'!$F$62*Q$28)/1000*'User Input'!$F$268</f>
        <v>0</v>
      </c>
      <c r="R189" s="244">
        <f>('User Input'!T268*'Administrator Input'!$F$62*R$28)/1000*'User Input'!$F$268</f>
        <v>0</v>
      </c>
      <c r="S189" s="244">
        <f>('User Input'!U268*'Administrator Input'!$F$62*S$28)/1000*'User Input'!$F$268</f>
        <v>0</v>
      </c>
      <c r="T189" s="244">
        <f>('User Input'!V268*'Administrator Input'!$F$62*T$28)/1000*'User Input'!$F$268</f>
        <v>0</v>
      </c>
      <c r="U189" s="244">
        <f>('User Input'!W268*'Administrator Input'!$F$62*U$28)/1000*'User Input'!$F$268</f>
        <v>0</v>
      </c>
      <c r="V189" s="244">
        <f>('User Input'!X268*'Administrator Input'!$F$62*V$28)/1000*'User Input'!$F$268</f>
        <v>0</v>
      </c>
      <c r="W189" s="244">
        <f>('User Input'!Y268*'Administrator Input'!$F$62*W$28)/1000*'User Input'!$F$268</f>
        <v>0</v>
      </c>
      <c r="X189" s="244">
        <f>('User Input'!Z268*'Administrator Input'!$F$62*X$28)/1000*'User Input'!$F$268</f>
        <v>0</v>
      </c>
      <c r="Y189" s="232"/>
    </row>
    <row r="190" spans="2:25" s="344" customFormat="1" x14ac:dyDescent="0.2">
      <c r="B190" s="345"/>
      <c r="C190" s="346" t="str">
        <f>'User Input'!$D$270</f>
        <v>Other Benefits</v>
      </c>
      <c r="D190" s="349">
        <f t="shared" si="59"/>
        <v>0</v>
      </c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48"/>
    </row>
    <row r="191" spans="2:25" s="347" customFormat="1" x14ac:dyDescent="0.2">
      <c r="B191" s="345"/>
      <c r="C191" s="352" t="str">
        <f>IF('User Input'!$D$209&lt;&gt;0,'User Input'!$D$283,0)</f>
        <v>Avoided Environmental Impact</v>
      </c>
      <c r="D191" s="349">
        <f t="shared" si="59"/>
        <v>0</v>
      </c>
      <c r="E191" s="350">
        <f>IF($C$191=0,0,'User Input'!G$289*E$28*'User Input'!$F$289)</f>
        <v>0</v>
      </c>
      <c r="F191" s="350">
        <f>IF($C$191=0,0,'User Input'!H$289*F$28*'User Input'!$F$289)</f>
        <v>0</v>
      </c>
      <c r="G191" s="350">
        <f>IF($C$191=0,0,'User Input'!I$289*G$28*'User Input'!$F$289)</f>
        <v>0</v>
      </c>
      <c r="H191" s="350">
        <f>IF($C$191=0,0,'User Input'!J$289*H$28*'User Input'!$F$289)</f>
        <v>0</v>
      </c>
      <c r="I191" s="350">
        <f>IF($C$191=0,0,'User Input'!K$289*I$28*'User Input'!$F$289)</f>
        <v>0</v>
      </c>
      <c r="J191" s="350">
        <f>IF($C$191=0,0,'User Input'!L$289*J$28*'User Input'!$F$289)</f>
        <v>0</v>
      </c>
      <c r="K191" s="350">
        <f>IF($C$191=0,0,'User Input'!M$289*K$28*'User Input'!$F$289)</f>
        <v>0</v>
      </c>
      <c r="L191" s="350">
        <f>IF($C$191=0,0,'User Input'!N$289*L$28*'User Input'!$F$289)</f>
        <v>0</v>
      </c>
      <c r="M191" s="350">
        <f>IF($C$191=0,0,'User Input'!O$289*M$28*'User Input'!$F$289)</f>
        <v>0</v>
      </c>
      <c r="N191" s="350">
        <f>IF($C$191=0,0,'User Input'!P$289*N$28*'User Input'!$F$289)</f>
        <v>0</v>
      </c>
      <c r="O191" s="350">
        <f>IF($C$191=0,0,'User Input'!Q$289*O$28*'User Input'!$F$289)</f>
        <v>0</v>
      </c>
      <c r="P191" s="350">
        <f>IF($C$191=0,0,'User Input'!R$289*P$28*'User Input'!$F$289)</f>
        <v>0</v>
      </c>
      <c r="Q191" s="350">
        <f>IF($C$191=0,0,'User Input'!S$289*Q$28*'User Input'!$F$289)</f>
        <v>0</v>
      </c>
      <c r="R191" s="350">
        <f>IF($C$191=0,0,'User Input'!T$289*R$28*'User Input'!$F$289)</f>
        <v>0</v>
      </c>
      <c r="S191" s="350">
        <f>IF($C$191=0,0,'User Input'!U$289*S$28*'User Input'!$F$289)</f>
        <v>0</v>
      </c>
      <c r="T191" s="350">
        <f>IF($C$191=0,0,'User Input'!V$289*T$28*'User Input'!$F$289)</f>
        <v>0</v>
      </c>
      <c r="U191" s="350">
        <f>IF($C$191=0,0,'User Input'!W$289*U$28*'User Input'!$F$289)</f>
        <v>0</v>
      </c>
      <c r="V191" s="350">
        <f>IF($C$191=0,0,'User Input'!X$289*V$28*'User Input'!$F$289)</f>
        <v>0</v>
      </c>
      <c r="W191" s="350">
        <f>IF($C$191=0,0,'User Input'!Y$289*W$28*'User Input'!$F$289)</f>
        <v>0</v>
      </c>
      <c r="X191" s="350">
        <f>IF($C$191=0,0,'User Input'!Z$289*X$28*'User Input'!$F$289)</f>
        <v>0</v>
      </c>
      <c r="Y191" s="348"/>
    </row>
    <row r="192" spans="2:25" s="347" customFormat="1" x14ac:dyDescent="0.2">
      <c r="B192" s="345"/>
      <c r="C192" s="352" t="str">
        <f>IF('User Input'!$D$209&lt;&gt;0,'User Input'!$D$291,0)</f>
        <v>Community Health and Safety</v>
      </c>
      <c r="D192" s="349">
        <f t="shared" si="59"/>
        <v>0</v>
      </c>
      <c r="E192" s="350">
        <f>IF($C$192=0,0,'User Input'!G$297*E$28*'User Input'!$F$297)</f>
        <v>0</v>
      </c>
      <c r="F192" s="350">
        <f>IF($C$192=0,0,'User Input'!H$297*F$28*'User Input'!$F$297)</f>
        <v>0</v>
      </c>
      <c r="G192" s="350">
        <f>IF($C$192=0,0,'User Input'!I$297*G$28*'User Input'!$F$297)</f>
        <v>0</v>
      </c>
      <c r="H192" s="350">
        <f>IF($C$192=0,0,'User Input'!J$297*H$28*'User Input'!$F$297)</f>
        <v>0</v>
      </c>
      <c r="I192" s="350">
        <f>IF($C$192=0,0,'User Input'!K$297*I$28*'User Input'!$F$297)</f>
        <v>0</v>
      </c>
      <c r="J192" s="350">
        <f>IF($C$192=0,0,'User Input'!L$297*J$28*'User Input'!$F$297)</f>
        <v>0</v>
      </c>
      <c r="K192" s="350">
        <f>IF($C$192=0,0,'User Input'!M$297*K$28*'User Input'!$F$297)</f>
        <v>0</v>
      </c>
      <c r="L192" s="350">
        <f>IF($C$192=0,0,'User Input'!N$297*L$28*'User Input'!$F$297)</f>
        <v>0</v>
      </c>
      <c r="M192" s="350">
        <f>IF($C$192=0,0,'User Input'!O$297*M$28*'User Input'!$F$297)</f>
        <v>0</v>
      </c>
      <c r="N192" s="350">
        <f>IF($C$192=0,0,'User Input'!P$297*N$28*'User Input'!$F$297)</f>
        <v>0</v>
      </c>
      <c r="O192" s="350">
        <f>IF($C$192=0,0,'User Input'!Q$297*O$28*'User Input'!$F$297)</f>
        <v>0</v>
      </c>
      <c r="P192" s="350">
        <f>IF($C$192=0,0,'User Input'!R$297*P$28*'User Input'!$F$297)</f>
        <v>0</v>
      </c>
      <c r="Q192" s="350">
        <f>IF($C$192=0,0,'User Input'!S$297*Q$28*'User Input'!$F$297)</f>
        <v>0</v>
      </c>
      <c r="R192" s="350">
        <f>IF($C$192=0,0,'User Input'!T$297*R$28*'User Input'!$F$297)</f>
        <v>0</v>
      </c>
      <c r="S192" s="350">
        <f>IF($C$192=0,0,'User Input'!U$297*S$28*'User Input'!$F$297)</f>
        <v>0</v>
      </c>
      <c r="T192" s="350">
        <f>IF($C$192=0,0,'User Input'!V$297*T$28*'User Input'!$F$297)</f>
        <v>0</v>
      </c>
      <c r="U192" s="350">
        <f>IF($C$192=0,0,'User Input'!W$297*U$28*'User Input'!$F$297)</f>
        <v>0</v>
      </c>
      <c r="V192" s="350">
        <f>IF($C$192=0,0,'User Input'!X$297*V$28*'User Input'!$F$297)</f>
        <v>0</v>
      </c>
      <c r="W192" s="350">
        <f>IF($C$192=0,0,'User Input'!Y$297*W$28*'User Input'!$F$297)</f>
        <v>0</v>
      </c>
      <c r="X192" s="350">
        <f>IF($C$192=0,0,'User Input'!Z$297*X$28*'User Input'!$F$297)</f>
        <v>0</v>
      </c>
      <c r="Y192" s="348"/>
    </row>
    <row r="193" spans="2:25" s="347" customFormat="1" x14ac:dyDescent="0.2">
      <c r="B193" s="345"/>
      <c r="C193" s="352" t="str">
        <f>IF('User Input'!$D$209&lt;&gt;0,'User Input'!$D$299,0)</f>
        <v>Other Benefits</v>
      </c>
      <c r="D193" s="349">
        <f t="shared" si="59"/>
        <v>0</v>
      </c>
      <c r="E193" s="350">
        <f>IF($C$193=0,0,'User Input'!G$305*E$28*'User Input'!$F$305)</f>
        <v>0</v>
      </c>
      <c r="F193" s="350">
        <f>IF($C$193=0,0,'User Input'!H$305*F$28*'User Input'!$F$305)</f>
        <v>0</v>
      </c>
      <c r="G193" s="350">
        <f>IF($C$193=0,0,'User Input'!I$305*G$28*'User Input'!$F$305)</f>
        <v>0</v>
      </c>
      <c r="H193" s="350">
        <f>IF($C$193=0,0,'User Input'!J$305*H$28*'User Input'!$F$305)</f>
        <v>0</v>
      </c>
      <c r="I193" s="350">
        <f>IF($C$193=0,0,'User Input'!K$305*I$28*'User Input'!$F$305)</f>
        <v>0</v>
      </c>
      <c r="J193" s="350">
        <f>IF($C$193=0,0,'User Input'!L$305*J$28*'User Input'!$F$305)</f>
        <v>0</v>
      </c>
      <c r="K193" s="350">
        <f>IF($C$193=0,0,'User Input'!M$305*K$28*'User Input'!$F$305)</f>
        <v>0</v>
      </c>
      <c r="L193" s="350">
        <f>IF($C$193=0,0,'User Input'!N$305*L$28*'User Input'!$F$305)</f>
        <v>0</v>
      </c>
      <c r="M193" s="350">
        <f>IF($C$193=0,0,'User Input'!O$305*M$28*'User Input'!$F$305)</f>
        <v>0</v>
      </c>
      <c r="N193" s="350">
        <f>IF($C$193=0,0,'User Input'!P$305*N$28*'User Input'!$F$305)</f>
        <v>0</v>
      </c>
      <c r="O193" s="350">
        <f>IF($C$193=0,0,'User Input'!Q$305*O$28*'User Input'!$F$305)</f>
        <v>0</v>
      </c>
      <c r="P193" s="350">
        <f>IF($C$193=0,0,'User Input'!R$305*P$28*'User Input'!$F$305)</f>
        <v>0</v>
      </c>
      <c r="Q193" s="350">
        <f>IF($C$193=0,0,'User Input'!S$305*Q$28*'User Input'!$F$305)</f>
        <v>0</v>
      </c>
      <c r="R193" s="350">
        <f>IF($C$193=0,0,'User Input'!T$305*R$28*'User Input'!$F$305)</f>
        <v>0</v>
      </c>
      <c r="S193" s="350">
        <f>IF($C$193=0,0,'User Input'!U$305*S$28*'User Input'!$F$305)</f>
        <v>0</v>
      </c>
      <c r="T193" s="350">
        <f>IF($C$193=0,0,'User Input'!V$305*T$28*'User Input'!$F$305)</f>
        <v>0</v>
      </c>
      <c r="U193" s="350">
        <f>IF($C$193=0,0,'User Input'!W$305*U$28*'User Input'!$F$305)</f>
        <v>0</v>
      </c>
      <c r="V193" s="350">
        <f>IF($C$193=0,0,'User Input'!X$305*V$28*'User Input'!$F$305)</f>
        <v>0</v>
      </c>
      <c r="W193" s="350">
        <f>IF($C$193=0,0,'User Input'!Y$305*W$28*'User Input'!$F$305)</f>
        <v>0</v>
      </c>
      <c r="X193" s="350">
        <f>IF($C$193=0,0,'User Input'!Z$305*X$28*'User Input'!$F$305)</f>
        <v>0</v>
      </c>
      <c r="Y193" s="348"/>
    </row>
    <row r="194" spans="2:25" s="229" customFormat="1" x14ac:dyDescent="0.2">
      <c r="B194" s="345"/>
      <c r="C194" s="234" t="s">
        <v>173</v>
      </c>
      <c r="D194" s="246">
        <f t="shared" ref="D194:X194" si="60">SUM(D183:D193)</f>
        <v>0</v>
      </c>
      <c r="E194" s="246">
        <f t="shared" si="60"/>
        <v>0</v>
      </c>
      <c r="F194" s="246">
        <f t="shared" si="60"/>
        <v>0</v>
      </c>
      <c r="G194" s="246">
        <f t="shared" si="60"/>
        <v>0</v>
      </c>
      <c r="H194" s="246">
        <f t="shared" si="60"/>
        <v>0</v>
      </c>
      <c r="I194" s="246">
        <f t="shared" si="60"/>
        <v>0</v>
      </c>
      <c r="J194" s="246">
        <f t="shared" si="60"/>
        <v>0</v>
      </c>
      <c r="K194" s="246">
        <f t="shared" si="60"/>
        <v>0</v>
      </c>
      <c r="L194" s="246">
        <f t="shared" si="60"/>
        <v>0</v>
      </c>
      <c r="M194" s="246">
        <f t="shared" si="60"/>
        <v>0</v>
      </c>
      <c r="N194" s="246">
        <f t="shared" si="60"/>
        <v>0</v>
      </c>
      <c r="O194" s="246">
        <f t="shared" si="60"/>
        <v>0</v>
      </c>
      <c r="P194" s="246">
        <f t="shared" si="60"/>
        <v>0</v>
      </c>
      <c r="Q194" s="246">
        <f t="shared" si="60"/>
        <v>0</v>
      </c>
      <c r="R194" s="246">
        <f t="shared" si="60"/>
        <v>0</v>
      </c>
      <c r="S194" s="246">
        <f t="shared" si="60"/>
        <v>0</v>
      </c>
      <c r="T194" s="246">
        <f t="shared" si="60"/>
        <v>0</v>
      </c>
      <c r="U194" s="246">
        <f t="shared" si="60"/>
        <v>0</v>
      </c>
      <c r="V194" s="246">
        <f t="shared" si="60"/>
        <v>0</v>
      </c>
      <c r="W194" s="246">
        <f t="shared" si="60"/>
        <v>0</v>
      </c>
      <c r="X194" s="246">
        <f t="shared" si="60"/>
        <v>0</v>
      </c>
      <c r="Y194" s="232"/>
    </row>
    <row r="195" spans="2:25" s="229" customFormat="1" x14ac:dyDescent="0.2">
      <c r="B195" s="231"/>
      <c r="D195" s="244"/>
      <c r="E195" s="244"/>
      <c r="F195" s="244"/>
      <c r="G195" s="244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32"/>
    </row>
    <row r="196" spans="2:25" s="158" customFormat="1" x14ac:dyDescent="0.2">
      <c r="B196" s="169"/>
      <c r="C196" s="170" t="s">
        <v>116</v>
      </c>
      <c r="D196" s="252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173"/>
    </row>
    <row r="197" spans="2:25" s="158" customFormat="1" x14ac:dyDescent="0.2">
      <c r="B197" s="169"/>
      <c r="C197" s="236" t="str">
        <f>$C$47</f>
        <v>Annualised Cost - capex (2019)</v>
      </c>
      <c r="D197" s="247">
        <f t="shared" ref="D197:D204" si="61">SUM(E197:X197)</f>
        <v>0</v>
      </c>
      <c r="E197" s="244">
        <f>IF(E406&gt;0,E408,0)</f>
        <v>0</v>
      </c>
      <c r="F197" s="244">
        <f t="shared" ref="F197:X197" si="62">IF(F406&gt;0,F408,0)</f>
        <v>0</v>
      </c>
      <c r="G197" s="244">
        <f t="shared" si="62"/>
        <v>0</v>
      </c>
      <c r="H197" s="244">
        <f t="shared" si="62"/>
        <v>0</v>
      </c>
      <c r="I197" s="244">
        <f t="shared" si="62"/>
        <v>0</v>
      </c>
      <c r="J197" s="244">
        <f t="shared" si="62"/>
        <v>0</v>
      </c>
      <c r="K197" s="244">
        <f t="shared" si="62"/>
        <v>0</v>
      </c>
      <c r="L197" s="244">
        <f t="shared" si="62"/>
        <v>0</v>
      </c>
      <c r="M197" s="244">
        <f t="shared" si="62"/>
        <v>0</v>
      </c>
      <c r="N197" s="244">
        <f t="shared" si="62"/>
        <v>0</v>
      </c>
      <c r="O197" s="244">
        <f t="shared" si="62"/>
        <v>0</v>
      </c>
      <c r="P197" s="244">
        <f t="shared" si="62"/>
        <v>0</v>
      </c>
      <c r="Q197" s="244">
        <f t="shared" si="62"/>
        <v>0</v>
      </c>
      <c r="R197" s="244">
        <f t="shared" si="62"/>
        <v>0</v>
      </c>
      <c r="S197" s="244">
        <f t="shared" si="62"/>
        <v>0</v>
      </c>
      <c r="T197" s="244">
        <f t="shared" si="62"/>
        <v>0</v>
      </c>
      <c r="U197" s="244">
        <f t="shared" si="62"/>
        <v>0</v>
      </c>
      <c r="V197" s="244">
        <f t="shared" si="62"/>
        <v>0</v>
      </c>
      <c r="W197" s="244">
        <f t="shared" si="62"/>
        <v>0</v>
      </c>
      <c r="X197" s="244">
        <f t="shared" si="62"/>
        <v>0</v>
      </c>
      <c r="Y197" s="173"/>
    </row>
    <row r="198" spans="2:25" s="158" customFormat="1" x14ac:dyDescent="0.2">
      <c r="B198" s="169"/>
      <c r="C198" s="236" t="str">
        <f>$C$48</f>
        <v>Annualised Cost - capex (2020)</v>
      </c>
      <c r="D198" s="247">
        <f t="shared" si="61"/>
        <v>0</v>
      </c>
      <c r="E198" s="260">
        <v>0</v>
      </c>
      <c r="F198" s="244">
        <f>IF(F413&gt;0,F415,0)</f>
        <v>0</v>
      </c>
      <c r="G198" s="244">
        <f t="shared" ref="G198:X198" si="63">IF(G413&gt;0,G415,0)</f>
        <v>0</v>
      </c>
      <c r="H198" s="244">
        <f t="shared" si="63"/>
        <v>0</v>
      </c>
      <c r="I198" s="244">
        <f t="shared" si="63"/>
        <v>0</v>
      </c>
      <c r="J198" s="244">
        <f t="shared" si="63"/>
        <v>0</v>
      </c>
      <c r="K198" s="244">
        <f t="shared" si="63"/>
        <v>0</v>
      </c>
      <c r="L198" s="244">
        <f t="shared" si="63"/>
        <v>0</v>
      </c>
      <c r="M198" s="244">
        <f t="shared" si="63"/>
        <v>0</v>
      </c>
      <c r="N198" s="244">
        <f t="shared" si="63"/>
        <v>0</v>
      </c>
      <c r="O198" s="244">
        <f t="shared" si="63"/>
        <v>0</v>
      </c>
      <c r="P198" s="244">
        <f t="shared" si="63"/>
        <v>0</v>
      </c>
      <c r="Q198" s="244">
        <f t="shared" si="63"/>
        <v>0</v>
      </c>
      <c r="R198" s="244">
        <f t="shared" si="63"/>
        <v>0</v>
      </c>
      <c r="S198" s="244">
        <f t="shared" si="63"/>
        <v>0</v>
      </c>
      <c r="T198" s="244">
        <f t="shared" si="63"/>
        <v>0</v>
      </c>
      <c r="U198" s="244">
        <f t="shared" si="63"/>
        <v>0</v>
      </c>
      <c r="V198" s="244">
        <f t="shared" si="63"/>
        <v>0</v>
      </c>
      <c r="W198" s="244">
        <f t="shared" si="63"/>
        <v>0</v>
      </c>
      <c r="X198" s="244">
        <f t="shared" si="63"/>
        <v>0</v>
      </c>
      <c r="Y198" s="173"/>
    </row>
    <row r="199" spans="2:25" s="158" customFormat="1" x14ac:dyDescent="0.2">
      <c r="B199" s="169"/>
      <c r="C199" s="236" t="str">
        <f>$C$49</f>
        <v>Annualised Cost - capex (2021)</v>
      </c>
      <c r="D199" s="247">
        <f t="shared" si="61"/>
        <v>0</v>
      </c>
      <c r="E199" s="260">
        <v>0</v>
      </c>
      <c r="F199" s="260">
        <v>0</v>
      </c>
      <c r="G199" s="244">
        <f>IF(G420&gt;0,G422,0)</f>
        <v>0</v>
      </c>
      <c r="H199" s="244">
        <f t="shared" ref="H199:X199" si="64">IF(H420&gt;0,H422,0)</f>
        <v>0</v>
      </c>
      <c r="I199" s="244">
        <f t="shared" si="64"/>
        <v>0</v>
      </c>
      <c r="J199" s="244">
        <f t="shared" si="64"/>
        <v>0</v>
      </c>
      <c r="K199" s="244">
        <f t="shared" si="64"/>
        <v>0</v>
      </c>
      <c r="L199" s="244">
        <f t="shared" si="64"/>
        <v>0</v>
      </c>
      <c r="M199" s="244">
        <f t="shared" si="64"/>
        <v>0</v>
      </c>
      <c r="N199" s="244">
        <f t="shared" si="64"/>
        <v>0</v>
      </c>
      <c r="O199" s="244">
        <f t="shared" si="64"/>
        <v>0</v>
      </c>
      <c r="P199" s="244">
        <f t="shared" si="64"/>
        <v>0</v>
      </c>
      <c r="Q199" s="244">
        <f t="shared" si="64"/>
        <v>0</v>
      </c>
      <c r="R199" s="244">
        <f t="shared" si="64"/>
        <v>0</v>
      </c>
      <c r="S199" s="244">
        <f t="shared" si="64"/>
        <v>0</v>
      </c>
      <c r="T199" s="244">
        <f t="shared" si="64"/>
        <v>0</v>
      </c>
      <c r="U199" s="244">
        <f t="shared" si="64"/>
        <v>0</v>
      </c>
      <c r="V199" s="244">
        <f t="shared" si="64"/>
        <v>0</v>
      </c>
      <c r="W199" s="244">
        <f t="shared" si="64"/>
        <v>0</v>
      </c>
      <c r="X199" s="244">
        <f t="shared" si="64"/>
        <v>0</v>
      </c>
      <c r="Y199" s="173"/>
    </row>
    <row r="200" spans="2:25" s="158" customFormat="1" x14ac:dyDescent="0.2">
      <c r="B200" s="169"/>
      <c r="C200" s="236" t="str">
        <f>$C$50</f>
        <v>Annualised Cost - capex (2022)</v>
      </c>
      <c r="D200" s="247">
        <f t="shared" si="61"/>
        <v>0</v>
      </c>
      <c r="E200" s="260">
        <v>0</v>
      </c>
      <c r="F200" s="260">
        <v>0</v>
      </c>
      <c r="G200" s="260">
        <v>0</v>
      </c>
      <c r="H200" s="244">
        <f>IF(H427&gt;0,H429,0)</f>
        <v>0</v>
      </c>
      <c r="I200" s="244">
        <f t="shared" ref="I200:X200" si="65">IF(I427&gt;0,I429,0)</f>
        <v>0</v>
      </c>
      <c r="J200" s="244">
        <f t="shared" si="65"/>
        <v>0</v>
      </c>
      <c r="K200" s="244">
        <f t="shared" si="65"/>
        <v>0</v>
      </c>
      <c r="L200" s="244">
        <f t="shared" si="65"/>
        <v>0</v>
      </c>
      <c r="M200" s="244">
        <f t="shared" si="65"/>
        <v>0</v>
      </c>
      <c r="N200" s="244">
        <f t="shared" si="65"/>
        <v>0</v>
      </c>
      <c r="O200" s="244">
        <f t="shared" si="65"/>
        <v>0</v>
      </c>
      <c r="P200" s="244">
        <f t="shared" si="65"/>
        <v>0</v>
      </c>
      <c r="Q200" s="244">
        <f t="shared" si="65"/>
        <v>0</v>
      </c>
      <c r="R200" s="244">
        <f t="shared" si="65"/>
        <v>0</v>
      </c>
      <c r="S200" s="244">
        <f t="shared" si="65"/>
        <v>0</v>
      </c>
      <c r="T200" s="244">
        <f t="shared" si="65"/>
        <v>0</v>
      </c>
      <c r="U200" s="244">
        <f t="shared" si="65"/>
        <v>0</v>
      </c>
      <c r="V200" s="244">
        <f t="shared" si="65"/>
        <v>0</v>
      </c>
      <c r="W200" s="244">
        <f t="shared" si="65"/>
        <v>0</v>
      </c>
      <c r="X200" s="244">
        <f t="shared" si="65"/>
        <v>0</v>
      </c>
      <c r="Y200" s="173"/>
    </row>
    <row r="201" spans="2:25" s="158" customFormat="1" x14ac:dyDescent="0.2">
      <c r="B201" s="169"/>
      <c r="C201" s="236" t="str">
        <f>$C$51</f>
        <v>Annualised Cost - capex (2023)</v>
      </c>
      <c r="D201" s="247">
        <f t="shared" si="61"/>
        <v>0</v>
      </c>
      <c r="E201" s="260">
        <v>0</v>
      </c>
      <c r="F201" s="260">
        <v>0</v>
      </c>
      <c r="G201" s="260">
        <v>0</v>
      </c>
      <c r="H201" s="260">
        <v>0</v>
      </c>
      <c r="I201" s="244">
        <f>IF(I434&gt;0,I436,0)</f>
        <v>0</v>
      </c>
      <c r="J201" s="244">
        <f t="shared" ref="J201:X201" si="66">IF(J434&gt;0,J436,0)</f>
        <v>0</v>
      </c>
      <c r="K201" s="244">
        <f t="shared" si="66"/>
        <v>0</v>
      </c>
      <c r="L201" s="244">
        <f t="shared" si="66"/>
        <v>0</v>
      </c>
      <c r="M201" s="244">
        <f t="shared" si="66"/>
        <v>0</v>
      </c>
      <c r="N201" s="244">
        <f t="shared" si="66"/>
        <v>0</v>
      </c>
      <c r="O201" s="244">
        <f t="shared" si="66"/>
        <v>0</v>
      </c>
      <c r="P201" s="244">
        <f t="shared" si="66"/>
        <v>0</v>
      </c>
      <c r="Q201" s="244">
        <f t="shared" si="66"/>
        <v>0</v>
      </c>
      <c r="R201" s="244">
        <f t="shared" si="66"/>
        <v>0</v>
      </c>
      <c r="S201" s="244">
        <f t="shared" si="66"/>
        <v>0</v>
      </c>
      <c r="T201" s="244">
        <f t="shared" si="66"/>
        <v>0</v>
      </c>
      <c r="U201" s="244">
        <f t="shared" si="66"/>
        <v>0</v>
      </c>
      <c r="V201" s="244">
        <f t="shared" si="66"/>
        <v>0</v>
      </c>
      <c r="W201" s="244">
        <f t="shared" si="66"/>
        <v>0</v>
      </c>
      <c r="X201" s="244">
        <f t="shared" si="66"/>
        <v>0</v>
      </c>
      <c r="Y201" s="173"/>
    </row>
    <row r="202" spans="2:25" s="158" customFormat="1" x14ac:dyDescent="0.2">
      <c r="B202" s="169"/>
      <c r="C202" s="235" t="str">
        <f>$C$52</f>
        <v>O&amp;M Costs</v>
      </c>
      <c r="D202" s="247">
        <f t="shared" si="61"/>
        <v>0</v>
      </c>
      <c r="E202" s="244">
        <f>'User Input'!G327*SUM('User Input'!$F20:F20)*E28</f>
        <v>0</v>
      </c>
      <c r="F202" s="244">
        <f>'User Input'!H327*SUM('User Input'!$F20:G20)*F28</f>
        <v>0</v>
      </c>
      <c r="G202" s="244">
        <f>'User Input'!I327*SUM('User Input'!$F20:H20)*G28</f>
        <v>0</v>
      </c>
      <c r="H202" s="244">
        <f>'User Input'!J327*SUM('User Input'!$F20:I20)*H28</f>
        <v>0</v>
      </c>
      <c r="I202" s="244">
        <f>'User Input'!K327*SUM('User Input'!$F20:J20)*I28</f>
        <v>0</v>
      </c>
      <c r="J202" s="244">
        <f>'User Input'!L327*SUM('User Input'!$F20:K20)*J28</f>
        <v>0</v>
      </c>
      <c r="K202" s="244">
        <f>'User Input'!M327*SUM('User Input'!$F20:L20)*K28</f>
        <v>0</v>
      </c>
      <c r="L202" s="244">
        <f>'User Input'!N327*SUM('User Input'!$F20:M20)*L28</f>
        <v>0</v>
      </c>
      <c r="M202" s="244">
        <f>'User Input'!O327*SUM('User Input'!$F20:N20)*M28</f>
        <v>0</v>
      </c>
      <c r="N202" s="244">
        <f>'User Input'!P327*SUM('User Input'!$F20:O20)*N28</f>
        <v>0</v>
      </c>
      <c r="O202" s="244">
        <f>'User Input'!Q327*SUM('User Input'!$F20:P20)*O28</f>
        <v>0</v>
      </c>
      <c r="P202" s="244">
        <f>'User Input'!R327*SUM('User Input'!$F20:Q20)*P28</f>
        <v>0</v>
      </c>
      <c r="Q202" s="244">
        <f>'User Input'!S327*SUM('User Input'!$F20:R20)*Q28</f>
        <v>0</v>
      </c>
      <c r="R202" s="244">
        <f>'User Input'!T327*SUM('User Input'!$F20:S20)*R28</f>
        <v>0</v>
      </c>
      <c r="S202" s="244">
        <f>'User Input'!U327*SUM('User Input'!$F20:T20)*S28</f>
        <v>0</v>
      </c>
      <c r="T202" s="244">
        <f>'User Input'!V327*SUM('User Input'!$F20:U20)*T28</f>
        <v>0</v>
      </c>
      <c r="U202" s="244">
        <f>'User Input'!W327*SUM('User Input'!$F20:V20)*U28</f>
        <v>0</v>
      </c>
      <c r="V202" s="244">
        <f>'User Input'!X327*SUM('User Input'!$F20:W20)*V28</f>
        <v>0</v>
      </c>
      <c r="W202" s="244">
        <f>'User Input'!Y327*SUM('User Input'!$F20:X20)*W28</f>
        <v>0</v>
      </c>
      <c r="X202" s="244">
        <f>'User Input'!Z327*SUM('User Input'!$F20:Y20)*X28</f>
        <v>0</v>
      </c>
      <c r="Y202" s="173"/>
    </row>
    <row r="203" spans="2:25" s="158" customFormat="1" x14ac:dyDescent="0.2">
      <c r="B203" s="169"/>
      <c r="C203" s="235" t="str">
        <f>$C$53</f>
        <v>Compliance and Admin Costs</v>
      </c>
      <c r="D203" s="247">
        <f t="shared" si="61"/>
        <v>0</v>
      </c>
      <c r="E203" s="244">
        <f>'User Input'!G335*E28</f>
        <v>0</v>
      </c>
      <c r="F203" s="244">
        <f>'User Input'!H335*F28</f>
        <v>0</v>
      </c>
      <c r="G203" s="244">
        <f>'User Input'!I335*G28</f>
        <v>0</v>
      </c>
      <c r="H203" s="244">
        <f>'User Input'!J335*H28</f>
        <v>0</v>
      </c>
      <c r="I203" s="244">
        <f>'User Input'!K335*I28</f>
        <v>0</v>
      </c>
      <c r="J203" s="244">
        <f>'User Input'!L335*J28</f>
        <v>0</v>
      </c>
      <c r="K203" s="244">
        <f>'User Input'!M335*K28</f>
        <v>0</v>
      </c>
      <c r="L203" s="244">
        <f>'User Input'!N335*L28</f>
        <v>0</v>
      </c>
      <c r="M203" s="244">
        <f>'User Input'!O335*M28</f>
        <v>0</v>
      </c>
      <c r="N203" s="244">
        <f>'User Input'!P335*N28</f>
        <v>0</v>
      </c>
      <c r="O203" s="244">
        <f>'User Input'!Q335*O28</f>
        <v>0</v>
      </c>
      <c r="P203" s="244">
        <f>'User Input'!R335*P28</f>
        <v>0</v>
      </c>
      <c r="Q203" s="244">
        <f>'User Input'!S335*Q28</f>
        <v>0</v>
      </c>
      <c r="R203" s="244">
        <f>'User Input'!T335*R28</f>
        <v>0</v>
      </c>
      <c r="S203" s="244">
        <f>'User Input'!U335*S28</f>
        <v>0</v>
      </c>
      <c r="T203" s="244">
        <f>'User Input'!V335*T28</f>
        <v>0</v>
      </c>
      <c r="U203" s="244">
        <f>'User Input'!W335*U28</f>
        <v>0</v>
      </c>
      <c r="V203" s="244">
        <f>'User Input'!X335*V28</f>
        <v>0</v>
      </c>
      <c r="W203" s="244">
        <f>'User Input'!Y335*W28</f>
        <v>0</v>
      </c>
      <c r="X203" s="244">
        <f>'User Input'!Z335*X28</f>
        <v>0</v>
      </c>
      <c r="Y203" s="173"/>
    </row>
    <row r="204" spans="2:25" s="344" customFormat="1" x14ac:dyDescent="0.2">
      <c r="B204" s="345"/>
      <c r="C204" s="346" t="str">
        <f>'User Input'!$D$337</f>
        <v>Other Costs</v>
      </c>
      <c r="D204" s="349">
        <f t="shared" si="61"/>
        <v>0</v>
      </c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351"/>
      <c r="V204" s="351"/>
      <c r="W204" s="351"/>
      <c r="X204" s="351"/>
      <c r="Y204" s="348"/>
    </row>
    <row r="205" spans="2:25" s="230" customFormat="1" x14ac:dyDescent="0.2">
      <c r="B205" s="231"/>
      <c r="C205" s="234" t="s">
        <v>2</v>
      </c>
      <c r="D205" s="244">
        <f t="shared" ref="D205:X205" si="67">SUM(D197:D204)</f>
        <v>0</v>
      </c>
      <c r="E205" s="244">
        <f t="shared" si="67"/>
        <v>0</v>
      </c>
      <c r="F205" s="244">
        <f t="shared" si="67"/>
        <v>0</v>
      </c>
      <c r="G205" s="244">
        <f t="shared" si="67"/>
        <v>0</v>
      </c>
      <c r="H205" s="244">
        <f t="shared" si="67"/>
        <v>0</v>
      </c>
      <c r="I205" s="244">
        <f t="shared" si="67"/>
        <v>0</v>
      </c>
      <c r="J205" s="244">
        <f t="shared" si="67"/>
        <v>0</v>
      </c>
      <c r="K205" s="244">
        <f t="shared" si="67"/>
        <v>0</v>
      </c>
      <c r="L205" s="244">
        <f t="shared" si="67"/>
        <v>0</v>
      </c>
      <c r="M205" s="244">
        <f t="shared" si="67"/>
        <v>0</v>
      </c>
      <c r="N205" s="244">
        <f t="shared" si="67"/>
        <v>0</v>
      </c>
      <c r="O205" s="244">
        <f t="shared" si="67"/>
        <v>0</v>
      </c>
      <c r="P205" s="244">
        <f t="shared" si="67"/>
        <v>0</v>
      </c>
      <c r="Q205" s="244">
        <f t="shared" si="67"/>
        <v>0</v>
      </c>
      <c r="R205" s="244">
        <f t="shared" si="67"/>
        <v>0</v>
      </c>
      <c r="S205" s="244">
        <f t="shared" si="67"/>
        <v>0</v>
      </c>
      <c r="T205" s="244">
        <f t="shared" si="67"/>
        <v>0</v>
      </c>
      <c r="U205" s="244">
        <f t="shared" si="67"/>
        <v>0</v>
      </c>
      <c r="V205" s="244">
        <f t="shared" si="67"/>
        <v>0</v>
      </c>
      <c r="W205" s="244">
        <f t="shared" si="67"/>
        <v>0</v>
      </c>
      <c r="X205" s="244">
        <f t="shared" si="67"/>
        <v>0</v>
      </c>
      <c r="Y205" s="232"/>
    </row>
    <row r="206" spans="2:25" s="230" customFormat="1" x14ac:dyDescent="0.2">
      <c r="B206" s="231"/>
      <c r="C206" s="233"/>
      <c r="D206" s="248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32"/>
    </row>
    <row r="207" spans="2:25" s="158" customFormat="1" ht="13.5" thickBot="1" x14ac:dyDescent="0.25">
      <c r="B207" s="169"/>
      <c r="C207" s="170" t="s">
        <v>162</v>
      </c>
      <c r="D207" s="249">
        <f t="shared" ref="D207:X207" si="68">D194-D205</f>
        <v>0</v>
      </c>
      <c r="E207" s="250">
        <f t="shared" si="68"/>
        <v>0</v>
      </c>
      <c r="F207" s="250">
        <f t="shared" si="68"/>
        <v>0</v>
      </c>
      <c r="G207" s="250">
        <f t="shared" si="68"/>
        <v>0</v>
      </c>
      <c r="H207" s="250">
        <f t="shared" si="68"/>
        <v>0</v>
      </c>
      <c r="I207" s="250">
        <f t="shared" si="68"/>
        <v>0</v>
      </c>
      <c r="J207" s="250">
        <f t="shared" si="68"/>
        <v>0</v>
      </c>
      <c r="K207" s="250">
        <f t="shared" si="68"/>
        <v>0</v>
      </c>
      <c r="L207" s="250">
        <f t="shared" si="68"/>
        <v>0</v>
      </c>
      <c r="M207" s="250">
        <f t="shared" si="68"/>
        <v>0</v>
      </c>
      <c r="N207" s="250">
        <f t="shared" si="68"/>
        <v>0</v>
      </c>
      <c r="O207" s="250">
        <f t="shared" si="68"/>
        <v>0</v>
      </c>
      <c r="P207" s="250">
        <f t="shared" si="68"/>
        <v>0</v>
      </c>
      <c r="Q207" s="250">
        <f t="shared" si="68"/>
        <v>0</v>
      </c>
      <c r="R207" s="250">
        <f t="shared" si="68"/>
        <v>0</v>
      </c>
      <c r="S207" s="250">
        <f t="shared" si="68"/>
        <v>0</v>
      </c>
      <c r="T207" s="250">
        <f t="shared" si="68"/>
        <v>0</v>
      </c>
      <c r="U207" s="250">
        <f t="shared" si="68"/>
        <v>0</v>
      </c>
      <c r="V207" s="250">
        <f t="shared" si="68"/>
        <v>0</v>
      </c>
      <c r="W207" s="250">
        <f t="shared" si="68"/>
        <v>0</v>
      </c>
      <c r="X207" s="250">
        <f t="shared" si="68"/>
        <v>0</v>
      </c>
      <c r="Y207" s="173"/>
    </row>
    <row r="208" spans="2:25" s="158" customFormat="1" ht="13.5" thickBot="1" x14ac:dyDescent="0.25">
      <c r="B208" s="169"/>
      <c r="C208" s="174" t="s">
        <v>163</v>
      </c>
      <c r="D208" s="251">
        <f>SUM(E208:X208)</f>
        <v>0</v>
      </c>
      <c r="E208" s="250">
        <f t="shared" ref="E208:X208" si="69">E207/(1+$D$19)^E$25</f>
        <v>0</v>
      </c>
      <c r="F208" s="250">
        <f t="shared" si="69"/>
        <v>0</v>
      </c>
      <c r="G208" s="250">
        <f t="shared" si="69"/>
        <v>0</v>
      </c>
      <c r="H208" s="250">
        <f t="shared" si="69"/>
        <v>0</v>
      </c>
      <c r="I208" s="250">
        <f t="shared" si="69"/>
        <v>0</v>
      </c>
      <c r="J208" s="250">
        <f t="shared" si="69"/>
        <v>0</v>
      </c>
      <c r="K208" s="250">
        <f t="shared" si="69"/>
        <v>0</v>
      </c>
      <c r="L208" s="250">
        <f t="shared" si="69"/>
        <v>0</v>
      </c>
      <c r="M208" s="250">
        <f t="shared" si="69"/>
        <v>0</v>
      </c>
      <c r="N208" s="250">
        <f t="shared" si="69"/>
        <v>0</v>
      </c>
      <c r="O208" s="250">
        <f t="shared" si="69"/>
        <v>0</v>
      </c>
      <c r="P208" s="250">
        <f t="shared" si="69"/>
        <v>0</v>
      </c>
      <c r="Q208" s="250">
        <f t="shared" si="69"/>
        <v>0</v>
      </c>
      <c r="R208" s="250">
        <f t="shared" si="69"/>
        <v>0</v>
      </c>
      <c r="S208" s="250">
        <f t="shared" si="69"/>
        <v>0</v>
      </c>
      <c r="T208" s="250">
        <f t="shared" si="69"/>
        <v>0</v>
      </c>
      <c r="U208" s="250">
        <f t="shared" si="69"/>
        <v>0</v>
      </c>
      <c r="V208" s="250">
        <f t="shared" si="69"/>
        <v>0</v>
      </c>
      <c r="W208" s="250">
        <f t="shared" si="69"/>
        <v>0</v>
      </c>
      <c r="X208" s="250">
        <f t="shared" si="69"/>
        <v>0</v>
      </c>
      <c r="Y208" s="173"/>
    </row>
    <row r="209" spans="2:25" s="158" customFormat="1" ht="13.5" thickBot="1" x14ac:dyDescent="0.25">
      <c r="B209" s="175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7"/>
    </row>
    <row r="210" spans="2:25" s="158" customFormat="1" x14ac:dyDescent="0.2"/>
    <row r="211" spans="2:25" s="158" customFormat="1" x14ac:dyDescent="0.2"/>
    <row r="212" spans="2:25" x14ac:dyDescent="0.2">
      <c r="F212" s="680">
        <f>IF('User Input'!$F$311=0,0,PMT($D$19,'User Input'!$F$311,'User Input'!$F$15))</f>
        <v>0</v>
      </c>
    </row>
    <row r="214" spans="2:25" x14ac:dyDescent="0.2">
      <c r="B214" s="267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  <c r="X214" s="268"/>
      <c r="Y214" s="269"/>
    </row>
    <row r="215" spans="2:25" x14ac:dyDescent="0.2">
      <c r="B215" s="272" t="s">
        <v>191</v>
      </c>
      <c r="C215" s="262"/>
      <c r="D215" s="263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71"/>
    </row>
    <row r="216" spans="2:25" x14ac:dyDescent="0.2">
      <c r="B216" s="270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71"/>
    </row>
    <row r="217" spans="2:25" x14ac:dyDescent="0.2">
      <c r="B217" s="399" t="str">
        <f>B30</f>
        <v>"Status Quo" Reference Case</v>
      </c>
      <c r="C217" s="400"/>
      <c r="D217" s="400"/>
      <c r="E217" s="400"/>
      <c r="F217" s="400"/>
      <c r="G217" s="400"/>
      <c r="H217" s="400"/>
      <c r="I217" s="400"/>
      <c r="J217" s="400"/>
      <c r="K217" s="400"/>
      <c r="L217" s="400"/>
      <c r="M217" s="400"/>
      <c r="N217" s="400"/>
      <c r="O217" s="400"/>
      <c r="P217" s="400"/>
      <c r="Q217" s="400"/>
      <c r="R217" s="400"/>
      <c r="S217" s="400"/>
      <c r="T217" s="400"/>
      <c r="U217" s="400"/>
      <c r="V217" s="400"/>
      <c r="W217" s="400"/>
      <c r="X217" s="400"/>
      <c r="Y217" s="401"/>
    </row>
    <row r="218" spans="2:25" x14ac:dyDescent="0.2">
      <c r="B218" s="270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71"/>
    </row>
    <row r="219" spans="2:25" x14ac:dyDescent="0.2">
      <c r="B219" s="273" t="str">
        <f>$C$47</f>
        <v>Annualised Cost - capex (2019)</v>
      </c>
      <c r="C219" s="262"/>
      <c r="D219" s="244">
        <f>IF('User Input'!$F$15=0,0,IF('User Input'!$F$311=0,0,ABS(PMT($D$19,'User Input'!$F$311,'User Input'!$F$15))))</f>
        <v>0</v>
      </c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71"/>
    </row>
    <row r="220" spans="2:25" x14ac:dyDescent="0.2">
      <c r="B220" s="274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71"/>
    </row>
    <row r="221" spans="2:25" x14ac:dyDescent="0.2">
      <c r="B221" s="274"/>
      <c r="C221" s="256" t="s">
        <v>184</v>
      </c>
      <c r="D221" s="255"/>
      <c r="E221" s="257">
        <f>$D$19*'User Input'!$F$15</f>
        <v>0</v>
      </c>
      <c r="F221" s="257">
        <f t="shared" ref="F221:X221" si="70">$D$19*E224</f>
        <v>0</v>
      </c>
      <c r="G221" s="257">
        <f t="shared" si="70"/>
        <v>0</v>
      </c>
      <c r="H221" s="257">
        <f t="shared" si="70"/>
        <v>0</v>
      </c>
      <c r="I221" s="257">
        <f t="shared" si="70"/>
        <v>0</v>
      </c>
      <c r="J221" s="257">
        <f t="shared" si="70"/>
        <v>0</v>
      </c>
      <c r="K221" s="257">
        <f t="shared" si="70"/>
        <v>0</v>
      </c>
      <c r="L221" s="257">
        <f t="shared" si="70"/>
        <v>0</v>
      </c>
      <c r="M221" s="257">
        <f t="shared" si="70"/>
        <v>0</v>
      </c>
      <c r="N221" s="257">
        <f t="shared" si="70"/>
        <v>0</v>
      </c>
      <c r="O221" s="257">
        <f t="shared" si="70"/>
        <v>0</v>
      </c>
      <c r="P221" s="257">
        <f t="shared" si="70"/>
        <v>0</v>
      </c>
      <c r="Q221" s="257">
        <f t="shared" si="70"/>
        <v>0</v>
      </c>
      <c r="R221" s="257">
        <f t="shared" si="70"/>
        <v>0</v>
      </c>
      <c r="S221" s="257">
        <f t="shared" si="70"/>
        <v>0</v>
      </c>
      <c r="T221" s="257">
        <f t="shared" si="70"/>
        <v>0</v>
      </c>
      <c r="U221" s="257">
        <f t="shared" si="70"/>
        <v>0</v>
      </c>
      <c r="V221" s="257">
        <f t="shared" si="70"/>
        <v>0</v>
      </c>
      <c r="W221" s="257">
        <f t="shared" si="70"/>
        <v>0</v>
      </c>
      <c r="X221" s="257">
        <f t="shared" si="70"/>
        <v>0</v>
      </c>
      <c r="Y221" s="271"/>
    </row>
    <row r="222" spans="2:25" x14ac:dyDescent="0.2">
      <c r="B222" s="274"/>
      <c r="C222" s="262" t="s">
        <v>185</v>
      </c>
      <c r="D222" s="262"/>
      <c r="E222" s="264">
        <f>D219-E221</f>
        <v>0</v>
      </c>
      <c r="F222" s="264">
        <f>$D$219-F221</f>
        <v>0</v>
      </c>
      <c r="G222" s="264">
        <f t="shared" ref="G222:L222" si="71">$D$219-G221</f>
        <v>0</v>
      </c>
      <c r="H222" s="264">
        <f t="shared" si="71"/>
        <v>0</v>
      </c>
      <c r="I222" s="264">
        <f t="shared" si="71"/>
        <v>0</v>
      </c>
      <c r="J222" s="264">
        <f t="shared" si="71"/>
        <v>0</v>
      </c>
      <c r="K222" s="264">
        <f t="shared" si="71"/>
        <v>0</v>
      </c>
      <c r="L222" s="264">
        <f t="shared" si="71"/>
        <v>0</v>
      </c>
      <c r="M222" s="264">
        <f t="shared" ref="M222:X222" si="72">$D$219-M221</f>
        <v>0</v>
      </c>
      <c r="N222" s="264">
        <f t="shared" si="72"/>
        <v>0</v>
      </c>
      <c r="O222" s="264">
        <f t="shared" si="72"/>
        <v>0</v>
      </c>
      <c r="P222" s="264">
        <f t="shared" si="72"/>
        <v>0</v>
      </c>
      <c r="Q222" s="264">
        <f t="shared" si="72"/>
        <v>0</v>
      </c>
      <c r="R222" s="264">
        <f t="shared" si="72"/>
        <v>0</v>
      </c>
      <c r="S222" s="264">
        <f t="shared" si="72"/>
        <v>0</v>
      </c>
      <c r="T222" s="264">
        <f t="shared" si="72"/>
        <v>0</v>
      </c>
      <c r="U222" s="264">
        <f t="shared" si="72"/>
        <v>0</v>
      </c>
      <c r="V222" s="264">
        <f t="shared" si="72"/>
        <v>0</v>
      </c>
      <c r="W222" s="264">
        <f t="shared" si="72"/>
        <v>0</v>
      </c>
      <c r="X222" s="264">
        <f t="shared" si="72"/>
        <v>0</v>
      </c>
      <c r="Y222" s="271"/>
    </row>
    <row r="223" spans="2:25" x14ac:dyDescent="0.2">
      <c r="B223" s="274"/>
      <c r="C223" s="174" t="s">
        <v>186</v>
      </c>
      <c r="D223" s="174"/>
      <c r="E223" s="265">
        <f t="shared" ref="E223:X223" si="73">SUM(E221:E222)</f>
        <v>0</v>
      </c>
      <c r="F223" s="265">
        <f t="shared" si="73"/>
        <v>0</v>
      </c>
      <c r="G223" s="265">
        <f t="shared" si="73"/>
        <v>0</v>
      </c>
      <c r="H223" s="265">
        <f t="shared" si="73"/>
        <v>0</v>
      </c>
      <c r="I223" s="265">
        <f t="shared" si="73"/>
        <v>0</v>
      </c>
      <c r="J223" s="265">
        <f t="shared" si="73"/>
        <v>0</v>
      </c>
      <c r="K223" s="265">
        <f t="shared" si="73"/>
        <v>0</v>
      </c>
      <c r="L223" s="265">
        <f t="shared" si="73"/>
        <v>0</v>
      </c>
      <c r="M223" s="265">
        <f t="shared" si="73"/>
        <v>0</v>
      </c>
      <c r="N223" s="265">
        <f t="shared" si="73"/>
        <v>0</v>
      </c>
      <c r="O223" s="265">
        <f t="shared" si="73"/>
        <v>0</v>
      </c>
      <c r="P223" s="265">
        <f t="shared" si="73"/>
        <v>0</v>
      </c>
      <c r="Q223" s="265">
        <f t="shared" si="73"/>
        <v>0</v>
      </c>
      <c r="R223" s="265">
        <f t="shared" si="73"/>
        <v>0</v>
      </c>
      <c r="S223" s="265">
        <f t="shared" si="73"/>
        <v>0</v>
      </c>
      <c r="T223" s="265">
        <f t="shared" si="73"/>
        <v>0</v>
      </c>
      <c r="U223" s="265">
        <f t="shared" si="73"/>
        <v>0</v>
      </c>
      <c r="V223" s="265">
        <f t="shared" si="73"/>
        <v>0</v>
      </c>
      <c r="W223" s="265">
        <f t="shared" si="73"/>
        <v>0</v>
      </c>
      <c r="X223" s="265">
        <f t="shared" si="73"/>
        <v>0</v>
      </c>
      <c r="Y223" s="271"/>
    </row>
    <row r="224" spans="2:25" x14ac:dyDescent="0.2">
      <c r="B224" s="274"/>
      <c r="C224" s="256" t="s">
        <v>183</v>
      </c>
      <c r="D224" s="255"/>
      <c r="E224" s="257">
        <f>'User Input'!F15-E222</f>
        <v>0</v>
      </c>
      <c r="F224" s="257">
        <f t="shared" ref="F224:X224" si="74">E224-F222</f>
        <v>0</v>
      </c>
      <c r="G224" s="257">
        <f t="shared" si="74"/>
        <v>0</v>
      </c>
      <c r="H224" s="257">
        <f t="shared" si="74"/>
        <v>0</v>
      </c>
      <c r="I224" s="257">
        <f t="shared" si="74"/>
        <v>0</v>
      </c>
      <c r="J224" s="257">
        <f t="shared" si="74"/>
        <v>0</v>
      </c>
      <c r="K224" s="257">
        <f t="shared" si="74"/>
        <v>0</v>
      </c>
      <c r="L224" s="257">
        <f t="shared" si="74"/>
        <v>0</v>
      </c>
      <c r="M224" s="257">
        <f t="shared" si="74"/>
        <v>0</v>
      </c>
      <c r="N224" s="257">
        <f t="shared" si="74"/>
        <v>0</v>
      </c>
      <c r="O224" s="257">
        <f t="shared" si="74"/>
        <v>0</v>
      </c>
      <c r="P224" s="257">
        <f t="shared" si="74"/>
        <v>0</v>
      </c>
      <c r="Q224" s="257">
        <f t="shared" si="74"/>
        <v>0</v>
      </c>
      <c r="R224" s="257">
        <f t="shared" si="74"/>
        <v>0</v>
      </c>
      <c r="S224" s="257">
        <f t="shared" si="74"/>
        <v>0</v>
      </c>
      <c r="T224" s="257">
        <f t="shared" si="74"/>
        <v>0</v>
      </c>
      <c r="U224" s="257">
        <f t="shared" si="74"/>
        <v>0</v>
      </c>
      <c r="V224" s="257">
        <f t="shared" si="74"/>
        <v>0</v>
      </c>
      <c r="W224" s="257">
        <f t="shared" si="74"/>
        <v>0</v>
      </c>
      <c r="X224" s="257">
        <f t="shared" si="74"/>
        <v>0</v>
      </c>
      <c r="Y224" s="271"/>
    </row>
    <row r="225" spans="2:25" x14ac:dyDescent="0.2">
      <c r="B225" s="274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71"/>
    </row>
    <row r="226" spans="2:25" x14ac:dyDescent="0.2">
      <c r="B226" s="273" t="str">
        <f>$C$48</f>
        <v>Annualised Cost - capex (2020)</v>
      </c>
      <c r="C226" s="262"/>
      <c r="D226" s="244">
        <f>IF('User Input'!$G$15=0,0,IF('User Input'!$G$311=0,0,ABS(PMT($D$19,'User Input'!$G$311,'User Input'!$G$15))))</f>
        <v>0</v>
      </c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71"/>
    </row>
    <row r="227" spans="2:25" x14ac:dyDescent="0.2">
      <c r="B227" s="273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71"/>
    </row>
    <row r="228" spans="2:25" x14ac:dyDescent="0.2">
      <c r="B228" s="273"/>
      <c r="C228" s="256" t="s">
        <v>184</v>
      </c>
      <c r="D228" s="262"/>
      <c r="E228" s="266"/>
      <c r="F228" s="257">
        <f>$D$19*'User Input'!G15</f>
        <v>10.8375</v>
      </c>
      <c r="G228" s="257">
        <f t="shared" ref="G228:Y228" si="75">$D$19*F231</f>
        <v>11.777111250000001</v>
      </c>
      <c r="H228" s="257">
        <f t="shared" si="75"/>
        <v>12.798186795374999</v>
      </c>
      <c r="I228" s="257">
        <f t="shared" si="75"/>
        <v>13.90778959053401</v>
      </c>
      <c r="J228" s="257">
        <f t="shared" si="75"/>
        <v>15.11359494803331</v>
      </c>
      <c r="K228" s="257">
        <f t="shared" si="75"/>
        <v>16.423943630027797</v>
      </c>
      <c r="L228" s="257">
        <f t="shared" si="75"/>
        <v>17.847899542751207</v>
      </c>
      <c r="M228" s="257">
        <f t="shared" si="75"/>
        <v>19.395312433107737</v>
      </c>
      <c r="N228" s="257">
        <f t="shared" si="75"/>
        <v>21.076886021058176</v>
      </c>
      <c r="O228" s="257">
        <f t="shared" si="75"/>
        <v>22.904252039083921</v>
      </c>
      <c r="P228" s="257">
        <f t="shared" si="75"/>
        <v>24.890050690872496</v>
      </c>
      <c r="Q228" s="257">
        <f t="shared" si="75"/>
        <v>27.048018085771144</v>
      </c>
      <c r="R228" s="257">
        <f t="shared" si="75"/>
        <v>29.393081253807502</v>
      </c>
      <c r="S228" s="257">
        <f t="shared" si="75"/>
        <v>31.941461398512615</v>
      </c>
      <c r="T228" s="257">
        <f t="shared" si="75"/>
        <v>34.710786101763659</v>
      </c>
      <c r="U228" s="257">
        <f t="shared" si="75"/>
        <v>37.720211256786563</v>
      </c>
      <c r="V228" s="257">
        <f t="shared" si="75"/>
        <v>40.99055357274996</v>
      </c>
      <c r="W228" s="257">
        <f t="shared" si="75"/>
        <v>44.544434567507381</v>
      </c>
      <c r="X228" s="257">
        <f t="shared" si="75"/>
        <v>48.406437044510263</v>
      </c>
      <c r="Y228" s="275">
        <f t="shared" si="75"/>
        <v>52.603275136269311</v>
      </c>
    </row>
    <row r="229" spans="2:25" x14ac:dyDescent="0.2">
      <c r="B229" s="273"/>
      <c r="C229" s="262" t="s">
        <v>185</v>
      </c>
      <c r="D229" s="262"/>
      <c r="E229" s="266"/>
      <c r="F229" s="264">
        <f>D226-F228</f>
        <v>-10.8375</v>
      </c>
      <c r="G229" s="264">
        <f>$D$226-G228</f>
        <v>-11.777111250000001</v>
      </c>
      <c r="H229" s="264">
        <f t="shared" ref="H229:N229" si="76">$D$226-H228</f>
        <v>-12.798186795374999</v>
      </c>
      <c r="I229" s="264">
        <f t="shared" si="76"/>
        <v>-13.90778959053401</v>
      </c>
      <c r="J229" s="264">
        <f t="shared" si="76"/>
        <v>-15.11359494803331</v>
      </c>
      <c r="K229" s="264">
        <f t="shared" si="76"/>
        <v>-16.423943630027797</v>
      </c>
      <c r="L229" s="264">
        <f t="shared" si="76"/>
        <v>-17.847899542751207</v>
      </c>
      <c r="M229" s="264">
        <f t="shared" si="76"/>
        <v>-19.395312433107737</v>
      </c>
      <c r="N229" s="264">
        <f t="shared" si="76"/>
        <v>-21.076886021058176</v>
      </c>
      <c r="O229" s="264">
        <f t="shared" ref="O229:Y229" si="77">$D$226-O228</f>
        <v>-22.904252039083921</v>
      </c>
      <c r="P229" s="264">
        <f t="shared" si="77"/>
        <v>-24.890050690872496</v>
      </c>
      <c r="Q229" s="264">
        <f t="shared" si="77"/>
        <v>-27.048018085771144</v>
      </c>
      <c r="R229" s="264">
        <f t="shared" si="77"/>
        <v>-29.393081253807502</v>
      </c>
      <c r="S229" s="264">
        <f t="shared" si="77"/>
        <v>-31.941461398512615</v>
      </c>
      <c r="T229" s="264">
        <f t="shared" si="77"/>
        <v>-34.710786101763659</v>
      </c>
      <c r="U229" s="264">
        <f t="shared" si="77"/>
        <v>-37.720211256786563</v>
      </c>
      <c r="V229" s="264">
        <f t="shared" si="77"/>
        <v>-40.99055357274996</v>
      </c>
      <c r="W229" s="264">
        <f t="shared" si="77"/>
        <v>-44.544434567507381</v>
      </c>
      <c r="X229" s="264">
        <f t="shared" si="77"/>
        <v>-48.406437044510263</v>
      </c>
      <c r="Y229" s="276">
        <f t="shared" si="77"/>
        <v>-52.603275136269311</v>
      </c>
    </row>
    <row r="230" spans="2:25" x14ac:dyDescent="0.2">
      <c r="B230" s="273"/>
      <c r="C230" s="174" t="s">
        <v>186</v>
      </c>
      <c r="D230" s="262"/>
      <c r="E230" s="266"/>
      <c r="F230" s="265">
        <f t="shared" ref="F230:Y230" si="78">SUM(F228:F229)</f>
        <v>0</v>
      </c>
      <c r="G230" s="265">
        <f t="shared" si="78"/>
        <v>0</v>
      </c>
      <c r="H230" s="265">
        <f t="shared" si="78"/>
        <v>0</v>
      </c>
      <c r="I230" s="265">
        <f t="shared" si="78"/>
        <v>0</v>
      </c>
      <c r="J230" s="265">
        <f t="shared" si="78"/>
        <v>0</v>
      </c>
      <c r="K230" s="265">
        <f t="shared" si="78"/>
        <v>0</v>
      </c>
      <c r="L230" s="265">
        <f t="shared" si="78"/>
        <v>0</v>
      </c>
      <c r="M230" s="265">
        <f t="shared" si="78"/>
        <v>0</v>
      </c>
      <c r="N230" s="265">
        <f t="shared" si="78"/>
        <v>0</v>
      </c>
      <c r="O230" s="265">
        <f t="shared" si="78"/>
        <v>0</v>
      </c>
      <c r="P230" s="265">
        <f t="shared" si="78"/>
        <v>0</v>
      </c>
      <c r="Q230" s="265">
        <f t="shared" si="78"/>
        <v>0</v>
      </c>
      <c r="R230" s="265">
        <f t="shared" si="78"/>
        <v>0</v>
      </c>
      <c r="S230" s="265">
        <f t="shared" si="78"/>
        <v>0</v>
      </c>
      <c r="T230" s="265">
        <f t="shared" si="78"/>
        <v>0</v>
      </c>
      <c r="U230" s="265">
        <f t="shared" si="78"/>
        <v>0</v>
      </c>
      <c r="V230" s="265">
        <f t="shared" si="78"/>
        <v>0</v>
      </c>
      <c r="W230" s="265">
        <f t="shared" si="78"/>
        <v>0</v>
      </c>
      <c r="X230" s="265">
        <f t="shared" si="78"/>
        <v>0</v>
      </c>
      <c r="Y230" s="277">
        <f t="shared" si="78"/>
        <v>0</v>
      </c>
    </row>
    <row r="231" spans="2:25" x14ac:dyDescent="0.2">
      <c r="B231" s="273"/>
      <c r="C231" s="256" t="s">
        <v>183</v>
      </c>
      <c r="D231" s="262"/>
      <c r="E231" s="258"/>
      <c r="F231" s="257">
        <f>'User Input'!G15-F229</f>
        <v>135.83750000000001</v>
      </c>
      <c r="G231" s="257">
        <f t="shared" ref="G231:Y231" si="79">F231-G229</f>
        <v>147.61461125</v>
      </c>
      <c r="H231" s="257">
        <f t="shared" si="79"/>
        <v>160.41279804537498</v>
      </c>
      <c r="I231" s="257">
        <f t="shared" si="79"/>
        <v>174.32058763590899</v>
      </c>
      <c r="J231" s="257">
        <f t="shared" si="79"/>
        <v>189.43418258394229</v>
      </c>
      <c r="K231" s="257">
        <f t="shared" si="79"/>
        <v>205.85812621397008</v>
      </c>
      <c r="L231" s="257">
        <f t="shared" si="79"/>
        <v>223.70602575672129</v>
      </c>
      <c r="M231" s="257">
        <f t="shared" si="79"/>
        <v>243.10133818982902</v>
      </c>
      <c r="N231" s="257">
        <f t="shared" si="79"/>
        <v>264.17822421088721</v>
      </c>
      <c r="O231" s="257">
        <f t="shared" si="79"/>
        <v>287.08247624997114</v>
      </c>
      <c r="P231" s="257">
        <f t="shared" si="79"/>
        <v>311.97252694084364</v>
      </c>
      <c r="Q231" s="257">
        <f t="shared" si="79"/>
        <v>339.0205450266148</v>
      </c>
      <c r="R231" s="257">
        <f t="shared" si="79"/>
        <v>368.41362628042231</v>
      </c>
      <c r="S231" s="257">
        <f t="shared" si="79"/>
        <v>400.35508767893492</v>
      </c>
      <c r="T231" s="257">
        <f t="shared" si="79"/>
        <v>435.06587378069855</v>
      </c>
      <c r="U231" s="257">
        <f t="shared" si="79"/>
        <v>472.78608503748512</v>
      </c>
      <c r="V231" s="257">
        <f t="shared" si="79"/>
        <v>513.77663861023507</v>
      </c>
      <c r="W231" s="257">
        <f t="shared" si="79"/>
        <v>558.32107317774239</v>
      </c>
      <c r="X231" s="257">
        <f t="shared" si="79"/>
        <v>606.7275102222527</v>
      </c>
      <c r="Y231" s="275">
        <f t="shared" si="79"/>
        <v>659.33078535852201</v>
      </c>
    </row>
    <row r="232" spans="2:25" x14ac:dyDescent="0.2">
      <c r="B232" s="273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71"/>
    </row>
    <row r="233" spans="2:25" x14ac:dyDescent="0.2">
      <c r="B233" s="273" t="str">
        <f>$C$49</f>
        <v>Annualised Cost - capex (2021)</v>
      </c>
      <c r="C233" s="262"/>
      <c r="D233" s="244">
        <f>IF('User Input'!$H$15=0,0,IF('User Input'!$H$311=0,0,ABS(PMT($D$19,'User Input'!$H$311,'User Input'!$H$15))))</f>
        <v>0</v>
      </c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71"/>
    </row>
    <row r="234" spans="2:25" x14ac:dyDescent="0.2">
      <c r="B234" s="273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71"/>
    </row>
    <row r="235" spans="2:25" x14ac:dyDescent="0.2">
      <c r="B235" s="273"/>
      <c r="C235" s="256" t="s">
        <v>184</v>
      </c>
      <c r="D235" s="262"/>
      <c r="E235" s="266"/>
      <c r="F235" s="266"/>
      <c r="G235" s="257">
        <f>$D$19*'User Input'!H15</f>
        <v>21.675000000000001</v>
      </c>
      <c r="H235" s="257">
        <f t="shared" ref="H235:Y235" si="80">$D$19*G238</f>
        <v>23.554222500000002</v>
      </c>
      <c r="I235" s="257">
        <f t="shared" si="80"/>
        <v>25.596373590749998</v>
      </c>
      <c r="J235" s="257">
        <f t="shared" si="80"/>
        <v>27.815579181068021</v>
      </c>
      <c r="K235" s="257">
        <f t="shared" si="80"/>
        <v>30.227189896066619</v>
      </c>
      <c r="L235" s="257">
        <f t="shared" si="80"/>
        <v>32.847887260055593</v>
      </c>
      <c r="M235" s="257">
        <f t="shared" si="80"/>
        <v>35.695799085502415</v>
      </c>
      <c r="N235" s="257">
        <f t="shared" si="80"/>
        <v>38.790624866215474</v>
      </c>
      <c r="O235" s="257">
        <f t="shared" si="80"/>
        <v>42.153772042116351</v>
      </c>
      <c r="P235" s="257">
        <f t="shared" si="80"/>
        <v>45.808504078167843</v>
      </c>
      <c r="Q235" s="257">
        <f t="shared" si="80"/>
        <v>49.780101381744991</v>
      </c>
      <c r="R235" s="257">
        <f t="shared" si="80"/>
        <v>54.096036171542288</v>
      </c>
      <c r="S235" s="257">
        <f t="shared" si="80"/>
        <v>58.786162507615003</v>
      </c>
      <c r="T235" s="257">
        <f t="shared" si="80"/>
        <v>63.88292279702523</v>
      </c>
      <c r="U235" s="257">
        <f t="shared" si="80"/>
        <v>69.421572203527319</v>
      </c>
      <c r="V235" s="257">
        <f t="shared" si="80"/>
        <v>75.440422513573125</v>
      </c>
      <c r="W235" s="257">
        <f t="shared" si="80"/>
        <v>81.981107145499919</v>
      </c>
      <c r="X235" s="257">
        <f t="shared" si="80"/>
        <v>89.088869135014761</v>
      </c>
      <c r="Y235" s="275">
        <f t="shared" si="80"/>
        <v>96.812874089020525</v>
      </c>
    </row>
    <row r="236" spans="2:25" x14ac:dyDescent="0.2">
      <c r="B236" s="273"/>
      <c r="C236" s="262" t="s">
        <v>185</v>
      </c>
      <c r="D236" s="262"/>
      <c r="E236" s="266"/>
      <c r="F236" s="266"/>
      <c r="G236" s="264">
        <f>D233-G235</f>
        <v>-21.675000000000001</v>
      </c>
      <c r="H236" s="264">
        <f>$D$233-H235</f>
        <v>-23.554222500000002</v>
      </c>
      <c r="I236" s="264">
        <f t="shared" ref="I236:N236" si="81">$D$233-I235</f>
        <v>-25.596373590749998</v>
      </c>
      <c r="J236" s="264">
        <f t="shared" si="81"/>
        <v>-27.815579181068021</v>
      </c>
      <c r="K236" s="264">
        <f t="shared" si="81"/>
        <v>-30.227189896066619</v>
      </c>
      <c r="L236" s="264">
        <f t="shared" si="81"/>
        <v>-32.847887260055593</v>
      </c>
      <c r="M236" s="264">
        <f t="shared" si="81"/>
        <v>-35.695799085502415</v>
      </c>
      <c r="N236" s="264">
        <f t="shared" si="81"/>
        <v>-38.790624866215474</v>
      </c>
      <c r="O236" s="264">
        <f t="shared" ref="O236:X236" si="82">$D$233-O235</f>
        <v>-42.153772042116351</v>
      </c>
      <c r="P236" s="264">
        <f t="shared" si="82"/>
        <v>-45.808504078167843</v>
      </c>
      <c r="Q236" s="264">
        <f t="shared" si="82"/>
        <v>-49.780101381744991</v>
      </c>
      <c r="R236" s="264">
        <f t="shared" si="82"/>
        <v>-54.096036171542288</v>
      </c>
      <c r="S236" s="264">
        <f t="shared" si="82"/>
        <v>-58.786162507615003</v>
      </c>
      <c r="T236" s="264">
        <f t="shared" si="82"/>
        <v>-63.88292279702523</v>
      </c>
      <c r="U236" s="264">
        <f t="shared" si="82"/>
        <v>-69.421572203527319</v>
      </c>
      <c r="V236" s="264">
        <f t="shared" si="82"/>
        <v>-75.440422513573125</v>
      </c>
      <c r="W236" s="264">
        <f t="shared" si="82"/>
        <v>-81.981107145499919</v>
      </c>
      <c r="X236" s="264">
        <f t="shared" si="82"/>
        <v>-89.088869135014761</v>
      </c>
      <c r="Y236" s="276">
        <f>$D$226-Y235</f>
        <v>-96.812874089020525</v>
      </c>
    </row>
    <row r="237" spans="2:25" x14ac:dyDescent="0.2">
      <c r="B237" s="273"/>
      <c r="C237" s="174" t="s">
        <v>186</v>
      </c>
      <c r="D237" s="262"/>
      <c r="E237" s="266"/>
      <c r="F237" s="266"/>
      <c r="G237" s="265">
        <f t="shared" ref="G237:Y237" si="83">SUM(G235:G236)</f>
        <v>0</v>
      </c>
      <c r="H237" s="265">
        <f t="shared" si="83"/>
        <v>0</v>
      </c>
      <c r="I237" s="265">
        <f t="shared" si="83"/>
        <v>0</v>
      </c>
      <c r="J237" s="265">
        <f t="shared" si="83"/>
        <v>0</v>
      </c>
      <c r="K237" s="265">
        <f t="shared" si="83"/>
        <v>0</v>
      </c>
      <c r="L237" s="265">
        <f t="shared" si="83"/>
        <v>0</v>
      </c>
      <c r="M237" s="265">
        <f t="shared" si="83"/>
        <v>0</v>
      </c>
      <c r="N237" s="265">
        <f t="shared" si="83"/>
        <v>0</v>
      </c>
      <c r="O237" s="265">
        <f t="shared" si="83"/>
        <v>0</v>
      </c>
      <c r="P237" s="265">
        <f t="shared" si="83"/>
        <v>0</v>
      </c>
      <c r="Q237" s="265">
        <f t="shared" si="83"/>
        <v>0</v>
      </c>
      <c r="R237" s="265">
        <f t="shared" si="83"/>
        <v>0</v>
      </c>
      <c r="S237" s="265">
        <f t="shared" si="83"/>
        <v>0</v>
      </c>
      <c r="T237" s="265">
        <f t="shared" si="83"/>
        <v>0</v>
      </c>
      <c r="U237" s="265">
        <f t="shared" si="83"/>
        <v>0</v>
      </c>
      <c r="V237" s="265">
        <f t="shared" si="83"/>
        <v>0</v>
      </c>
      <c r="W237" s="265">
        <f t="shared" si="83"/>
        <v>0</v>
      </c>
      <c r="X237" s="265">
        <f t="shared" si="83"/>
        <v>0</v>
      </c>
      <c r="Y237" s="277">
        <f t="shared" si="83"/>
        <v>0</v>
      </c>
    </row>
    <row r="238" spans="2:25" x14ac:dyDescent="0.2">
      <c r="B238" s="273"/>
      <c r="C238" s="256" t="s">
        <v>183</v>
      </c>
      <c r="D238" s="262"/>
      <c r="E238" s="258"/>
      <c r="F238" s="258"/>
      <c r="G238" s="257">
        <f>'User Input'!H15-G236</f>
        <v>271.67500000000001</v>
      </c>
      <c r="H238" s="257">
        <f t="shared" ref="H238:Y238" si="84">G238-H236</f>
        <v>295.22922249999999</v>
      </c>
      <c r="I238" s="257">
        <f t="shared" si="84"/>
        <v>320.82559609074997</v>
      </c>
      <c r="J238" s="257">
        <f t="shared" si="84"/>
        <v>348.64117527181799</v>
      </c>
      <c r="K238" s="257">
        <f t="shared" si="84"/>
        <v>378.86836516788458</v>
      </c>
      <c r="L238" s="257">
        <f t="shared" si="84"/>
        <v>411.71625242794016</v>
      </c>
      <c r="M238" s="257">
        <f t="shared" si="84"/>
        <v>447.41205151344258</v>
      </c>
      <c r="N238" s="257">
        <f t="shared" si="84"/>
        <v>486.20267637965804</v>
      </c>
      <c r="O238" s="257">
        <f t="shared" si="84"/>
        <v>528.35644842177442</v>
      </c>
      <c r="P238" s="257">
        <f t="shared" si="84"/>
        <v>574.16495249994227</v>
      </c>
      <c r="Q238" s="257">
        <f t="shared" si="84"/>
        <v>623.94505388168727</v>
      </c>
      <c r="R238" s="257">
        <f t="shared" si="84"/>
        <v>678.0410900532296</v>
      </c>
      <c r="S238" s="257">
        <f t="shared" si="84"/>
        <v>736.82725256084461</v>
      </c>
      <c r="T238" s="257">
        <f t="shared" si="84"/>
        <v>800.71017535786984</v>
      </c>
      <c r="U238" s="257">
        <f t="shared" si="84"/>
        <v>870.13174756139711</v>
      </c>
      <c r="V238" s="257">
        <f t="shared" si="84"/>
        <v>945.57217007497024</v>
      </c>
      <c r="W238" s="257">
        <f t="shared" si="84"/>
        <v>1027.5532772204701</v>
      </c>
      <c r="X238" s="257">
        <f t="shared" si="84"/>
        <v>1116.6421463554848</v>
      </c>
      <c r="Y238" s="275">
        <f t="shared" si="84"/>
        <v>1213.4550204445054</v>
      </c>
    </row>
    <row r="239" spans="2:25" x14ac:dyDescent="0.2">
      <c r="B239" s="273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71"/>
    </row>
    <row r="240" spans="2:25" x14ac:dyDescent="0.2">
      <c r="B240" s="273" t="str">
        <f>$C$50</f>
        <v>Annualised Cost - capex (2022)</v>
      </c>
      <c r="C240" s="262"/>
      <c r="D240" s="244">
        <f>IF('User Input'!$I$15=0,0,IF('User Input'!$I$311=0,0,ABS(PMT($D$19,'User Input'!$I$311,'User Input'!$I$15))))</f>
        <v>0</v>
      </c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71"/>
    </row>
    <row r="241" spans="2:25" x14ac:dyDescent="0.2">
      <c r="B241" s="273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71"/>
    </row>
    <row r="242" spans="2:25" x14ac:dyDescent="0.2">
      <c r="B242" s="273"/>
      <c r="C242" s="256" t="s">
        <v>184</v>
      </c>
      <c r="D242" s="262"/>
      <c r="E242" s="266"/>
      <c r="F242" s="266"/>
      <c r="G242" s="266"/>
      <c r="H242" s="257">
        <f>$D$19*'User Input'!$I$15</f>
        <v>21.675000000000001</v>
      </c>
      <c r="I242" s="257">
        <f t="shared" ref="I242:Y242" si="85">$D$19*H245</f>
        <v>23.554222500000002</v>
      </c>
      <c r="J242" s="257">
        <f t="shared" si="85"/>
        <v>25.596373590749998</v>
      </c>
      <c r="K242" s="257">
        <f t="shared" si="85"/>
        <v>27.815579181068021</v>
      </c>
      <c r="L242" s="257">
        <f t="shared" si="85"/>
        <v>30.227189896066619</v>
      </c>
      <c r="M242" s="257">
        <f t="shared" si="85"/>
        <v>32.847887260055593</v>
      </c>
      <c r="N242" s="257">
        <f t="shared" si="85"/>
        <v>35.695799085502415</v>
      </c>
      <c r="O242" s="257">
        <f t="shared" si="85"/>
        <v>38.790624866215474</v>
      </c>
      <c r="P242" s="257">
        <f t="shared" si="85"/>
        <v>42.153772042116351</v>
      </c>
      <c r="Q242" s="257">
        <f t="shared" si="85"/>
        <v>45.808504078167843</v>
      </c>
      <c r="R242" s="257">
        <f t="shared" si="85"/>
        <v>49.780101381744991</v>
      </c>
      <c r="S242" s="257">
        <f t="shared" si="85"/>
        <v>54.096036171542288</v>
      </c>
      <c r="T242" s="257">
        <f t="shared" si="85"/>
        <v>58.786162507615003</v>
      </c>
      <c r="U242" s="257">
        <f t="shared" si="85"/>
        <v>63.88292279702523</v>
      </c>
      <c r="V242" s="257">
        <f t="shared" si="85"/>
        <v>69.421572203527319</v>
      </c>
      <c r="W242" s="257">
        <f t="shared" si="85"/>
        <v>75.440422513573125</v>
      </c>
      <c r="X242" s="257">
        <f t="shared" si="85"/>
        <v>81.981107145499919</v>
      </c>
      <c r="Y242" s="275">
        <f t="shared" si="85"/>
        <v>89.088869135014761</v>
      </c>
    </row>
    <row r="243" spans="2:25" x14ac:dyDescent="0.2">
      <c r="B243" s="273"/>
      <c r="C243" s="262" t="s">
        <v>185</v>
      </c>
      <c r="D243" s="262"/>
      <c r="E243" s="266"/>
      <c r="F243" s="266"/>
      <c r="G243" s="266"/>
      <c r="H243" s="264">
        <f>D240-H242</f>
        <v>-21.675000000000001</v>
      </c>
      <c r="I243" s="264">
        <f t="shared" ref="I243:Y243" si="86">$D$240-I242</f>
        <v>-23.554222500000002</v>
      </c>
      <c r="J243" s="264">
        <f t="shared" si="86"/>
        <v>-25.596373590749998</v>
      </c>
      <c r="K243" s="264">
        <f t="shared" si="86"/>
        <v>-27.815579181068021</v>
      </c>
      <c r="L243" s="264">
        <f t="shared" si="86"/>
        <v>-30.227189896066619</v>
      </c>
      <c r="M243" s="264">
        <f t="shared" si="86"/>
        <v>-32.847887260055593</v>
      </c>
      <c r="N243" s="264">
        <f t="shared" si="86"/>
        <v>-35.695799085502415</v>
      </c>
      <c r="O243" s="264">
        <f t="shared" si="86"/>
        <v>-38.790624866215474</v>
      </c>
      <c r="P243" s="264">
        <f t="shared" si="86"/>
        <v>-42.153772042116351</v>
      </c>
      <c r="Q243" s="264">
        <f t="shared" si="86"/>
        <v>-45.808504078167843</v>
      </c>
      <c r="R243" s="264">
        <f t="shared" si="86"/>
        <v>-49.780101381744991</v>
      </c>
      <c r="S243" s="264">
        <f t="shared" si="86"/>
        <v>-54.096036171542288</v>
      </c>
      <c r="T243" s="264">
        <f t="shared" si="86"/>
        <v>-58.786162507615003</v>
      </c>
      <c r="U243" s="264">
        <f t="shared" si="86"/>
        <v>-63.88292279702523</v>
      </c>
      <c r="V243" s="264">
        <f t="shared" si="86"/>
        <v>-69.421572203527319</v>
      </c>
      <c r="W243" s="264">
        <f t="shared" si="86"/>
        <v>-75.440422513573125</v>
      </c>
      <c r="X243" s="264">
        <f t="shared" si="86"/>
        <v>-81.981107145499919</v>
      </c>
      <c r="Y243" s="276">
        <f t="shared" si="86"/>
        <v>-89.088869135014761</v>
      </c>
    </row>
    <row r="244" spans="2:25" x14ac:dyDescent="0.2">
      <c r="B244" s="273"/>
      <c r="C244" s="174" t="s">
        <v>186</v>
      </c>
      <c r="D244" s="262"/>
      <c r="E244" s="266"/>
      <c r="F244" s="266"/>
      <c r="G244" s="266"/>
      <c r="H244" s="265">
        <f t="shared" ref="H244:Y244" si="87">SUM(H242:H243)</f>
        <v>0</v>
      </c>
      <c r="I244" s="265">
        <f t="shared" si="87"/>
        <v>0</v>
      </c>
      <c r="J244" s="265">
        <f t="shared" si="87"/>
        <v>0</v>
      </c>
      <c r="K244" s="265">
        <f t="shared" si="87"/>
        <v>0</v>
      </c>
      <c r="L244" s="265">
        <f t="shared" si="87"/>
        <v>0</v>
      </c>
      <c r="M244" s="265">
        <f t="shared" si="87"/>
        <v>0</v>
      </c>
      <c r="N244" s="265">
        <f t="shared" si="87"/>
        <v>0</v>
      </c>
      <c r="O244" s="265">
        <f t="shared" si="87"/>
        <v>0</v>
      </c>
      <c r="P244" s="265">
        <f t="shared" si="87"/>
        <v>0</v>
      </c>
      <c r="Q244" s="265">
        <f t="shared" si="87"/>
        <v>0</v>
      </c>
      <c r="R244" s="265">
        <f t="shared" si="87"/>
        <v>0</v>
      </c>
      <c r="S244" s="265">
        <f t="shared" si="87"/>
        <v>0</v>
      </c>
      <c r="T244" s="265">
        <f t="shared" si="87"/>
        <v>0</v>
      </c>
      <c r="U244" s="265">
        <f t="shared" si="87"/>
        <v>0</v>
      </c>
      <c r="V244" s="265">
        <f t="shared" si="87"/>
        <v>0</v>
      </c>
      <c r="W244" s="265">
        <f t="shared" si="87"/>
        <v>0</v>
      </c>
      <c r="X244" s="265">
        <f t="shared" si="87"/>
        <v>0</v>
      </c>
      <c r="Y244" s="277">
        <f t="shared" si="87"/>
        <v>0</v>
      </c>
    </row>
    <row r="245" spans="2:25" x14ac:dyDescent="0.2">
      <c r="B245" s="273"/>
      <c r="C245" s="256" t="s">
        <v>183</v>
      </c>
      <c r="D245" s="262"/>
      <c r="E245" s="258"/>
      <c r="F245" s="258"/>
      <c r="G245" s="258"/>
      <c r="H245" s="257">
        <f>'User Input'!I15-H243</f>
        <v>271.67500000000001</v>
      </c>
      <c r="I245" s="257">
        <f t="shared" ref="I245:Y245" si="88">H245-I243</f>
        <v>295.22922249999999</v>
      </c>
      <c r="J245" s="257">
        <f t="shared" si="88"/>
        <v>320.82559609074997</v>
      </c>
      <c r="K245" s="257">
        <f t="shared" si="88"/>
        <v>348.64117527181799</v>
      </c>
      <c r="L245" s="257">
        <f t="shared" si="88"/>
        <v>378.86836516788458</v>
      </c>
      <c r="M245" s="257">
        <f t="shared" si="88"/>
        <v>411.71625242794016</v>
      </c>
      <c r="N245" s="257">
        <f t="shared" si="88"/>
        <v>447.41205151344258</v>
      </c>
      <c r="O245" s="257">
        <f t="shared" si="88"/>
        <v>486.20267637965804</v>
      </c>
      <c r="P245" s="257">
        <f t="shared" si="88"/>
        <v>528.35644842177442</v>
      </c>
      <c r="Q245" s="257">
        <f t="shared" si="88"/>
        <v>574.16495249994227</v>
      </c>
      <c r="R245" s="257">
        <f t="shared" si="88"/>
        <v>623.94505388168727</v>
      </c>
      <c r="S245" s="257">
        <f t="shared" si="88"/>
        <v>678.0410900532296</v>
      </c>
      <c r="T245" s="257">
        <f t="shared" si="88"/>
        <v>736.82725256084461</v>
      </c>
      <c r="U245" s="257">
        <f t="shared" si="88"/>
        <v>800.71017535786984</v>
      </c>
      <c r="V245" s="257">
        <f t="shared" si="88"/>
        <v>870.13174756139711</v>
      </c>
      <c r="W245" s="257">
        <f t="shared" si="88"/>
        <v>945.57217007497024</v>
      </c>
      <c r="X245" s="257">
        <f t="shared" si="88"/>
        <v>1027.5532772204701</v>
      </c>
      <c r="Y245" s="275">
        <f t="shared" si="88"/>
        <v>1116.6421463554848</v>
      </c>
    </row>
    <row r="246" spans="2:25" x14ac:dyDescent="0.2">
      <c r="B246" s="270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71"/>
    </row>
    <row r="247" spans="2:25" x14ac:dyDescent="0.2">
      <c r="B247" s="273" t="str">
        <f>$C$51</f>
        <v>Annualised Cost - capex (2023)</v>
      </c>
      <c r="C247" s="262"/>
      <c r="D247" s="244">
        <f>IF('User Input'!$J$15=0,0,IF('User Input'!$J$311=0,0,ABS(PMT($D$19,'User Input'!$J$311,'User Input'!$J$15))))</f>
        <v>0</v>
      </c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71"/>
    </row>
    <row r="248" spans="2:25" x14ac:dyDescent="0.2">
      <c r="B248" s="273"/>
      <c r="C248" s="262"/>
      <c r="D248" s="244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71"/>
    </row>
    <row r="249" spans="2:25" x14ac:dyDescent="0.2">
      <c r="B249" s="273"/>
      <c r="C249" s="256" t="s">
        <v>184</v>
      </c>
      <c r="D249" s="262"/>
      <c r="E249" s="266"/>
      <c r="F249" s="266"/>
      <c r="G249" s="266"/>
      <c r="H249" s="266"/>
      <c r="I249" s="257">
        <f>$D$19*'User Input'!J15</f>
        <v>21.675000000000001</v>
      </c>
      <c r="J249" s="257">
        <f t="shared" ref="J249:Y249" si="89">$D$19*I252</f>
        <v>23.554222500000002</v>
      </c>
      <c r="K249" s="257">
        <f t="shared" si="89"/>
        <v>25.596373590749998</v>
      </c>
      <c r="L249" s="257">
        <f t="shared" si="89"/>
        <v>27.815579181068021</v>
      </c>
      <c r="M249" s="257">
        <f t="shared" si="89"/>
        <v>30.227189896066619</v>
      </c>
      <c r="N249" s="257">
        <f t="shared" si="89"/>
        <v>32.847887260055593</v>
      </c>
      <c r="O249" s="257">
        <f t="shared" si="89"/>
        <v>35.695799085502415</v>
      </c>
      <c r="P249" s="257">
        <f t="shared" si="89"/>
        <v>38.790624866215474</v>
      </c>
      <c r="Q249" s="257">
        <f t="shared" si="89"/>
        <v>42.153772042116351</v>
      </c>
      <c r="R249" s="257">
        <f t="shared" si="89"/>
        <v>45.808504078167843</v>
      </c>
      <c r="S249" s="257">
        <f t="shared" si="89"/>
        <v>49.780101381744991</v>
      </c>
      <c r="T249" s="257">
        <f t="shared" si="89"/>
        <v>54.096036171542288</v>
      </c>
      <c r="U249" s="257">
        <f t="shared" si="89"/>
        <v>58.786162507615003</v>
      </c>
      <c r="V249" s="257">
        <f t="shared" si="89"/>
        <v>63.88292279702523</v>
      </c>
      <c r="W249" s="257">
        <f t="shared" si="89"/>
        <v>69.421572203527319</v>
      </c>
      <c r="X249" s="257">
        <f t="shared" si="89"/>
        <v>75.440422513573125</v>
      </c>
      <c r="Y249" s="275">
        <f t="shared" si="89"/>
        <v>81.981107145499919</v>
      </c>
    </row>
    <row r="250" spans="2:25" x14ac:dyDescent="0.2">
      <c r="B250" s="273"/>
      <c r="C250" s="262" t="s">
        <v>185</v>
      </c>
      <c r="D250" s="262"/>
      <c r="E250" s="266"/>
      <c r="F250" s="266"/>
      <c r="G250" s="266"/>
      <c r="H250" s="266"/>
      <c r="I250" s="264">
        <f>D247-I249</f>
        <v>-21.675000000000001</v>
      </c>
      <c r="J250" s="264">
        <f>$D$247-J249</f>
        <v>-23.554222500000002</v>
      </c>
      <c r="K250" s="264">
        <f t="shared" ref="K250:Y250" si="90">$D$247-K249</f>
        <v>-25.596373590749998</v>
      </c>
      <c r="L250" s="264">
        <f t="shared" si="90"/>
        <v>-27.815579181068021</v>
      </c>
      <c r="M250" s="264">
        <f t="shared" si="90"/>
        <v>-30.227189896066619</v>
      </c>
      <c r="N250" s="264">
        <f t="shared" si="90"/>
        <v>-32.847887260055593</v>
      </c>
      <c r="O250" s="264">
        <f t="shared" si="90"/>
        <v>-35.695799085502415</v>
      </c>
      <c r="P250" s="264">
        <f t="shared" si="90"/>
        <v>-38.790624866215474</v>
      </c>
      <c r="Q250" s="264">
        <f t="shared" si="90"/>
        <v>-42.153772042116351</v>
      </c>
      <c r="R250" s="264">
        <f t="shared" si="90"/>
        <v>-45.808504078167843</v>
      </c>
      <c r="S250" s="264">
        <f t="shared" si="90"/>
        <v>-49.780101381744991</v>
      </c>
      <c r="T250" s="264">
        <f t="shared" si="90"/>
        <v>-54.096036171542288</v>
      </c>
      <c r="U250" s="264">
        <f t="shared" si="90"/>
        <v>-58.786162507615003</v>
      </c>
      <c r="V250" s="264">
        <f t="shared" si="90"/>
        <v>-63.88292279702523</v>
      </c>
      <c r="W250" s="264">
        <f t="shared" si="90"/>
        <v>-69.421572203527319</v>
      </c>
      <c r="X250" s="264">
        <f t="shared" si="90"/>
        <v>-75.440422513573125</v>
      </c>
      <c r="Y250" s="276">
        <f t="shared" si="90"/>
        <v>-81.981107145499919</v>
      </c>
    </row>
    <row r="251" spans="2:25" x14ac:dyDescent="0.2">
      <c r="B251" s="273"/>
      <c r="C251" s="174" t="s">
        <v>186</v>
      </c>
      <c r="D251" s="262"/>
      <c r="E251" s="266"/>
      <c r="F251" s="266"/>
      <c r="G251" s="266"/>
      <c r="H251" s="266"/>
      <c r="I251" s="265">
        <f t="shared" ref="I251:Y251" si="91">SUM(I249:I250)</f>
        <v>0</v>
      </c>
      <c r="J251" s="265">
        <f t="shared" si="91"/>
        <v>0</v>
      </c>
      <c r="K251" s="265">
        <f t="shared" si="91"/>
        <v>0</v>
      </c>
      <c r="L251" s="265">
        <f t="shared" si="91"/>
        <v>0</v>
      </c>
      <c r="M251" s="265">
        <f t="shared" si="91"/>
        <v>0</v>
      </c>
      <c r="N251" s="265">
        <f t="shared" si="91"/>
        <v>0</v>
      </c>
      <c r="O251" s="265">
        <f t="shared" si="91"/>
        <v>0</v>
      </c>
      <c r="P251" s="265">
        <f t="shared" si="91"/>
        <v>0</v>
      </c>
      <c r="Q251" s="265">
        <f t="shared" si="91"/>
        <v>0</v>
      </c>
      <c r="R251" s="265">
        <f t="shared" si="91"/>
        <v>0</v>
      </c>
      <c r="S251" s="265">
        <f t="shared" si="91"/>
        <v>0</v>
      </c>
      <c r="T251" s="265">
        <f t="shared" si="91"/>
        <v>0</v>
      </c>
      <c r="U251" s="265">
        <f t="shared" si="91"/>
        <v>0</v>
      </c>
      <c r="V251" s="265">
        <f t="shared" si="91"/>
        <v>0</v>
      </c>
      <c r="W251" s="265">
        <f t="shared" si="91"/>
        <v>0</v>
      </c>
      <c r="X251" s="265">
        <f t="shared" si="91"/>
        <v>0</v>
      </c>
      <c r="Y251" s="277">
        <f t="shared" si="91"/>
        <v>0</v>
      </c>
    </row>
    <row r="252" spans="2:25" x14ac:dyDescent="0.2">
      <c r="B252" s="273"/>
      <c r="C252" s="256" t="s">
        <v>183</v>
      </c>
      <c r="D252" s="262"/>
      <c r="E252" s="258"/>
      <c r="F252" s="258"/>
      <c r="G252" s="258"/>
      <c r="H252" s="258"/>
      <c r="I252" s="257">
        <f>'User Input'!J15-I250</f>
        <v>271.67500000000001</v>
      </c>
      <c r="J252" s="257">
        <f t="shared" ref="J252:Y252" si="92">I252-J250</f>
        <v>295.22922249999999</v>
      </c>
      <c r="K252" s="257">
        <f t="shared" si="92"/>
        <v>320.82559609074997</v>
      </c>
      <c r="L252" s="257">
        <f t="shared" si="92"/>
        <v>348.64117527181799</v>
      </c>
      <c r="M252" s="257">
        <f t="shared" si="92"/>
        <v>378.86836516788458</v>
      </c>
      <c r="N252" s="257">
        <f t="shared" si="92"/>
        <v>411.71625242794016</v>
      </c>
      <c r="O252" s="257">
        <f t="shared" si="92"/>
        <v>447.41205151344258</v>
      </c>
      <c r="P252" s="257">
        <f t="shared" si="92"/>
        <v>486.20267637965804</v>
      </c>
      <c r="Q252" s="257">
        <f t="shared" si="92"/>
        <v>528.35644842177442</v>
      </c>
      <c r="R252" s="257">
        <f t="shared" si="92"/>
        <v>574.16495249994227</v>
      </c>
      <c r="S252" s="257">
        <f t="shared" si="92"/>
        <v>623.94505388168727</v>
      </c>
      <c r="T252" s="257">
        <f t="shared" si="92"/>
        <v>678.0410900532296</v>
      </c>
      <c r="U252" s="257">
        <f t="shared" si="92"/>
        <v>736.82725256084461</v>
      </c>
      <c r="V252" s="257">
        <f t="shared" si="92"/>
        <v>800.71017535786984</v>
      </c>
      <c r="W252" s="257">
        <f t="shared" si="92"/>
        <v>870.13174756139711</v>
      </c>
      <c r="X252" s="257">
        <f t="shared" si="92"/>
        <v>945.57217007497024</v>
      </c>
      <c r="Y252" s="275">
        <f t="shared" si="92"/>
        <v>1027.5532772204701</v>
      </c>
    </row>
    <row r="253" spans="2:25" x14ac:dyDescent="0.2">
      <c r="B253" s="278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79"/>
    </row>
    <row r="254" spans="2:25" x14ac:dyDescent="0.2">
      <c r="B254" s="402" t="str">
        <f>B60</f>
        <v>Option 1: Provide In Meter Capabilities</v>
      </c>
      <c r="C254" s="400"/>
      <c r="D254" s="403"/>
      <c r="E254" s="400"/>
      <c r="F254" s="400"/>
      <c r="G254" s="400"/>
      <c r="H254" s="400"/>
      <c r="I254" s="400"/>
      <c r="J254" s="400"/>
      <c r="K254" s="400"/>
      <c r="L254" s="400"/>
      <c r="M254" s="400"/>
      <c r="N254" s="400"/>
      <c r="O254" s="400"/>
      <c r="P254" s="400"/>
      <c r="Q254" s="400"/>
      <c r="R254" s="400"/>
      <c r="S254" s="400"/>
      <c r="T254" s="400"/>
      <c r="U254" s="400"/>
      <c r="V254" s="400"/>
      <c r="W254" s="400"/>
      <c r="X254" s="400"/>
      <c r="Y254" s="401"/>
    </row>
    <row r="255" spans="2:25" x14ac:dyDescent="0.2">
      <c r="B255" s="273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71"/>
    </row>
    <row r="256" spans="2:25" x14ac:dyDescent="0.2">
      <c r="B256" s="273" t="str">
        <f>C77</f>
        <v>Annualised Cost - capex (2019)</v>
      </c>
      <c r="C256" s="262"/>
      <c r="D256" s="244">
        <f>IF('User Input'!$F$16=0,0,IF('User Input'!$F$312=0,0,ABS(PMT($D$19,'User Input'!$F$312,'User Input'!$F$16))))</f>
        <v>0</v>
      </c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71"/>
    </row>
    <row r="257" spans="2:25" x14ac:dyDescent="0.2">
      <c r="B257" s="274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71"/>
    </row>
    <row r="258" spans="2:25" x14ac:dyDescent="0.2">
      <c r="B258" s="274"/>
      <c r="C258" s="256" t="s">
        <v>184</v>
      </c>
      <c r="D258" s="255"/>
      <c r="E258" s="257">
        <f>$D$19*'User Input'!F16</f>
        <v>116.23720743</v>
      </c>
      <c r="F258" s="257">
        <f>$D$19*E261</f>
        <v>126.31497331418099</v>
      </c>
      <c r="G258" s="257">
        <f t="shared" ref="G258:X258" si="93">$D$19*F261</f>
        <v>137.26648150052048</v>
      </c>
      <c r="H258" s="257">
        <f t="shared" si="93"/>
        <v>149.16748544661561</v>
      </c>
      <c r="I258" s="257">
        <f t="shared" si="93"/>
        <v>162.10030643483719</v>
      </c>
      <c r="J258" s="257">
        <f t="shared" si="93"/>
        <v>176.15440300273758</v>
      </c>
      <c r="K258" s="257">
        <f t="shared" si="93"/>
        <v>191.42698974307496</v>
      </c>
      <c r="L258" s="257">
        <f t="shared" si="93"/>
        <v>208.02370975379955</v>
      </c>
      <c r="M258" s="257">
        <f t="shared" si="93"/>
        <v>226.059365389454</v>
      </c>
      <c r="N258" s="257">
        <f t="shared" si="93"/>
        <v>245.65871236871965</v>
      </c>
      <c r="O258" s="257">
        <f t="shared" si="93"/>
        <v>266.95732273108763</v>
      </c>
      <c r="P258" s="257">
        <f t="shared" si="93"/>
        <v>290.10252261187293</v>
      </c>
      <c r="Q258" s="257">
        <f t="shared" si="93"/>
        <v>315.25441132232231</v>
      </c>
      <c r="R258" s="257">
        <f t="shared" si="93"/>
        <v>342.58696878396762</v>
      </c>
      <c r="S258" s="257">
        <f t="shared" si="93"/>
        <v>372.28925897753766</v>
      </c>
      <c r="T258" s="257">
        <f t="shared" si="93"/>
        <v>404.56673773089011</v>
      </c>
      <c r="U258" s="257">
        <f t="shared" si="93"/>
        <v>439.64267389215831</v>
      </c>
      <c r="V258" s="257">
        <f t="shared" si="93"/>
        <v>477.75969371860839</v>
      </c>
      <c r="W258" s="257">
        <f t="shared" si="93"/>
        <v>519.1814591640117</v>
      </c>
      <c r="X258" s="257">
        <f t="shared" si="93"/>
        <v>564.1944916735315</v>
      </c>
      <c r="Y258" s="271"/>
    </row>
    <row r="259" spans="2:25" x14ac:dyDescent="0.2">
      <c r="B259" s="274"/>
      <c r="C259" s="262" t="s">
        <v>185</v>
      </c>
      <c r="D259" s="262"/>
      <c r="E259" s="264">
        <f>D256-E258</f>
        <v>-116.23720743</v>
      </c>
      <c r="F259" s="264">
        <f>$D$256-F258</f>
        <v>-126.31497331418099</v>
      </c>
      <c r="G259" s="264">
        <f t="shared" ref="G259:X259" si="94">$D$256-G258</f>
        <v>-137.26648150052048</v>
      </c>
      <c r="H259" s="264">
        <f t="shared" si="94"/>
        <v>-149.16748544661561</v>
      </c>
      <c r="I259" s="264">
        <f t="shared" si="94"/>
        <v>-162.10030643483719</v>
      </c>
      <c r="J259" s="264">
        <f t="shared" si="94"/>
        <v>-176.15440300273758</v>
      </c>
      <c r="K259" s="264">
        <f t="shared" si="94"/>
        <v>-191.42698974307496</v>
      </c>
      <c r="L259" s="264">
        <f t="shared" si="94"/>
        <v>-208.02370975379955</v>
      </c>
      <c r="M259" s="264">
        <f t="shared" si="94"/>
        <v>-226.059365389454</v>
      </c>
      <c r="N259" s="264">
        <f t="shared" si="94"/>
        <v>-245.65871236871965</v>
      </c>
      <c r="O259" s="264">
        <f t="shared" si="94"/>
        <v>-266.95732273108763</v>
      </c>
      <c r="P259" s="264">
        <f t="shared" si="94"/>
        <v>-290.10252261187293</v>
      </c>
      <c r="Q259" s="264">
        <f t="shared" si="94"/>
        <v>-315.25441132232231</v>
      </c>
      <c r="R259" s="264">
        <f t="shared" si="94"/>
        <v>-342.58696878396762</v>
      </c>
      <c r="S259" s="264">
        <f t="shared" si="94"/>
        <v>-372.28925897753766</v>
      </c>
      <c r="T259" s="264">
        <f t="shared" si="94"/>
        <v>-404.56673773089011</v>
      </c>
      <c r="U259" s="264">
        <f t="shared" si="94"/>
        <v>-439.64267389215831</v>
      </c>
      <c r="V259" s="264">
        <f t="shared" si="94"/>
        <v>-477.75969371860839</v>
      </c>
      <c r="W259" s="264">
        <f t="shared" si="94"/>
        <v>-519.1814591640117</v>
      </c>
      <c r="X259" s="264">
        <f t="shared" si="94"/>
        <v>-564.1944916735315</v>
      </c>
      <c r="Y259" s="271"/>
    </row>
    <row r="260" spans="2:25" x14ac:dyDescent="0.2">
      <c r="B260" s="274"/>
      <c r="C260" s="174" t="s">
        <v>186</v>
      </c>
      <c r="D260" s="174"/>
      <c r="E260" s="265">
        <f t="shared" ref="E260:X260" si="95">SUM(E258:E259)</f>
        <v>0</v>
      </c>
      <c r="F260" s="265">
        <f t="shared" si="95"/>
        <v>0</v>
      </c>
      <c r="G260" s="265">
        <f t="shared" si="95"/>
        <v>0</v>
      </c>
      <c r="H260" s="265">
        <f t="shared" si="95"/>
        <v>0</v>
      </c>
      <c r="I260" s="265">
        <f t="shared" si="95"/>
        <v>0</v>
      </c>
      <c r="J260" s="265">
        <f t="shared" si="95"/>
        <v>0</v>
      </c>
      <c r="K260" s="265">
        <f t="shared" si="95"/>
        <v>0</v>
      </c>
      <c r="L260" s="265">
        <f t="shared" si="95"/>
        <v>0</v>
      </c>
      <c r="M260" s="265">
        <f t="shared" si="95"/>
        <v>0</v>
      </c>
      <c r="N260" s="265">
        <f t="shared" si="95"/>
        <v>0</v>
      </c>
      <c r="O260" s="265">
        <f t="shared" si="95"/>
        <v>0</v>
      </c>
      <c r="P260" s="265">
        <f t="shared" si="95"/>
        <v>0</v>
      </c>
      <c r="Q260" s="265">
        <f t="shared" si="95"/>
        <v>0</v>
      </c>
      <c r="R260" s="265">
        <f t="shared" si="95"/>
        <v>0</v>
      </c>
      <c r="S260" s="265">
        <f t="shared" si="95"/>
        <v>0</v>
      </c>
      <c r="T260" s="265">
        <f t="shared" si="95"/>
        <v>0</v>
      </c>
      <c r="U260" s="265">
        <f t="shared" si="95"/>
        <v>0</v>
      </c>
      <c r="V260" s="265">
        <f t="shared" si="95"/>
        <v>0</v>
      </c>
      <c r="W260" s="265">
        <f t="shared" si="95"/>
        <v>0</v>
      </c>
      <c r="X260" s="265">
        <f t="shared" si="95"/>
        <v>0</v>
      </c>
      <c r="Y260" s="271"/>
    </row>
    <row r="261" spans="2:25" x14ac:dyDescent="0.2">
      <c r="B261" s="274"/>
      <c r="C261" s="256" t="s">
        <v>183</v>
      </c>
      <c r="D261" s="255"/>
      <c r="E261" s="257">
        <f>'User Input'!F16-E259</f>
        <v>1456.9201074299999</v>
      </c>
      <c r="F261" s="257">
        <f>E261-F259</f>
        <v>1583.235080744181</v>
      </c>
      <c r="G261" s="257">
        <f t="shared" ref="G261:X261" si="96">F261-G259</f>
        <v>1720.5015622447015</v>
      </c>
      <c r="H261" s="257">
        <f t="shared" si="96"/>
        <v>1869.6690476913172</v>
      </c>
      <c r="I261" s="257">
        <f t="shared" si="96"/>
        <v>2031.7693541261544</v>
      </c>
      <c r="J261" s="257">
        <f t="shared" si="96"/>
        <v>2207.9237571288922</v>
      </c>
      <c r="K261" s="257">
        <f t="shared" si="96"/>
        <v>2399.3507468719672</v>
      </c>
      <c r="L261" s="257">
        <f t="shared" si="96"/>
        <v>2607.3744566257669</v>
      </c>
      <c r="M261" s="257">
        <f t="shared" si="96"/>
        <v>2833.4338220152208</v>
      </c>
      <c r="N261" s="257">
        <f t="shared" si="96"/>
        <v>3079.0925343839403</v>
      </c>
      <c r="O261" s="257">
        <f t="shared" si="96"/>
        <v>3346.0498571150279</v>
      </c>
      <c r="P261" s="257">
        <f t="shared" si="96"/>
        <v>3636.152379726901</v>
      </c>
      <c r="Q261" s="257">
        <f t="shared" si="96"/>
        <v>3951.4067910492231</v>
      </c>
      <c r="R261" s="257">
        <f t="shared" si="96"/>
        <v>4293.9937598331908</v>
      </c>
      <c r="S261" s="257">
        <f t="shared" si="96"/>
        <v>4666.2830188107282</v>
      </c>
      <c r="T261" s="257">
        <f t="shared" si="96"/>
        <v>5070.8497565416183</v>
      </c>
      <c r="U261" s="257">
        <f t="shared" si="96"/>
        <v>5510.4924304337765</v>
      </c>
      <c r="V261" s="257">
        <f t="shared" si="96"/>
        <v>5988.2521241523846</v>
      </c>
      <c r="W261" s="257">
        <f t="shared" si="96"/>
        <v>6507.4335833163959</v>
      </c>
      <c r="X261" s="257">
        <f t="shared" si="96"/>
        <v>7071.628074989927</v>
      </c>
      <c r="Y261" s="271"/>
    </row>
    <row r="262" spans="2:25" x14ac:dyDescent="0.2">
      <c r="B262" s="274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71"/>
    </row>
    <row r="263" spans="2:25" x14ac:dyDescent="0.2">
      <c r="B263" s="273" t="str">
        <f>C78</f>
        <v>Annualised Cost - capex (2020)</v>
      </c>
      <c r="C263" s="262"/>
      <c r="D263" s="244">
        <f>IF('User Input'!$G$16=0,0,IF('User Input'!$G$312=0,0,ABS(PMT($D$19,'User Input'!$G$312,'User Input'!$G$16))))</f>
        <v>0</v>
      </c>
      <c r="E263" s="262"/>
      <c r="F263" s="262"/>
      <c r="G263" s="262"/>
      <c r="H263" s="262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71"/>
    </row>
    <row r="264" spans="2:25" x14ac:dyDescent="0.2">
      <c r="B264" s="273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71"/>
    </row>
    <row r="265" spans="2:25" x14ac:dyDescent="0.2">
      <c r="B265" s="273"/>
      <c r="C265" s="256" t="s">
        <v>184</v>
      </c>
      <c r="D265" s="262"/>
      <c r="E265" s="266"/>
      <c r="F265" s="257">
        <f>D19*'User Input'!G16</f>
        <v>91.09595010000001</v>
      </c>
      <c r="G265" s="257">
        <f>$D$19*F268</f>
        <v>98.993968973670022</v>
      </c>
      <c r="H265" s="257">
        <f t="shared" ref="H265:X265" si="97">$D$19*G268</f>
        <v>107.5767460836872</v>
      </c>
      <c r="I265" s="257">
        <f t="shared" si="97"/>
        <v>116.90364996914288</v>
      </c>
      <c r="J265" s="257">
        <f t="shared" si="97"/>
        <v>127.03919642146757</v>
      </c>
      <c r="K265" s="257">
        <f t="shared" si="97"/>
        <v>138.0534947512088</v>
      </c>
      <c r="L265" s="257">
        <f t="shared" si="97"/>
        <v>150.02273274613859</v>
      </c>
      <c r="M265" s="257">
        <f t="shared" si="97"/>
        <v>163.02970367522883</v>
      </c>
      <c r="N265" s="257">
        <f t="shared" si="97"/>
        <v>177.16437898387116</v>
      </c>
      <c r="O265" s="257">
        <f t="shared" si="97"/>
        <v>192.52453064177277</v>
      </c>
      <c r="P265" s="257">
        <f t="shared" si="97"/>
        <v>209.21640744841449</v>
      </c>
      <c r="Q265" s="257">
        <f t="shared" si="97"/>
        <v>227.355469974192</v>
      </c>
      <c r="R265" s="257">
        <f t="shared" si="97"/>
        <v>247.06718922095448</v>
      </c>
      <c r="S265" s="257">
        <f t="shared" si="97"/>
        <v>268.4879145264112</v>
      </c>
      <c r="T265" s="257">
        <f t="shared" si="97"/>
        <v>291.76581671585109</v>
      </c>
      <c r="U265" s="257">
        <f t="shared" si="97"/>
        <v>317.06191302511536</v>
      </c>
      <c r="V265" s="257">
        <f t="shared" si="97"/>
        <v>344.55118088439286</v>
      </c>
      <c r="W265" s="257">
        <f t="shared" si="97"/>
        <v>374.4237682670697</v>
      </c>
      <c r="X265" s="257">
        <f t="shared" si="97"/>
        <v>406.8863089758247</v>
      </c>
      <c r="Y265" s="275"/>
    </row>
    <row r="266" spans="2:25" x14ac:dyDescent="0.2">
      <c r="B266" s="273"/>
      <c r="C266" s="262" t="s">
        <v>185</v>
      </c>
      <c r="D266" s="262"/>
      <c r="E266" s="266"/>
      <c r="F266" s="264">
        <f>D263-F265</f>
        <v>-91.09595010000001</v>
      </c>
      <c r="G266" s="264">
        <f>$D$263-G265</f>
        <v>-98.993968973670022</v>
      </c>
      <c r="H266" s="264">
        <f t="shared" ref="H266:X266" si="98">$D$263-H265</f>
        <v>-107.5767460836872</v>
      </c>
      <c r="I266" s="264">
        <f t="shared" si="98"/>
        <v>-116.90364996914288</v>
      </c>
      <c r="J266" s="264">
        <f t="shared" si="98"/>
        <v>-127.03919642146757</v>
      </c>
      <c r="K266" s="264">
        <f t="shared" si="98"/>
        <v>-138.0534947512088</v>
      </c>
      <c r="L266" s="264">
        <f t="shared" si="98"/>
        <v>-150.02273274613859</v>
      </c>
      <c r="M266" s="264">
        <f t="shared" si="98"/>
        <v>-163.02970367522883</v>
      </c>
      <c r="N266" s="264">
        <f t="shared" si="98"/>
        <v>-177.16437898387116</v>
      </c>
      <c r="O266" s="264">
        <f t="shared" si="98"/>
        <v>-192.52453064177277</v>
      </c>
      <c r="P266" s="264">
        <f t="shared" si="98"/>
        <v>-209.21640744841449</v>
      </c>
      <c r="Q266" s="264">
        <f t="shared" si="98"/>
        <v>-227.355469974192</v>
      </c>
      <c r="R266" s="264">
        <f t="shared" si="98"/>
        <v>-247.06718922095448</v>
      </c>
      <c r="S266" s="264">
        <f t="shared" si="98"/>
        <v>-268.4879145264112</v>
      </c>
      <c r="T266" s="264">
        <f t="shared" si="98"/>
        <v>-291.76581671585109</v>
      </c>
      <c r="U266" s="264">
        <f t="shared" si="98"/>
        <v>-317.06191302511536</v>
      </c>
      <c r="V266" s="264">
        <f t="shared" si="98"/>
        <v>-344.55118088439286</v>
      </c>
      <c r="W266" s="264">
        <f t="shared" si="98"/>
        <v>-374.4237682670697</v>
      </c>
      <c r="X266" s="264">
        <f t="shared" si="98"/>
        <v>-406.8863089758247</v>
      </c>
      <c r="Y266" s="276"/>
    </row>
    <row r="267" spans="2:25" x14ac:dyDescent="0.2">
      <c r="B267" s="273"/>
      <c r="C267" s="174" t="s">
        <v>186</v>
      </c>
      <c r="D267" s="262"/>
      <c r="E267" s="266"/>
      <c r="F267" s="265">
        <f t="shared" ref="F267:X267" si="99">SUM(F265:F266)</f>
        <v>0</v>
      </c>
      <c r="G267" s="265">
        <f t="shared" si="99"/>
        <v>0</v>
      </c>
      <c r="H267" s="265">
        <f t="shared" si="99"/>
        <v>0</v>
      </c>
      <c r="I267" s="265">
        <f t="shared" si="99"/>
        <v>0</v>
      </c>
      <c r="J267" s="265">
        <f t="shared" si="99"/>
        <v>0</v>
      </c>
      <c r="K267" s="265">
        <f t="shared" si="99"/>
        <v>0</v>
      </c>
      <c r="L267" s="265">
        <f t="shared" si="99"/>
        <v>0</v>
      </c>
      <c r="M267" s="265">
        <f t="shared" si="99"/>
        <v>0</v>
      </c>
      <c r="N267" s="265">
        <f t="shared" si="99"/>
        <v>0</v>
      </c>
      <c r="O267" s="265">
        <f t="shared" si="99"/>
        <v>0</v>
      </c>
      <c r="P267" s="265">
        <f t="shared" si="99"/>
        <v>0</v>
      </c>
      <c r="Q267" s="265">
        <f t="shared" si="99"/>
        <v>0</v>
      </c>
      <c r="R267" s="265">
        <f t="shared" si="99"/>
        <v>0</v>
      </c>
      <c r="S267" s="265">
        <f t="shared" si="99"/>
        <v>0</v>
      </c>
      <c r="T267" s="265">
        <f t="shared" si="99"/>
        <v>0</v>
      </c>
      <c r="U267" s="265">
        <f t="shared" si="99"/>
        <v>0</v>
      </c>
      <c r="V267" s="265">
        <f t="shared" si="99"/>
        <v>0</v>
      </c>
      <c r="W267" s="265">
        <f t="shared" si="99"/>
        <v>0</v>
      </c>
      <c r="X267" s="265">
        <f t="shared" si="99"/>
        <v>0</v>
      </c>
      <c r="Y267" s="277"/>
    </row>
    <row r="268" spans="2:25" x14ac:dyDescent="0.2">
      <c r="B268" s="273"/>
      <c r="C268" s="256" t="s">
        <v>183</v>
      </c>
      <c r="D268" s="262"/>
      <c r="E268" s="258"/>
      <c r="F268" s="257">
        <f>'User Input'!G16-F266</f>
        <v>1141.7989501000002</v>
      </c>
      <c r="G268" s="257">
        <f>F268-G266</f>
        <v>1240.7929190736702</v>
      </c>
      <c r="H268" s="257">
        <f t="shared" ref="H268:X268" si="100">G268-H266</f>
        <v>1348.3696651573573</v>
      </c>
      <c r="I268" s="257">
        <f t="shared" si="100"/>
        <v>1465.2733151265002</v>
      </c>
      <c r="J268" s="257">
        <f t="shared" si="100"/>
        <v>1592.3125115479677</v>
      </c>
      <c r="K268" s="257">
        <f t="shared" si="100"/>
        <v>1730.3660062991764</v>
      </c>
      <c r="L268" s="257">
        <f t="shared" si="100"/>
        <v>1880.3887390453151</v>
      </c>
      <c r="M268" s="257">
        <f t="shared" si="100"/>
        <v>2043.4184427205439</v>
      </c>
      <c r="N268" s="257">
        <f t="shared" si="100"/>
        <v>2220.582821704415</v>
      </c>
      <c r="O268" s="257">
        <f t="shared" si="100"/>
        <v>2413.1073523461878</v>
      </c>
      <c r="P268" s="257">
        <f t="shared" si="100"/>
        <v>2622.3237597946022</v>
      </c>
      <c r="Q268" s="257">
        <f t="shared" si="100"/>
        <v>2849.6792297687944</v>
      </c>
      <c r="R268" s="257">
        <f t="shared" si="100"/>
        <v>3096.7464189897487</v>
      </c>
      <c r="S268" s="257">
        <f t="shared" si="100"/>
        <v>3365.2343335161599</v>
      </c>
      <c r="T268" s="257">
        <f t="shared" si="100"/>
        <v>3657.000150232011</v>
      </c>
      <c r="U268" s="257">
        <f t="shared" si="100"/>
        <v>3974.0620632571263</v>
      </c>
      <c r="V268" s="257">
        <f t="shared" si="100"/>
        <v>4318.6132441415193</v>
      </c>
      <c r="W268" s="257">
        <f t="shared" si="100"/>
        <v>4693.0370124085894</v>
      </c>
      <c r="X268" s="257">
        <f t="shared" si="100"/>
        <v>5099.9233213844145</v>
      </c>
      <c r="Y268" s="275"/>
    </row>
    <row r="269" spans="2:25" x14ac:dyDescent="0.2">
      <c r="B269" s="273"/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71"/>
    </row>
    <row r="270" spans="2:25" x14ac:dyDescent="0.2">
      <c r="B270" s="273" t="str">
        <f>C79</f>
        <v>Annualised Cost - capex (2021)</v>
      </c>
      <c r="C270" s="262"/>
      <c r="D270" s="244">
        <f>IF('User Input'!$H$16=0,0,IF('User Input'!$H$312=0,0,ABS(PMT($D$19,'User Input'!$H$312,'User Input'!$H$16))))</f>
        <v>0</v>
      </c>
      <c r="E270" s="262"/>
      <c r="F270" s="262"/>
      <c r="G270" s="262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71"/>
    </row>
    <row r="271" spans="2:25" x14ac:dyDescent="0.2">
      <c r="B271" s="273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71"/>
    </row>
    <row r="272" spans="2:25" x14ac:dyDescent="0.2">
      <c r="B272" s="273"/>
      <c r="C272" s="256" t="s">
        <v>184</v>
      </c>
      <c r="D272" s="262"/>
      <c r="E272" s="266"/>
      <c r="F272" s="266"/>
      <c r="G272" s="257">
        <f>$D$19*'User Input'!H16</f>
        <v>0</v>
      </c>
      <c r="H272" s="257">
        <f>$D$19*G275</f>
        <v>0</v>
      </c>
      <c r="I272" s="257">
        <f t="shared" ref="I272:X272" si="101">$D$19*H275</f>
        <v>0</v>
      </c>
      <c r="J272" s="257">
        <f t="shared" si="101"/>
        <v>0</v>
      </c>
      <c r="K272" s="257">
        <f t="shared" si="101"/>
        <v>0</v>
      </c>
      <c r="L272" s="257">
        <f t="shared" si="101"/>
        <v>0</v>
      </c>
      <c r="M272" s="257">
        <f t="shared" si="101"/>
        <v>0</v>
      </c>
      <c r="N272" s="257">
        <f t="shared" si="101"/>
        <v>0</v>
      </c>
      <c r="O272" s="257">
        <f t="shared" si="101"/>
        <v>0</v>
      </c>
      <c r="P272" s="257">
        <f t="shared" si="101"/>
        <v>0</v>
      </c>
      <c r="Q272" s="257">
        <f t="shared" si="101"/>
        <v>0</v>
      </c>
      <c r="R272" s="257">
        <f t="shared" si="101"/>
        <v>0</v>
      </c>
      <c r="S272" s="257">
        <f t="shared" si="101"/>
        <v>0</v>
      </c>
      <c r="T272" s="257">
        <f t="shared" si="101"/>
        <v>0</v>
      </c>
      <c r="U272" s="257">
        <f t="shared" si="101"/>
        <v>0</v>
      </c>
      <c r="V272" s="257">
        <f t="shared" si="101"/>
        <v>0</v>
      </c>
      <c r="W272" s="257">
        <f t="shared" si="101"/>
        <v>0</v>
      </c>
      <c r="X272" s="257">
        <f t="shared" si="101"/>
        <v>0</v>
      </c>
      <c r="Y272" s="275"/>
    </row>
    <row r="273" spans="2:25" x14ac:dyDescent="0.2">
      <c r="B273" s="273"/>
      <c r="C273" s="262" t="s">
        <v>185</v>
      </c>
      <c r="D273" s="262"/>
      <c r="E273" s="266"/>
      <c r="F273" s="266"/>
      <c r="G273" s="264">
        <f>D270-G272</f>
        <v>0</v>
      </c>
      <c r="H273" s="264">
        <f>$D$270-H272</f>
        <v>0</v>
      </c>
      <c r="I273" s="264">
        <f t="shared" ref="I273:X273" si="102">$D$270-I272</f>
        <v>0</v>
      </c>
      <c r="J273" s="264">
        <f t="shared" si="102"/>
        <v>0</v>
      </c>
      <c r="K273" s="264">
        <f t="shared" si="102"/>
        <v>0</v>
      </c>
      <c r="L273" s="264">
        <f t="shared" si="102"/>
        <v>0</v>
      </c>
      <c r="M273" s="264">
        <f t="shared" si="102"/>
        <v>0</v>
      </c>
      <c r="N273" s="264">
        <f t="shared" si="102"/>
        <v>0</v>
      </c>
      <c r="O273" s="264">
        <f t="shared" si="102"/>
        <v>0</v>
      </c>
      <c r="P273" s="264">
        <f t="shared" si="102"/>
        <v>0</v>
      </c>
      <c r="Q273" s="264">
        <f t="shared" si="102"/>
        <v>0</v>
      </c>
      <c r="R273" s="264">
        <f t="shared" si="102"/>
        <v>0</v>
      </c>
      <c r="S273" s="264">
        <f t="shared" si="102"/>
        <v>0</v>
      </c>
      <c r="T273" s="264">
        <f t="shared" si="102"/>
        <v>0</v>
      </c>
      <c r="U273" s="264">
        <f t="shared" si="102"/>
        <v>0</v>
      </c>
      <c r="V273" s="264">
        <f t="shared" si="102"/>
        <v>0</v>
      </c>
      <c r="W273" s="264">
        <f t="shared" si="102"/>
        <v>0</v>
      </c>
      <c r="X273" s="264">
        <f t="shared" si="102"/>
        <v>0</v>
      </c>
      <c r="Y273" s="276"/>
    </row>
    <row r="274" spans="2:25" x14ac:dyDescent="0.2">
      <c r="B274" s="273"/>
      <c r="C274" s="174" t="s">
        <v>186</v>
      </c>
      <c r="D274" s="262"/>
      <c r="E274" s="266"/>
      <c r="F274" s="266"/>
      <c r="G274" s="265">
        <f t="shared" ref="G274:X274" si="103">SUM(G272:G273)</f>
        <v>0</v>
      </c>
      <c r="H274" s="265">
        <f t="shared" si="103"/>
        <v>0</v>
      </c>
      <c r="I274" s="265">
        <f t="shared" si="103"/>
        <v>0</v>
      </c>
      <c r="J274" s="265">
        <f t="shared" si="103"/>
        <v>0</v>
      </c>
      <c r="K274" s="265">
        <f t="shared" si="103"/>
        <v>0</v>
      </c>
      <c r="L274" s="265">
        <f t="shared" si="103"/>
        <v>0</v>
      </c>
      <c r="M274" s="265">
        <f t="shared" si="103"/>
        <v>0</v>
      </c>
      <c r="N274" s="265">
        <f t="shared" si="103"/>
        <v>0</v>
      </c>
      <c r="O274" s="265">
        <f t="shared" si="103"/>
        <v>0</v>
      </c>
      <c r="P274" s="265">
        <f t="shared" si="103"/>
        <v>0</v>
      </c>
      <c r="Q274" s="265">
        <f t="shared" si="103"/>
        <v>0</v>
      </c>
      <c r="R274" s="265">
        <f t="shared" si="103"/>
        <v>0</v>
      </c>
      <c r="S274" s="265">
        <f t="shared" si="103"/>
        <v>0</v>
      </c>
      <c r="T274" s="265">
        <f t="shared" si="103"/>
        <v>0</v>
      </c>
      <c r="U274" s="265">
        <f t="shared" si="103"/>
        <v>0</v>
      </c>
      <c r="V274" s="265">
        <f t="shared" si="103"/>
        <v>0</v>
      </c>
      <c r="W274" s="265">
        <f t="shared" si="103"/>
        <v>0</v>
      </c>
      <c r="X274" s="265">
        <f t="shared" si="103"/>
        <v>0</v>
      </c>
      <c r="Y274" s="277"/>
    </row>
    <row r="275" spans="2:25" x14ac:dyDescent="0.2">
      <c r="B275" s="273"/>
      <c r="C275" s="256" t="s">
        <v>183</v>
      </c>
      <c r="D275" s="262"/>
      <c r="E275" s="258"/>
      <c r="F275" s="258"/>
      <c r="G275" s="257">
        <f>'User Input'!H16-G273</f>
        <v>0</v>
      </c>
      <c r="H275" s="257">
        <f>G275-H273</f>
        <v>0</v>
      </c>
      <c r="I275" s="257">
        <f t="shared" ref="I275:X275" si="104">H275-I273</f>
        <v>0</v>
      </c>
      <c r="J275" s="257">
        <f t="shared" si="104"/>
        <v>0</v>
      </c>
      <c r="K275" s="257">
        <f t="shared" si="104"/>
        <v>0</v>
      </c>
      <c r="L275" s="257">
        <f t="shared" si="104"/>
        <v>0</v>
      </c>
      <c r="M275" s="257">
        <f t="shared" si="104"/>
        <v>0</v>
      </c>
      <c r="N275" s="257">
        <f t="shared" si="104"/>
        <v>0</v>
      </c>
      <c r="O275" s="257">
        <f t="shared" si="104"/>
        <v>0</v>
      </c>
      <c r="P275" s="257">
        <f t="shared" si="104"/>
        <v>0</v>
      </c>
      <c r="Q275" s="257">
        <f t="shared" si="104"/>
        <v>0</v>
      </c>
      <c r="R275" s="257">
        <f t="shared" si="104"/>
        <v>0</v>
      </c>
      <c r="S275" s="257">
        <f t="shared" si="104"/>
        <v>0</v>
      </c>
      <c r="T275" s="257">
        <f t="shared" si="104"/>
        <v>0</v>
      </c>
      <c r="U275" s="257">
        <f t="shared" si="104"/>
        <v>0</v>
      </c>
      <c r="V275" s="257">
        <f t="shared" si="104"/>
        <v>0</v>
      </c>
      <c r="W275" s="257">
        <f t="shared" si="104"/>
        <v>0</v>
      </c>
      <c r="X275" s="257">
        <f t="shared" si="104"/>
        <v>0</v>
      </c>
      <c r="Y275" s="275"/>
    </row>
    <row r="276" spans="2:25" x14ac:dyDescent="0.2">
      <c r="B276" s="273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71"/>
    </row>
    <row r="277" spans="2:25" x14ac:dyDescent="0.2">
      <c r="B277" s="273" t="str">
        <f>C80</f>
        <v>Annualised Cost - capex (2022)</v>
      </c>
      <c r="C277" s="262"/>
      <c r="D277" s="244">
        <f>IF('User Input'!$I$16=0,0,IF('User Input'!$I$312=0,0,ABS(PMT($D$19,'User Input'!$I$312,'User Input'!$I$16))))</f>
        <v>0</v>
      </c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71"/>
    </row>
    <row r="278" spans="2:25" x14ac:dyDescent="0.2">
      <c r="B278" s="273"/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71"/>
    </row>
    <row r="279" spans="2:25" x14ac:dyDescent="0.2">
      <c r="B279" s="273"/>
      <c r="C279" s="256" t="s">
        <v>184</v>
      </c>
      <c r="D279" s="262"/>
      <c r="E279" s="266"/>
      <c r="F279" s="266"/>
      <c r="G279" s="266"/>
      <c r="H279" s="257">
        <f>D19*'User Input'!I16</f>
        <v>0</v>
      </c>
      <c r="I279" s="257">
        <f>$D$19*H282</f>
        <v>0</v>
      </c>
      <c r="J279" s="257">
        <f t="shared" ref="J279:X279" si="105">$D$19*I282</f>
        <v>0</v>
      </c>
      <c r="K279" s="257">
        <f t="shared" si="105"/>
        <v>0</v>
      </c>
      <c r="L279" s="257">
        <f t="shared" si="105"/>
        <v>0</v>
      </c>
      <c r="M279" s="257">
        <f t="shared" si="105"/>
        <v>0</v>
      </c>
      <c r="N279" s="257">
        <f t="shared" si="105"/>
        <v>0</v>
      </c>
      <c r="O279" s="257">
        <f t="shared" si="105"/>
        <v>0</v>
      </c>
      <c r="P279" s="257">
        <f t="shared" si="105"/>
        <v>0</v>
      </c>
      <c r="Q279" s="257">
        <f t="shared" si="105"/>
        <v>0</v>
      </c>
      <c r="R279" s="257">
        <f t="shared" si="105"/>
        <v>0</v>
      </c>
      <c r="S279" s="257">
        <f t="shared" si="105"/>
        <v>0</v>
      </c>
      <c r="T279" s="257">
        <f t="shared" si="105"/>
        <v>0</v>
      </c>
      <c r="U279" s="257">
        <f t="shared" si="105"/>
        <v>0</v>
      </c>
      <c r="V279" s="257">
        <f t="shared" si="105"/>
        <v>0</v>
      </c>
      <c r="W279" s="257">
        <f t="shared" si="105"/>
        <v>0</v>
      </c>
      <c r="X279" s="257">
        <f t="shared" si="105"/>
        <v>0</v>
      </c>
      <c r="Y279" s="275"/>
    </row>
    <row r="280" spans="2:25" x14ac:dyDescent="0.2">
      <c r="B280" s="273"/>
      <c r="C280" s="262" t="s">
        <v>185</v>
      </c>
      <c r="D280" s="262"/>
      <c r="E280" s="266"/>
      <c r="F280" s="266"/>
      <c r="G280" s="266"/>
      <c r="H280" s="264">
        <f>$D$277-H279</f>
        <v>0</v>
      </c>
      <c r="I280" s="264">
        <f>$D$277-I279</f>
        <v>0</v>
      </c>
      <c r="J280" s="264">
        <f t="shared" ref="J280:X280" si="106">$D$277-J279</f>
        <v>0</v>
      </c>
      <c r="K280" s="264">
        <f t="shared" si="106"/>
        <v>0</v>
      </c>
      <c r="L280" s="264">
        <f t="shared" si="106"/>
        <v>0</v>
      </c>
      <c r="M280" s="264">
        <f t="shared" si="106"/>
        <v>0</v>
      </c>
      <c r="N280" s="264">
        <f t="shared" si="106"/>
        <v>0</v>
      </c>
      <c r="O280" s="264">
        <f t="shared" si="106"/>
        <v>0</v>
      </c>
      <c r="P280" s="264">
        <f t="shared" si="106"/>
        <v>0</v>
      </c>
      <c r="Q280" s="264">
        <f t="shared" si="106"/>
        <v>0</v>
      </c>
      <c r="R280" s="264">
        <f t="shared" si="106"/>
        <v>0</v>
      </c>
      <c r="S280" s="264">
        <f t="shared" si="106"/>
        <v>0</v>
      </c>
      <c r="T280" s="264">
        <f t="shared" si="106"/>
        <v>0</v>
      </c>
      <c r="U280" s="264">
        <f t="shared" si="106"/>
        <v>0</v>
      </c>
      <c r="V280" s="264">
        <f t="shared" si="106"/>
        <v>0</v>
      </c>
      <c r="W280" s="264">
        <f t="shared" si="106"/>
        <v>0</v>
      </c>
      <c r="X280" s="264">
        <f t="shared" si="106"/>
        <v>0</v>
      </c>
      <c r="Y280" s="276"/>
    </row>
    <row r="281" spans="2:25" x14ac:dyDescent="0.2">
      <c r="B281" s="273"/>
      <c r="C281" s="174" t="s">
        <v>186</v>
      </c>
      <c r="D281" s="262"/>
      <c r="E281" s="266"/>
      <c r="F281" s="266"/>
      <c r="G281" s="266"/>
      <c r="H281" s="265">
        <f t="shared" ref="H281:X281" si="107">SUM(H279:H280)</f>
        <v>0</v>
      </c>
      <c r="I281" s="265">
        <f t="shared" si="107"/>
        <v>0</v>
      </c>
      <c r="J281" s="265">
        <f t="shared" si="107"/>
        <v>0</v>
      </c>
      <c r="K281" s="265">
        <f t="shared" si="107"/>
        <v>0</v>
      </c>
      <c r="L281" s="265">
        <f t="shared" si="107"/>
        <v>0</v>
      </c>
      <c r="M281" s="265">
        <f t="shared" si="107"/>
        <v>0</v>
      </c>
      <c r="N281" s="265">
        <f t="shared" si="107"/>
        <v>0</v>
      </c>
      <c r="O281" s="265">
        <f t="shared" si="107"/>
        <v>0</v>
      </c>
      <c r="P281" s="265">
        <f t="shared" si="107"/>
        <v>0</v>
      </c>
      <c r="Q281" s="265">
        <f t="shared" si="107"/>
        <v>0</v>
      </c>
      <c r="R281" s="265">
        <f t="shared" si="107"/>
        <v>0</v>
      </c>
      <c r="S281" s="265">
        <f t="shared" si="107"/>
        <v>0</v>
      </c>
      <c r="T281" s="265">
        <f t="shared" si="107"/>
        <v>0</v>
      </c>
      <c r="U281" s="265">
        <f t="shared" si="107"/>
        <v>0</v>
      </c>
      <c r="V281" s="265">
        <f t="shared" si="107"/>
        <v>0</v>
      </c>
      <c r="W281" s="265">
        <f t="shared" si="107"/>
        <v>0</v>
      </c>
      <c r="X281" s="265">
        <f t="shared" si="107"/>
        <v>0</v>
      </c>
      <c r="Y281" s="277"/>
    </row>
    <row r="282" spans="2:25" x14ac:dyDescent="0.2">
      <c r="B282" s="273"/>
      <c r="C282" s="256" t="s">
        <v>183</v>
      </c>
      <c r="D282" s="262"/>
      <c r="E282" s="258"/>
      <c r="F282" s="258"/>
      <c r="G282" s="258"/>
      <c r="H282" s="257">
        <f>'User Input'!I16-H280</f>
        <v>0</v>
      </c>
      <c r="I282" s="257">
        <f>H282-I280</f>
        <v>0</v>
      </c>
      <c r="J282" s="257">
        <f t="shared" ref="J282:X282" si="108">I282-J280</f>
        <v>0</v>
      </c>
      <c r="K282" s="257">
        <f t="shared" si="108"/>
        <v>0</v>
      </c>
      <c r="L282" s="257">
        <f t="shared" si="108"/>
        <v>0</v>
      </c>
      <c r="M282" s="257">
        <f t="shared" si="108"/>
        <v>0</v>
      </c>
      <c r="N282" s="257">
        <f t="shared" si="108"/>
        <v>0</v>
      </c>
      <c r="O282" s="257">
        <f t="shared" si="108"/>
        <v>0</v>
      </c>
      <c r="P282" s="257">
        <f t="shared" si="108"/>
        <v>0</v>
      </c>
      <c r="Q282" s="257">
        <f t="shared" si="108"/>
        <v>0</v>
      </c>
      <c r="R282" s="257">
        <f t="shared" si="108"/>
        <v>0</v>
      </c>
      <c r="S282" s="257">
        <f t="shared" si="108"/>
        <v>0</v>
      </c>
      <c r="T282" s="257">
        <f t="shared" si="108"/>
        <v>0</v>
      </c>
      <c r="U282" s="257">
        <f t="shared" si="108"/>
        <v>0</v>
      </c>
      <c r="V282" s="257">
        <f t="shared" si="108"/>
        <v>0</v>
      </c>
      <c r="W282" s="257">
        <f t="shared" si="108"/>
        <v>0</v>
      </c>
      <c r="X282" s="257">
        <f t="shared" si="108"/>
        <v>0</v>
      </c>
      <c r="Y282" s="275"/>
    </row>
    <row r="283" spans="2:25" x14ac:dyDescent="0.2">
      <c r="B283" s="270"/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71"/>
    </row>
    <row r="284" spans="2:25" x14ac:dyDescent="0.2">
      <c r="B284" s="273" t="str">
        <f>C81</f>
        <v>Annualised Cost - capex (2023)</v>
      </c>
      <c r="C284" s="262"/>
      <c r="D284" s="244">
        <f>IF('User Input'!$J$16=0,0,IF('User Input'!$J$312=0,0,ABS(PMT($D$19,'User Input'!$J$312,'User Input'!$J$16))))</f>
        <v>0</v>
      </c>
      <c r="E284" s="262"/>
      <c r="F284" s="262"/>
      <c r="G284" s="262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71"/>
    </row>
    <row r="285" spans="2:25" x14ac:dyDescent="0.2">
      <c r="B285" s="273"/>
      <c r="C285" s="262"/>
      <c r="D285" s="244"/>
      <c r="E285" s="262"/>
      <c r="F285" s="262"/>
      <c r="G285" s="262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71"/>
    </row>
    <row r="286" spans="2:25" x14ac:dyDescent="0.2">
      <c r="B286" s="273"/>
      <c r="C286" s="256" t="s">
        <v>184</v>
      </c>
      <c r="D286" s="262"/>
      <c r="E286" s="266"/>
      <c r="F286" s="266"/>
      <c r="G286" s="266"/>
      <c r="H286" s="266"/>
      <c r="I286" s="257">
        <f>$D$19*'User Input'!J16</f>
        <v>0</v>
      </c>
      <c r="J286" s="257">
        <f>$D$19*I289</f>
        <v>0</v>
      </c>
      <c r="K286" s="257">
        <f t="shared" ref="K286:X286" si="109">$D$19*J289</f>
        <v>0</v>
      </c>
      <c r="L286" s="257">
        <f t="shared" si="109"/>
        <v>0</v>
      </c>
      <c r="M286" s="257">
        <f t="shared" si="109"/>
        <v>0</v>
      </c>
      <c r="N286" s="257">
        <f t="shared" si="109"/>
        <v>0</v>
      </c>
      <c r="O286" s="257">
        <f t="shared" si="109"/>
        <v>0</v>
      </c>
      <c r="P286" s="257">
        <f t="shared" si="109"/>
        <v>0</v>
      </c>
      <c r="Q286" s="257">
        <f t="shared" si="109"/>
        <v>0</v>
      </c>
      <c r="R286" s="257">
        <f t="shared" si="109"/>
        <v>0</v>
      </c>
      <c r="S286" s="257">
        <f t="shared" si="109"/>
        <v>0</v>
      </c>
      <c r="T286" s="257">
        <f t="shared" si="109"/>
        <v>0</v>
      </c>
      <c r="U286" s="257">
        <f t="shared" si="109"/>
        <v>0</v>
      </c>
      <c r="V286" s="257">
        <f t="shared" si="109"/>
        <v>0</v>
      </c>
      <c r="W286" s="257">
        <f t="shared" si="109"/>
        <v>0</v>
      </c>
      <c r="X286" s="257">
        <f t="shared" si="109"/>
        <v>0</v>
      </c>
      <c r="Y286" s="275"/>
    </row>
    <row r="287" spans="2:25" x14ac:dyDescent="0.2">
      <c r="B287" s="273"/>
      <c r="C287" s="262" t="s">
        <v>185</v>
      </c>
      <c r="D287" s="262"/>
      <c r="E287" s="266"/>
      <c r="F287" s="266"/>
      <c r="G287" s="266"/>
      <c r="H287" s="266"/>
      <c r="I287" s="264">
        <f>D284-I286</f>
        <v>0</v>
      </c>
      <c r="J287" s="264">
        <f>$D$284-J286</f>
        <v>0</v>
      </c>
      <c r="K287" s="264">
        <f t="shared" ref="K287:X287" si="110">$D$284-K286</f>
        <v>0</v>
      </c>
      <c r="L287" s="264">
        <f t="shared" si="110"/>
        <v>0</v>
      </c>
      <c r="M287" s="264">
        <f t="shared" si="110"/>
        <v>0</v>
      </c>
      <c r="N287" s="264">
        <f t="shared" si="110"/>
        <v>0</v>
      </c>
      <c r="O287" s="264">
        <f t="shared" si="110"/>
        <v>0</v>
      </c>
      <c r="P287" s="264">
        <f t="shared" si="110"/>
        <v>0</v>
      </c>
      <c r="Q287" s="264">
        <f t="shared" si="110"/>
        <v>0</v>
      </c>
      <c r="R287" s="264">
        <f t="shared" si="110"/>
        <v>0</v>
      </c>
      <c r="S287" s="264">
        <f t="shared" si="110"/>
        <v>0</v>
      </c>
      <c r="T287" s="264">
        <f t="shared" si="110"/>
        <v>0</v>
      </c>
      <c r="U287" s="264">
        <f t="shared" si="110"/>
        <v>0</v>
      </c>
      <c r="V287" s="264">
        <f t="shared" si="110"/>
        <v>0</v>
      </c>
      <c r="W287" s="264">
        <f t="shared" si="110"/>
        <v>0</v>
      </c>
      <c r="X287" s="264">
        <f t="shared" si="110"/>
        <v>0</v>
      </c>
      <c r="Y287" s="276"/>
    </row>
    <row r="288" spans="2:25" x14ac:dyDescent="0.2">
      <c r="B288" s="273"/>
      <c r="C288" s="174" t="s">
        <v>186</v>
      </c>
      <c r="D288" s="262"/>
      <c r="E288" s="266"/>
      <c r="F288" s="266"/>
      <c r="G288" s="266"/>
      <c r="H288" s="266"/>
      <c r="I288" s="265">
        <f t="shared" ref="I288:X288" si="111">SUM(I286:I287)</f>
        <v>0</v>
      </c>
      <c r="J288" s="265">
        <f t="shared" si="111"/>
        <v>0</v>
      </c>
      <c r="K288" s="265">
        <f t="shared" si="111"/>
        <v>0</v>
      </c>
      <c r="L288" s="265">
        <f t="shared" si="111"/>
        <v>0</v>
      </c>
      <c r="M288" s="265">
        <f t="shared" si="111"/>
        <v>0</v>
      </c>
      <c r="N288" s="265">
        <f t="shared" si="111"/>
        <v>0</v>
      </c>
      <c r="O288" s="265">
        <f t="shared" si="111"/>
        <v>0</v>
      </c>
      <c r="P288" s="265">
        <f t="shared" si="111"/>
        <v>0</v>
      </c>
      <c r="Q288" s="265">
        <f t="shared" si="111"/>
        <v>0</v>
      </c>
      <c r="R288" s="265">
        <f t="shared" si="111"/>
        <v>0</v>
      </c>
      <c r="S288" s="265">
        <f t="shared" si="111"/>
        <v>0</v>
      </c>
      <c r="T288" s="265">
        <f t="shared" si="111"/>
        <v>0</v>
      </c>
      <c r="U288" s="265">
        <f t="shared" si="111"/>
        <v>0</v>
      </c>
      <c r="V288" s="265">
        <f t="shared" si="111"/>
        <v>0</v>
      </c>
      <c r="W288" s="265">
        <f t="shared" si="111"/>
        <v>0</v>
      </c>
      <c r="X288" s="265">
        <f t="shared" si="111"/>
        <v>0</v>
      </c>
      <c r="Y288" s="277"/>
    </row>
    <row r="289" spans="2:25" x14ac:dyDescent="0.2">
      <c r="B289" s="273"/>
      <c r="C289" s="256" t="s">
        <v>183</v>
      </c>
      <c r="D289" s="262"/>
      <c r="E289" s="258"/>
      <c r="F289" s="258"/>
      <c r="G289" s="258"/>
      <c r="H289" s="258"/>
      <c r="I289" s="257">
        <f>'User Input'!J16-I287</f>
        <v>0</v>
      </c>
      <c r="J289" s="257">
        <f>I289-J287</f>
        <v>0</v>
      </c>
      <c r="K289" s="257">
        <f t="shared" ref="K289:X289" si="112">J289-K287</f>
        <v>0</v>
      </c>
      <c r="L289" s="257">
        <f t="shared" si="112"/>
        <v>0</v>
      </c>
      <c r="M289" s="257">
        <f t="shared" si="112"/>
        <v>0</v>
      </c>
      <c r="N289" s="257">
        <f t="shared" si="112"/>
        <v>0</v>
      </c>
      <c r="O289" s="257">
        <f t="shared" si="112"/>
        <v>0</v>
      </c>
      <c r="P289" s="257">
        <f t="shared" si="112"/>
        <v>0</v>
      </c>
      <c r="Q289" s="257">
        <f t="shared" si="112"/>
        <v>0</v>
      </c>
      <c r="R289" s="257">
        <f t="shared" si="112"/>
        <v>0</v>
      </c>
      <c r="S289" s="257">
        <f t="shared" si="112"/>
        <v>0</v>
      </c>
      <c r="T289" s="257">
        <f t="shared" si="112"/>
        <v>0</v>
      </c>
      <c r="U289" s="257">
        <f t="shared" si="112"/>
        <v>0</v>
      </c>
      <c r="V289" s="257">
        <f t="shared" si="112"/>
        <v>0</v>
      </c>
      <c r="W289" s="257">
        <f t="shared" si="112"/>
        <v>0</v>
      </c>
      <c r="X289" s="257">
        <f t="shared" si="112"/>
        <v>0</v>
      </c>
      <c r="Y289" s="275"/>
    </row>
    <row r="290" spans="2:25" x14ac:dyDescent="0.2">
      <c r="B290" s="280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79"/>
    </row>
    <row r="291" spans="2:25" x14ac:dyDescent="0.2">
      <c r="B291" s="402" t="str">
        <f>B90</f>
        <v>Option 2: Provide In Meter Capabilities with Near Real-time Centralised Analytics</v>
      </c>
      <c r="C291" s="404"/>
      <c r="D291" s="405"/>
      <c r="E291" s="404"/>
      <c r="F291" s="404"/>
      <c r="G291" s="404"/>
      <c r="H291" s="404"/>
      <c r="I291" s="404"/>
      <c r="J291" s="404"/>
      <c r="K291" s="404"/>
      <c r="L291" s="404"/>
      <c r="M291" s="404"/>
      <c r="N291" s="404"/>
      <c r="O291" s="404"/>
      <c r="P291" s="404"/>
      <c r="Q291" s="404"/>
      <c r="R291" s="404"/>
      <c r="S291" s="404"/>
      <c r="T291" s="404"/>
      <c r="U291" s="404"/>
      <c r="V291" s="404"/>
      <c r="W291" s="404"/>
      <c r="X291" s="404"/>
      <c r="Y291" s="406"/>
    </row>
    <row r="292" spans="2:25" x14ac:dyDescent="0.2">
      <c r="B292" s="273"/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71"/>
    </row>
    <row r="293" spans="2:25" x14ac:dyDescent="0.2">
      <c r="B293" s="273">
        <f>C121</f>
        <v>0</v>
      </c>
      <c r="C293" s="262" t="str">
        <f>C107</f>
        <v>Annualised Cost - capex (2019)</v>
      </c>
      <c r="D293" s="244">
        <f>IF('User Input'!$F$17=0,0,IF('User Input'!$F$313=0,0,ABS(PMT($D$19,'User Input'!$F$313,'User Input'!$F$17))))</f>
        <v>0</v>
      </c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71"/>
    </row>
    <row r="294" spans="2:25" x14ac:dyDescent="0.2">
      <c r="B294" s="274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71"/>
    </row>
    <row r="295" spans="2:25" x14ac:dyDescent="0.2">
      <c r="B295" s="274"/>
      <c r="C295" s="256" t="s">
        <v>184</v>
      </c>
      <c r="D295" s="255"/>
      <c r="E295" s="257">
        <f>$D$19*'User Input'!F17</f>
        <v>520.20000000000005</v>
      </c>
      <c r="F295" s="257">
        <f>$D$19*E298</f>
        <v>565.30133999999998</v>
      </c>
      <c r="G295" s="257">
        <f t="shared" ref="G295:X295" si="113">$D$19*F298</f>
        <v>614.31296617800001</v>
      </c>
      <c r="H295" s="257">
        <f t="shared" si="113"/>
        <v>667.57390034563264</v>
      </c>
      <c r="I295" s="257">
        <f t="shared" si="113"/>
        <v>725.45255750559886</v>
      </c>
      <c r="J295" s="257">
        <f t="shared" si="113"/>
        <v>788.34929424133441</v>
      </c>
      <c r="K295" s="257">
        <f t="shared" si="113"/>
        <v>856.69917805205807</v>
      </c>
      <c r="L295" s="257">
        <f t="shared" si="113"/>
        <v>930.97499678917154</v>
      </c>
      <c r="M295" s="257">
        <f t="shared" si="113"/>
        <v>1011.6905290107926</v>
      </c>
      <c r="N295" s="257">
        <f t="shared" si="113"/>
        <v>1099.4040978760283</v>
      </c>
      <c r="O295" s="257">
        <f t="shared" si="113"/>
        <v>1194.72243316188</v>
      </c>
      <c r="P295" s="257">
        <f t="shared" si="113"/>
        <v>1298.3048681170151</v>
      </c>
      <c r="Q295" s="257">
        <f t="shared" si="113"/>
        <v>1410.8679001827602</v>
      </c>
      <c r="R295" s="257">
        <f t="shared" si="113"/>
        <v>1533.1901471286055</v>
      </c>
      <c r="S295" s="257">
        <f t="shared" si="113"/>
        <v>1666.1177328846559</v>
      </c>
      <c r="T295" s="257">
        <f t="shared" si="113"/>
        <v>1810.5701403257556</v>
      </c>
      <c r="U295" s="257">
        <f t="shared" si="113"/>
        <v>1967.5465714919985</v>
      </c>
      <c r="V295" s="257">
        <f t="shared" si="113"/>
        <v>2138.1328592403547</v>
      </c>
      <c r="W295" s="257">
        <f t="shared" si="113"/>
        <v>2323.5089781364936</v>
      </c>
      <c r="X295" s="257">
        <f t="shared" si="113"/>
        <v>2524.9572065409279</v>
      </c>
      <c r="Y295" s="271"/>
    </row>
    <row r="296" spans="2:25" x14ac:dyDescent="0.2">
      <c r="B296" s="274"/>
      <c r="C296" s="262" t="s">
        <v>185</v>
      </c>
      <c r="D296" s="262"/>
      <c r="E296" s="264">
        <f>D293-E295</f>
        <v>-520.20000000000005</v>
      </c>
      <c r="F296" s="264">
        <f>$D$293-F295</f>
        <v>-565.30133999999998</v>
      </c>
      <c r="G296" s="264">
        <f t="shared" ref="G296:X296" si="114">$D$293-G295</f>
        <v>-614.31296617800001</v>
      </c>
      <c r="H296" s="264">
        <f t="shared" si="114"/>
        <v>-667.57390034563264</v>
      </c>
      <c r="I296" s="264">
        <f t="shared" si="114"/>
        <v>-725.45255750559886</v>
      </c>
      <c r="J296" s="264">
        <f t="shared" si="114"/>
        <v>-788.34929424133441</v>
      </c>
      <c r="K296" s="264">
        <f t="shared" si="114"/>
        <v>-856.69917805205807</v>
      </c>
      <c r="L296" s="264">
        <f t="shared" si="114"/>
        <v>-930.97499678917154</v>
      </c>
      <c r="M296" s="264">
        <f t="shared" si="114"/>
        <v>-1011.6905290107926</v>
      </c>
      <c r="N296" s="264">
        <f t="shared" si="114"/>
        <v>-1099.4040978760283</v>
      </c>
      <c r="O296" s="264">
        <f t="shared" si="114"/>
        <v>-1194.72243316188</v>
      </c>
      <c r="P296" s="264">
        <f t="shared" si="114"/>
        <v>-1298.3048681170151</v>
      </c>
      <c r="Q296" s="264">
        <f t="shared" si="114"/>
        <v>-1410.8679001827602</v>
      </c>
      <c r="R296" s="264">
        <f t="shared" si="114"/>
        <v>-1533.1901471286055</v>
      </c>
      <c r="S296" s="264">
        <f t="shared" si="114"/>
        <v>-1666.1177328846559</v>
      </c>
      <c r="T296" s="264">
        <f t="shared" si="114"/>
        <v>-1810.5701403257556</v>
      </c>
      <c r="U296" s="264">
        <f t="shared" si="114"/>
        <v>-1967.5465714919985</v>
      </c>
      <c r="V296" s="264">
        <f t="shared" si="114"/>
        <v>-2138.1328592403547</v>
      </c>
      <c r="W296" s="264">
        <f t="shared" si="114"/>
        <v>-2323.5089781364936</v>
      </c>
      <c r="X296" s="264">
        <f t="shared" si="114"/>
        <v>-2524.9572065409279</v>
      </c>
      <c r="Y296" s="271"/>
    </row>
    <row r="297" spans="2:25" x14ac:dyDescent="0.2">
      <c r="B297" s="274"/>
      <c r="C297" s="174" t="s">
        <v>186</v>
      </c>
      <c r="D297" s="174"/>
      <c r="E297" s="265">
        <f t="shared" ref="E297:X297" si="115">SUM(E295:E296)</f>
        <v>0</v>
      </c>
      <c r="F297" s="265">
        <f t="shared" si="115"/>
        <v>0</v>
      </c>
      <c r="G297" s="265">
        <f t="shared" si="115"/>
        <v>0</v>
      </c>
      <c r="H297" s="265">
        <f t="shared" si="115"/>
        <v>0</v>
      </c>
      <c r="I297" s="265">
        <f t="shared" si="115"/>
        <v>0</v>
      </c>
      <c r="J297" s="265">
        <f t="shared" si="115"/>
        <v>0</v>
      </c>
      <c r="K297" s="265">
        <f t="shared" si="115"/>
        <v>0</v>
      </c>
      <c r="L297" s="265">
        <f t="shared" si="115"/>
        <v>0</v>
      </c>
      <c r="M297" s="265">
        <f t="shared" si="115"/>
        <v>0</v>
      </c>
      <c r="N297" s="265">
        <f t="shared" si="115"/>
        <v>0</v>
      </c>
      <c r="O297" s="265">
        <f t="shared" si="115"/>
        <v>0</v>
      </c>
      <c r="P297" s="265">
        <f t="shared" si="115"/>
        <v>0</v>
      </c>
      <c r="Q297" s="265">
        <f t="shared" si="115"/>
        <v>0</v>
      </c>
      <c r="R297" s="265">
        <f t="shared" si="115"/>
        <v>0</v>
      </c>
      <c r="S297" s="265">
        <f t="shared" si="115"/>
        <v>0</v>
      </c>
      <c r="T297" s="265">
        <f t="shared" si="115"/>
        <v>0</v>
      </c>
      <c r="U297" s="265">
        <f t="shared" si="115"/>
        <v>0</v>
      </c>
      <c r="V297" s="265">
        <f t="shared" si="115"/>
        <v>0</v>
      </c>
      <c r="W297" s="265">
        <f t="shared" si="115"/>
        <v>0</v>
      </c>
      <c r="X297" s="265">
        <f t="shared" si="115"/>
        <v>0</v>
      </c>
      <c r="Y297" s="271"/>
    </row>
    <row r="298" spans="2:25" x14ac:dyDescent="0.2">
      <c r="B298" s="274"/>
      <c r="C298" s="256" t="s">
        <v>183</v>
      </c>
      <c r="D298" s="255"/>
      <c r="E298" s="257">
        <f>'User Input'!F17-E296</f>
        <v>6520.2</v>
      </c>
      <c r="F298" s="257">
        <f>E298-F296</f>
        <v>7085.5013399999998</v>
      </c>
      <c r="G298" s="257">
        <f t="shared" ref="G298:X298" si="116">F298-G296</f>
        <v>7699.8143061780002</v>
      </c>
      <c r="H298" s="257">
        <f t="shared" si="116"/>
        <v>8367.3882065236321</v>
      </c>
      <c r="I298" s="257">
        <f t="shared" si="116"/>
        <v>9092.8407640292317</v>
      </c>
      <c r="J298" s="257">
        <f t="shared" si="116"/>
        <v>9881.1900582705657</v>
      </c>
      <c r="K298" s="257">
        <f t="shared" si="116"/>
        <v>10737.889236322624</v>
      </c>
      <c r="L298" s="257">
        <f t="shared" si="116"/>
        <v>11668.864233111795</v>
      </c>
      <c r="M298" s="257">
        <f t="shared" si="116"/>
        <v>12680.554762122589</v>
      </c>
      <c r="N298" s="257">
        <f t="shared" si="116"/>
        <v>13779.958859998616</v>
      </c>
      <c r="O298" s="257">
        <f t="shared" si="116"/>
        <v>14974.681293160496</v>
      </c>
      <c r="P298" s="257">
        <f t="shared" si="116"/>
        <v>16272.986161277511</v>
      </c>
      <c r="Q298" s="257">
        <f t="shared" si="116"/>
        <v>17683.854061460272</v>
      </c>
      <c r="R298" s="257">
        <f t="shared" si="116"/>
        <v>19217.044208588879</v>
      </c>
      <c r="S298" s="257">
        <f t="shared" si="116"/>
        <v>20883.161941473536</v>
      </c>
      <c r="T298" s="257">
        <f t="shared" si="116"/>
        <v>22693.732081799291</v>
      </c>
      <c r="U298" s="257">
        <f t="shared" si="116"/>
        <v>24661.278653291291</v>
      </c>
      <c r="V298" s="257">
        <f t="shared" si="116"/>
        <v>26799.411512531646</v>
      </c>
      <c r="W298" s="257">
        <f t="shared" si="116"/>
        <v>29122.920490668141</v>
      </c>
      <c r="X298" s="257">
        <f t="shared" si="116"/>
        <v>31647.877697209067</v>
      </c>
      <c r="Y298" s="271"/>
    </row>
    <row r="299" spans="2:25" x14ac:dyDescent="0.2">
      <c r="B299" s="274"/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71"/>
    </row>
    <row r="300" spans="2:25" x14ac:dyDescent="0.2">
      <c r="B300" s="273" t="str">
        <f>C108</f>
        <v>Annualised Cost - capex (2020)</v>
      </c>
      <c r="C300" s="262"/>
      <c r="D300" s="244">
        <f>IF('User Input'!$G$17=0,0,IF('User Input'!$G$313=0,0,ABS(PMT($D$19,'User Input'!$G$313,'User Input'!$G$17))))</f>
        <v>0</v>
      </c>
      <c r="E300" s="262"/>
      <c r="F300" s="262"/>
      <c r="G300" s="262"/>
      <c r="H300" s="262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71"/>
    </row>
    <row r="301" spans="2:25" x14ac:dyDescent="0.2">
      <c r="B301" s="273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71"/>
    </row>
    <row r="302" spans="2:25" x14ac:dyDescent="0.2">
      <c r="B302" s="273"/>
      <c r="C302" s="256" t="s">
        <v>184</v>
      </c>
      <c r="D302" s="262"/>
      <c r="E302" s="266"/>
      <c r="F302" s="257">
        <f>$D$19*'User Input'!G17</f>
        <v>407.57670000000002</v>
      </c>
      <c r="G302" s="257">
        <f>$D$19*F305</f>
        <v>442.91359988999994</v>
      </c>
      <c r="H302" s="257">
        <f t="shared" ref="H302:X302" si="117">$D$19*G305</f>
        <v>481.31420900046299</v>
      </c>
      <c r="I302" s="257">
        <f t="shared" si="117"/>
        <v>523.04415092080308</v>
      </c>
      <c r="J302" s="257">
        <f t="shared" si="117"/>
        <v>568.39207880563674</v>
      </c>
      <c r="K302" s="257">
        <f t="shared" si="117"/>
        <v>617.67167203808549</v>
      </c>
      <c r="L302" s="257">
        <f t="shared" si="117"/>
        <v>671.22380600378744</v>
      </c>
      <c r="M302" s="257">
        <f t="shared" si="117"/>
        <v>729.41890998431575</v>
      </c>
      <c r="N302" s="257">
        <f t="shared" si="117"/>
        <v>792.65952947995595</v>
      </c>
      <c r="O302" s="257">
        <f t="shared" si="117"/>
        <v>861.38311068586802</v>
      </c>
      <c r="P302" s="257">
        <f t="shared" si="117"/>
        <v>936.06502638233292</v>
      </c>
      <c r="Q302" s="257">
        <f t="shared" si="117"/>
        <v>1017.2218641696812</v>
      </c>
      <c r="R302" s="257">
        <f t="shared" si="117"/>
        <v>1105.4149997931927</v>
      </c>
      <c r="S302" s="257">
        <f t="shared" si="117"/>
        <v>1201.2544802752625</v>
      </c>
      <c r="T302" s="257">
        <f t="shared" si="117"/>
        <v>1305.4032437151277</v>
      </c>
      <c r="U302" s="257">
        <f t="shared" si="117"/>
        <v>1418.5817049452291</v>
      </c>
      <c r="V302" s="257">
        <f t="shared" si="117"/>
        <v>1541.5727387639806</v>
      </c>
      <c r="W302" s="257">
        <f t="shared" si="117"/>
        <v>1675.2270952148178</v>
      </c>
      <c r="X302" s="257">
        <f t="shared" si="117"/>
        <v>1820.4692843699424</v>
      </c>
      <c r="Y302" s="275"/>
    </row>
    <row r="303" spans="2:25" x14ac:dyDescent="0.2">
      <c r="B303" s="273"/>
      <c r="C303" s="262" t="s">
        <v>185</v>
      </c>
      <c r="D303" s="262"/>
      <c r="E303" s="266"/>
      <c r="F303" s="264">
        <f>D300-F302</f>
        <v>-407.57670000000002</v>
      </c>
      <c r="G303" s="264">
        <f>$D$300-G302</f>
        <v>-442.91359988999994</v>
      </c>
      <c r="H303" s="264">
        <f t="shared" ref="H303:X303" si="118">$D$300-H302</f>
        <v>-481.31420900046299</v>
      </c>
      <c r="I303" s="264">
        <f t="shared" si="118"/>
        <v>-523.04415092080308</v>
      </c>
      <c r="J303" s="264">
        <f t="shared" si="118"/>
        <v>-568.39207880563674</v>
      </c>
      <c r="K303" s="264">
        <f t="shared" si="118"/>
        <v>-617.67167203808549</v>
      </c>
      <c r="L303" s="264">
        <f t="shared" si="118"/>
        <v>-671.22380600378744</v>
      </c>
      <c r="M303" s="264">
        <f t="shared" si="118"/>
        <v>-729.41890998431575</v>
      </c>
      <c r="N303" s="264">
        <f t="shared" si="118"/>
        <v>-792.65952947995595</v>
      </c>
      <c r="O303" s="264">
        <f t="shared" si="118"/>
        <v>-861.38311068586802</v>
      </c>
      <c r="P303" s="264">
        <f t="shared" si="118"/>
        <v>-936.06502638233292</v>
      </c>
      <c r="Q303" s="264">
        <f t="shared" si="118"/>
        <v>-1017.2218641696812</v>
      </c>
      <c r="R303" s="264">
        <f t="shared" si="118"/>
        <v>-1105.4149997931927</v>
      </c>
      <c r="S303" s="264">
        <f t="shared" si="118"/>
        <v>-1201.2544802752625</v>
      </c>
      <c r="T303" s="264">
        <f t="shared" si="118"/>
        <v>-1305.4032437151277</v>
      </c>
      <c r="U303" s="264">
        <f t="shared" si="118"/>
        <v>-1418.5817049452291</v>
      </c>
      <c r="V303" s="264">
        <f t="shared" si="118"/>
        <v>-1541.5727387639806</v>
      </c>
      <c r="W303" s="264">
        <f t="shared" si="118"/>
        <v>-1675.2270952148178</v>
      </c>
      <c r="X303" s="264">
        <f t="shared" si="118"/>
        <v>-1820.4692843699424</v>
      </c>
      <c r="Y303" s="276"/>
    </row>
    <row r="304" spans="2:25" x14ac:dyDescent="0.2">
      <c r="B304" s="273"/>
      <c r="C304" s="174" t="s">
        <v>186</v>
      </c>
      <c r="D304" s="262"/>
      <c r="E304" s="266"/>
      <c r="F304" s="265">
        <f t="shared" ref="F304:X304" si="119">SUM(F302:F303)</f>
        <v>0</v>
      </c>
      <c r="G304" s="265">
        <f t="shared" si="119"/>
        <v>0</v>
      </c>
      <c r="H304" s="265">
        <f t="shared" si="119"/>
        <v>0</v>
      </c>
      <c r="I304" s="265">
        <f t="shared" si="119"/>
        <v>0</v>
      </c>
      <c r="J304" s="265">
        <f t="shared" si="119"/>
        <v>0</v>
      </c>
      <c r="K304" s="265">
        <f t="shared" si="119"/>
        <v>0</v>
      </c>
      <c r="L304" s="265">
        <f t="shared" si="119"/>
        <v>0</v>
      </c>
      <c r="M304" s="265">
        <f t="shared" si="119"/>
        <v>0</v>
      </c>
      <c r="N304" s="265">
        <f t="shared" si="119"/>
        <v>0</v>
      </c>
      <c r="O304" s="265">
        <f t="shared" si="119"/>
        <v>0</v>
      </c>
      <c r="P304" s="265">
        <f t="shared" si="119"/>
        <v>0</v>
      </c>
      <c r="Q304" s="265">
        <f t="shared" si="119"/>
        <v>0</v>
      </c>
      <c r="R304" s="265">
        <f t="shared" si="119"/>
        <v>0</v>
      </c>
      <c r="S304" s="265">
        <f t="shared" si="119"/>
        <v>0</v>
      </c>
      <c r="T304" s="265">
        <f t="shared" si="119"/>
        <v>0</v>
      </c>
      <c r="U304" s="265">
        <f t="shared" si="119"/>
        <v>0</v>
      </c>
      <c r="V304" s="265">
        <f t="shared" si="119"/>
        <v>0</v>
      </c>
      <c r="W304" s="265">
        <f t="shared" si="119"/>
        <v>0</v>
      </c>
      <c r="X304" s="265">
        <f t="shared" si="119"/>
        <v>0</v>
      </c>
      <c r="Y304" s="277"/>
    </row>
    <row r="305" spans="2:25" x14ac:dyDescent="0.2">
      <c r="B305" s="273"/>
      <c r="C305" s="256" t="s">
        <v>183</v>
      </c>
      <c r="D305" s="262"/>
      <c r="E305" s="258"/>
      <c r="F305" s="257">
        <f>'User Input'!G17-F303</f>
        <v>5108.5766999999996</v>
      </c>
      <c r="G305" s="257">
        <f>F305-G303</f>
        <v>5551.4902998899997</v>
      </c>
      <c r="H305" s="257">
        <f t="shared" ref="H305:X305" si="120">G305-H303</f>
        <v>6032.8045088904628</v>
      </c>
      <c r="I305" s="257">
        <f t="shared" si="120"/>
        <v>6555.8486598112659</v>
      </c>
      <c r="J305" s="257">
        <f t="shared" si="120"/>
        <v>7124.2407386169025</v>
      </c>
      <c r="K305" s="257">
        <f t="shared" si="120"/>
        <v>7741.912410654988</v>
      </c>
      <c r="L305" s="257">
        <f t="shared" si="120"/>
        <v>8413.1362166587751</v>
      </c>
      <c r="M305" s="257">
        <f t="shared" si="120"/>
        <v>9142.5551266430903</v>
      </c>
      <c r="N305" s="257">
        <f t="shared" si="120"/>
        <v>9935.2146561230456</v>
      </c>
      <c r="O305" s="257">
        <f t="shared" si="120"/>
        <v>10796.597766808914</v>
      </c>
      <c r="P305" s="257">
        <f t="shared" si="120"/>
        <v>11732.662793191248</v>
      </c>
      <c r="Q305" s="257">
        <f t="shared" si="120"/>
        <v>12749.88465736093</v>
      </c>
      <c r="R305" s="257">
        <f t="shared" si="120"/>
        <v>13855.299657154123</v>
      </c>
      <c r="S305" s="257">
        <f t="shared" si="120"/>
        <v>15056.554137429384</v>
      </c>
      <c r="T305" s="257">
        <f t="shared" si="120"/>
        <v>16361.957381144512</v>
      </c>
      <c r="U305" s="257">
        <f t="shared" si="120"/>
        <v>17780.539086089742</v>
      </c>
      <c r="V305" s="257">
        <f t="shared" si="120"/>
        <v>19322.111824853724</v>
      </c>
      <c r="W305" s="257">
        <f t="shared" si="120"/>
        <v>20997.338920068541</v>
      </c>
      <c r="X305" s="257">
        <f t="shared" si="120"/>
        <v>22817.808204438483</v>
      </c>
      <c r="Y305" s="275"/>
    </row>
    <row r="306" spans="2:25" x14ac:dyDescent="0.2">
      <c r="B306" s="273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71"/>
    </row>
    <row r="307" spans="2:25" x14ac:dyDescent="0.2">
      <c r="B307" s="273" t="str">
        <f>C109</f>
        <v>Annualised Cost - capex (2021)</v>
      </c>
      <c r="C307" s="262"/>
      <c r="D307" s="244">
        <f>IF('User Input'!$H$17=0,0,IF('User Input'!$H$313=0,0,ABS(PMT($D$19,'User Input'!$H$313,'User Input'!$H$17))))</f>
        <v>0</v>
      </c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71"/>
    </row>
    <row r="308" spans="2:25" x14ac:dyDescent="0.2">
      <c r="B308" s="273"/>
      <c r="C308" s="262"/>
      <c r="D308" s="262"/>
      <c r="E308" s="262"/>
      <c r="F308" s="262"/>
      <c r="G308" s="262"/>
      <c r="H308" s="262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71"/>
    </row>
    <row r="309" spans="2:25" x14ac:dyDescent="0.2">
      <c r="B309" s="273"/>
      <c r="C309" s="256" t="s">
        <v>184</v>
      </c>
      <c r="D309" s="262"/>
      <c r="E309" s="266"/>
      <c r="F309" s="266"/>
      <c r="G309" s="257">
        <f>$D$19*'User Input'!H17</f>
        <v>0</v>
      </c>
      <c r="H309" s="257">
        <f>$D$19*G312</f>
        <v>0</v>
      </c>
      <c r="I309" s="257">
        <f t="shared" ref="I309:X309" si="121">$D$19*H312</f>
        <v>0</v>
      </c>
      <c r="J309" s="257">
        <f t="shared" si="121"/>
        <v>0</v>
      </c>
      <c r="K309" s="257">
        <f t="shared" si="121"/>
        <v>0</v>
      </c>
      <c r="L309" s="257">
        <f t="shared" si="121"/>
        <v>0</v>
      </c>
      <c r="M309" s="257">
        <f t="shared" si="121"/>
        <v>0</v>
      </c>
      <c r="N309" s="257">
        <f t="shared" si="121"/>
        <v>0</v>
      </c>
      <c r="O309" s="257">
        <f t="shared" si="121"/>
        <v>0</v>
      </c>
      <c r="P309" s="257">
        <f t="shared" si="121"/>
        <v>0</v>
      </c>
      <c r="Q309" s="257">
        <f t="shared" si="121"/>
        <v>0</v>
      </c>
      <c r="R309" s="257">
        <f t="shared" si="121"/>
        <v>0</v>
      </c>
      <c r="S309" s="257">
        <f t="shared" si="121"/>
        <v>0</v>
      </c>
      <c r="T309" s="257">
        <f t="shared" si="121"/>
        <v>0</v>
      </c>
      <c r="U309" s="257">
        <f t="shared" si="121"/>
        <v>0</v>
      </c>
      <c r="V309" s="257">
        <f t="shared" si="121"/>
        <v>0</v>
      </c>
      <c r="W309" s="257">
        <f t="shared" si="121"/>
        <v>0</v>
      </c>
      <c r="X309" s="257">
        <f t="shared" si="121"/>
        <v>0</v>
      </c>
      <c r="Y309" s="275"/>
    </row>
    <row r="310" spans="2:25" x14ac:dyDescent="0.2">
      <c r="B310" s="273"/>
      <c r="C310" s="262" t="s">
        <v>185</v>
      </c>
      <c r="D310" s="262"/>
      <c r="E310" s="266"/>
      <c r="F310" s="266"/>
      <c r="G310" s="264">
        <f>D307-G309</f>
        <v>0</v>
      </c>
      <c r="H310" s="264">
        <f>$D$307-H309</f>
        <v>0</v>
      </c>
      <c r="I310" s="264">
        <f t="shared" ref="I310:X310" si="122">$D$307-I309</f>
        <v>0</v>
      </c>
      <c r="J310" s="264">
        <f t="shared" si="122"/>
        <v>0</v>
      </c>
      <c r="K310" s="264">
        <f t="shared" si="122"/>
        <v>0</v>
      </c>
      <c r="L310" s="264">
        <f t="shared" si="122"/>
        <v>0</v>
      </c>
      <c r="M310" s="264">
        <f t="shared" si="122"/>
        <v>0</v>
      </c>
      <c r="N310" s="264">
        <f t="shared" si="122"/>
        <v>0</v>
      </c>
      <c r="O310" s="264">
        <f t="shared" si="122"/>
        <v>0</v>
      </c>
      <c r="P310" s="264">
        <f t="shared" si="122"/>
        <v>0</v>
      </c>
      <c r="Q310" s="264">
        <f t="shared" si="122"/>
        <v>0</v>
      </c>
      <c r="R310" s="264">
        <f t="shared" si="122"/>
        <v>0</v>
      </c>
      <c r="S310" s="264">
        <f t="shared" si="122"/>
        <v>0</v>
      </c>
      <c r="T310" s="264">
        <f t="shared" si="122"/>
        <v>0</v>
      </c>
      <c r="U310" s="264">
        <f t="shared" si="122"/>
        <v>0</v>
      </c>
      <c r="V310" s="264">
        <f t="shared" si="122"/>
        <v>0</v>
      </c>
      <c r="W310" s="264">
        <f t="shared" si="122"/>
        <v>0</v>
      </c>
      <c r="X310" s="264">
        <f t="shared" si="122"/>
        <v>0</v>
      </c>
      <c r="Y310" s="276"/>
    </row>
    <row r="311" spans="2:25" x14ac:dyDescent="0.2">
      <c r="B311" s="273"/>
      <c r="C311" s="174" t="s">
        <v>186</v>
      </c>
      <c r="D311" s="262"/>
      <c r="E311" s="266"/>
      <c r="F311" s="266"/>
      <c r="G311" s="265">
        <f t="shared" ref="G311:X311" si="123">SUM(G309:G310)</f>
        <v>0</v>
      </c>
      <c r="H311" s="265">
        <f t="shared" si="123"/>
        <v>0</v>
      </c>
      <c r="I311" s="265">
        <f t="shared" si="123"/>
        <v>0</v>
      </c>
      <c r="J311" s="265">
        <f t="shared" si="123"/>
        <v>0</v>
      </c>
      <c r="K311" s="265">
        <f t="shared" si="123"/>
        <v>0</v>
      </c>
      <c r="L311" s="265">
        <f t="shared" si="123"/>
        <v>0</v>
      </c>
      <c r="M311" s="265">
        <f t="shared" si="123"/>
        <v>0</v>
      </c>
      <c r="N311" s="265">
        <f t="shared" si="123"/>
        <v>0</v>
      </c>
      <c r="O311" s="265">
        <f t="shared" si="123"/>
        <v>0</v>
      </c>
      <c r="P311" s="265">
        <f t="shared" si="123"/>
        <v>0</v>
      </c>
      <c r="Q311" s="265">
        <f t="shared" si="123"/>
        <v>0</v>
      </c>
      <c r="R311" s="265">
        <f t="shared" si="123"/>
        <v>0</v>
      </c>
      <c r="S311" s="265">
        <f t="shared" si="123"/>
        <v>0</v>
      </c>
      <c r="T311" s="265">
        <f t="shared" si="123"/>
        <v>0</v>
      </c>
      <c r="U311" s="265">
        <f t="shared" si="123"/>
        <v>0</v>
      </c>
      <c r="V311" s="265">
        <f t="shared" si="123"/>
        <v>0</v>
      </c>
      <c r="W311" s="265">
        <f t="shared" si="123"/>
        <v>0</v>
      </c>
      <c r="X311" s="265">
        <f t="shared" si="123"/>
        <v>0</v>
      </c>
      <c r="Y311" s="277"/>
    </row>
    <row r="312" spans="2:25" x14ac:dyDescent="0.2">
      <c r="B312" s="273"/>
      <c r="C312" s="256" t="s">
        <v>183</v>
      </c>
      <c r="D312" s="262"/>
      <c r="E312" s="258"/>
      <c r="F312" s="258"/>
      <c r="G312" s="257">
        <f>'User Input'!H17-G310</f>
        <v>0</v>
      </c>
      <c r="H312" s="257">
        <f>G312-H310</f>
        <v>0</v>
      </c>
      <c r="I312" s="257">
        <f t="shared" ref="I312:X312" si="124">H312-I310</f>
        <v>0</v>
      </c>
      <c r="J312" s="257">
        <f t="shared" si="124"/>
        <v>0</v>
      </c>
      <c r="K312" s="257">
        <f t="shared" si="124"/>
        <v>0</v>
      </c>
      <c r="L312" s="257">
        <f t="shared" si="124"/>
        <v>0</v>
      </c>
      <c r="M312" s="257">
        <f t="shared" si="124"/>
        <v>0</v>
      </c>
      <c r="N312" s="257">
        <f t="shared" si="124"/>
        <v>0</v>
      </c>
      <c r="O312" s="257">
        <f t="shared" si="124"/>
        <v>0</v>
      </c>
      <c r="P312" s="257">
        <f t="shared" si="124"/>
        <v>0</v>
      </c>
      <c r="Q312" s="257">
        <f t="shared" si="124"/>
        <v>0</v>
      </c>
      <c r="R312" s="257">
        <f t="shared" si="124"/>
        <v>0</v>
      </c>
      <c r="S312" s="257">
        <f t="shared" si="124"/>
        <v>0</v>
      </c>
      <c r="T312" s="257">
        <f t="shared" si="124"/>
        <v>0</v>
      </c>
      <c r="U312" s="257">
        <f t="shared" si="124"/>
        <v>0</v>
      </c>
      <c r="V312" s="257">
        <f t="shared" si="124"/>
        <v>0</v>
      </c>
      <c r="W312" s="257">
        <f t="shared" si="124"/>
        <v>0</v>
      </c>
      <c r="X312" s="257">
        <f t="shared" si="124"/>
        <v>0</v>
      </c>
      <c r="Y312" s="275"/>
    </row>
    <row r="313" spans="2:25" x14ac:dyDescent="0.2">
      <c r="B313" s="273"/>
      <c r="C313" s="262"/>
      <c r="D313" s="262"/>
      <c r="E313" s="262"/>
      <c r="F313" s="262"/>
      <c r="G313" s="262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71"/>
    </row>
    <row r="314" spans="2:25" x14ac:dyDescent="0.2">
      <c r="B314" s="273" t="str">
        <f>C110</f>
        <v>Annualised Cost - capex (2022)</v>
      </c>
      <c r="C314" s="262"/>
      <c r="D314" s="244">
        <f>IF('User Input'!$I$17=0,0,IF('User Input'!$I$313=0,0,ABS(PMT($D$19,'User Input'!$I$313,'User Input'!$I$17))))</f>
        <v>0</v>
      </c>
      <c r="E314" s="262"/>
      <c r="F314" s="262"/>
      <c r="G314" s="262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71"/>
    </row>
    <row r="315" spans="2:25" x14ac:dyDescent="0.2">
      <c r="B315" s="273"/>
      <c r="C315" s="262"/>
      <c r="D315" s="262"/>
      <c r="E315" s="262"/>
      <c r="F315" s="262"/>
      <c r="G315" s="262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71"/>
    </row>
    <row r="316" spans="2:25" x14ac:dyDescent="0.2">
      <c r="B316" s="273"/>
      <c r="C316" s="256" t="s">
        <v>184</v>
      </c>
      <c r="D316" s="262"/>
      <c r="E316" s="266"/>
      <c r="F316" s="266"/>
      <c r="G316" s="266"/>
      <c r="H316" s="257">
        <f>D19*'User Input'!I17</f>
        <v>0</v>
      </c>
      <c r="I316" s="257">
        <f>$D$19*H319</f>
        <v>0</v>
      </c>
      <c r="J316" s="257">
        <f t="shared" ref="J316:X316" si="125">$D$19*I319</f>
        <v>0</v>
      </c>
      <c r="K316" s="257">
        <f t="shared" si="125"/>
        <v>0</v>
      </c>
      <c r="L316" s="257">
        <f t="shared" si="125"/>
        <v>0</v>
      </c>
      <c r="M316" s="257">
        <f t="shared" si="125"/>
        <v>0</v>
      </c>
      <c r="N316" s="257">
        <f t="shared" si="125"/>
        <v>0</v>
      </c>
      <c r="O316" s="257">
        <f t="shared" si="125"/>
        <v>0</v>
      </c>
      <c r="P316" s="257">
        <f t="shared" si="125"/>
        <v>0</v>
      </c>
      <c r="Q316" s="257">
        <f t="shared" si="125"/>
        <v>0</v>
      </c>
      <c r="R316" s="257">
        <f t="shared" si="125"/>
        <v>0</v>
      </c>
      <c r="S316" s="257">
        <f t="shared" si="125"/>
        <v>0</v>
      </c>
      <c r="T316" s="257">
        <f t="shared" si="125"/>
        <v>0</v>
      </c>
      <c r="U316" s="257">
        <f t="shared" si="125"/>
        <v>0</v>
      </c>
      <c r="V316" s="257">
        <f t="shared" si="125"/>
        <v>0</v>
      </c>
      <c r="W316" s="257">
        <f t="shared" si="125"/>
        <v>0</v>
      </c>
      <c r="X316" s="257">
        <f t="shared" si="125"/>
        <v>0</v>
      </c>
      <c r="Y316" s="275"/>
    </row>
    <row r="317" spans="2:25" x14ac:dyDescent="0.2">
      <c r="B317" s="273"/>
      <c r="C317" s="262" t="s">
        <v>185</v>
      </c>
      <c r="D317" s="262"/>
      <c r="E317" s="266"/>
      <c r="F317" s="266"/>
      <c r="G317" s="266"/>
      <c r="H317" s="264">
        <f>$D$314-H316</f>
        <v>0</v>
      </c>
      <c r="I317" s="264">
        <f>$D$314-I316</f>
        <v>0</v>
      </c>
      <c r="J317" s="264">
        <f t="shared" ref="J317:X317" si="126">$D$314-J316</f>
        <v>0</v>
      </c>
      <c r="K317" s="264">
        <f t="shared" si="126"/>
        <v>0</v>
      </c>
      <c r="L317" s="264">
        <f t="shared" si="126"/>
        <v>0</v>
      </c>
      <c r="M317" s="264">
        <f t="shared" si="126"/>
        <v>0</v>
      </c>
      <c r="N317" s="264">
        <f t="shared" si="126"/>
        <v>0</v>
      </c>
      <c r="O317" s="264">
        <f t="shared" si="126"/>
        <v>0</v>
      </c>
      <c r="P317" s="264">
        <f t="shared" si="126"/>
        <v>0</v>
      </c>
      <c r="Q317" s="264">
        <f t="shared" si="126"/>
        <v>0</v>
      </c>
      <c r="R317" s="264">
        <f t="shared" si="126"/>
        <v>0</v>
      </c>
      <c r="S317" s="264">
        <f t="shared" si="126"/>
        <v>0</v>
      </c>
      <c r="T317" s="264">
        <f t="shared" si="126"/>
        <v>0</v>
      </c>
      <c r="U317" s="264">
        <f t="shared" si="126"/>
        <v>0</v>
      </c>
      <c r="V317" s="264">
        <f t="shared" si="126"/>
        <v>0</v>
      </c>
      <c r="W317" s="264">
        <f t="shared" si="126"/>
        <v>0</v>
      </c>
      <c r="X317" s="264">
        <f t="shared" si="126"/>
        <v>0</v>
      </c>
      <c r="Y317" s="276"/>
    </row>
    <row r="318" spans="2:25" x14ac:dyDescent="0.2">
      <c r="B318" s="273"/>
      <c r="C318" s="174" t="s">
        <v>186</v>
      </c>
      <c r="D318" s="262"/>
      <c r="E318" s="266"/>
      <c r="F318" s="266"/>
      <c r="G318" s="266"/>
      <c r="H318" s="265">
        <f t="shared" ref="H318:X318" si="127">SUM(H316:H317)</f>
        <v>0</v>
      </c>
      <c r="I318" s="265">
        <f t="shared" si="127"/>
        <v>0</v>
      </c>
      <c r="J318" s="265">
        <f t="shared" si="127"/>
        <v>0</v>
      </c>
      <c r="K318" s="265">
        <f t="shared" si="127"/>
        <v>0</v>
      </c>
      <c r="L318" s="265">
        <f t="shared" si="127"/>
        <v>0</v>
      </c>
      <c r="M318" s="265">
        <f t="shared" si="127"/>
        <v>0</v>
      </c>
      <c r="N318" s="265">
        <f t="shared" si="127"/>
        <v>0</v>
      </c>
      <c r="O318" s="265">
        <f t="shared" si="127"/>
        <v>0</v>
      </c>
      <c r="P318" s="265">
        <f t="shared" si="127"/>
        <v>0</v>
      </c>
      <c r="Q318" s="265">
        <f t="shared" si="127"/>
        <v>0</v>
      </c>
      <c r="R318" s="265">
        <f t="shared" si="127"/>
        <v>0</v>
      </c>
      <c r="S318" s="265">
        <f t="shared" si="127"/>
        <v>0</v>
      </c>
      <c r="T318" s="265">
        <f t="shared" si="127"/>
        <v>0</v>
      </c>
      <c r="U318" s="265">
        <f t="shared" si="127"/>
        <v>0</v>
      </c>
      <c r="V318" s="265">
        <f t="shared" si="127"/>
        <v>0</v>
      </c>
      <c r="W318" s="265">
        <f t="shared" si="127"/>
        <v>0</v>
      </c>
      <c r="X318" s="265">
        <f t="shared" si="127"/>
        <v>0</v>
      </c>
      <c r="Y318" s="277"/>
    </row>
    <row r="319" spans="2:25" x14ac:dyDescent="0.2">
      <c r="B319" s="273"/>
      <c r="C319" s="256" t="s">
        <v>183</v>
      </c>
      <c r="D319" s="262"/>
      <c r="E319" s="258"/>
      <c r="F319" s="258"/>
      <c r="G319" s="258"/>
      <c r="H319" s="257">
        <f>'User Input'!I17-H317</f>
        <v>0</v>
      </c>
      <c r="I319" s="257">
        <f>H319-I317</f>
        <v>0</v>
      </c>
      <c r="J319" s="257">
        <f t="shared" ref="J319:X319" si="128">I319-J317</f>
        <v>0</v>
      </c>
      <c r="K319" s="257">
        <f t="shared" si="128"/>
        <v>0</v>
      </c>
      <c r="L319" s="257">
        <f t="shared" si="128"/>
        <v>0</v>
      </c>
      <c r="M319" s="257">
        <f t="shared" si="128"/>
        <v>0</v>
      </c>
      <c r="N319" s="257">
        <f t="shared" si="128"/>
        <v>0</v>
      </c>
      <c r="O319" s="257">
        <f t="shared" si="128"/>
        <v>0</v>
      </c>
      <c r="P319" s="257">
        <f t="shared" si="128"/>
        <v>0</v>
      </c>
      <c r="Q319" s="257">
        <f t="shared" si="128"/>
        <v>0</v>
      </c>
      <c r="R319" s="257">
        <f t="shared" si="128"/>
        <v>0</v>
      </c>
      <c r="S319" s="257">
        <f t="shared" si="128"/>
        <v>0</v>
      </c>
      <c r="T319" s="257">
        <f t="shared" si="128"/>
        <v>0</v>
      </c>
      <c r="U319" s="257">
        <f t="shared" si="128"/>
        <v>0</v>
      </c>
      <c r="V319" s="257">
        <f t="shared" si="128"/>
        <v>0</v>
      </c>
      <c r="W319" s="257">
        <f t="shared" si="128"/>
        <v>0</v>
      </c>
      <c r="X319" s="257">
        <f t="shared" si="128"/>
        <v>0</v>
      </c>
      <c r="Y319" s="275"/>
    </row>
    <row r="320" spans="2:25" x14ac:dyDescent="0.2">
      <c r="B320" s="270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71"/>
    </row>
    <row r="321" spans="2:25" x14ac:dyDescent="0.2">
      <c r="B321" s="273" t="str">
        <f>C111</f>
        <v>Annualised Cost - capex (2023)</v>
      </c>
      <c r="C321" s="262"/>
      <c r="D321" s="244">
        <f>IF('User Input'!$J$17=0,0,IF('User Input'!$J$313=0,0,ABS(PMT($D$19,'User Input'!$J$313,'User Input'!$J$17))))</f>
        <v>0</v>
      </c>
      <c r="E321" s="262"/>
      <c r="F321" s="262"/>
      <c r="G321" s="262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71"/>
    </row>
    <row r="322" spans="2:25" x14ac:dyDescent="0.2">
      <c r="B322" s="273"/>
      <c r="C322" s="262"/>
      <c r="D322" s="244"/>
      <c r="E322" s="262"/>
      <c r="F322" s="262"/>
      <c r="G322" s="262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71"/>
    </row>
    <row r="323" spans="2:25" x14ac:dyDescent="0.2">
      <c r="B323" s="273"/>
      <c r="C323" s="256" t="s">
        <v>184</v>
      </c>
      <c r="D323" s="262"/>
      <c r="E323" s="266"/>
      <c r="F323" s="266"/>
      <c r="G323" s="266"/>
      <c r="H323" s="266"/>
      <c r="I323" s="257">
        <f>$D$19*'User Input'!J17</f>
        <v>0</v>
      </c>
      <c r="J323" s="257">
        <f>$D$19*I326</f>
        <v>0</v>
      </c>
      <c r="K323" s="257">
        <f t="shared" ref="K323:X323" si="129">$D$19*J326</f>
        <v>0</v>
      </c>
      <c r="L323" s="257">
        <f t="shared" si="129"/>
        <v>0</v>
      </c>
      <c r="M323" s="257">
        <f t="shared" si="129"/>
        <v>0</v>
      </c>
      <c r="N323" s="257">
        <f t="shared" si="129"/>
        <v>0</v>
      </c>
      <c r="O323" s="257">
        <f t="shared" si="129"/>
        <v>0</v>
      </c>
      <c r="P323" s="257">
        <f t="shared" si="129"/>
        <v>0</v>
      </c>
      <c r="Q323" s="257">
        <f t="shared" si="129"/>
        <v>0</v>
      </c>
      <c r="R323" s="257">
        <f t="shared" si="129"/>
        <v>0</v>
      </c>
      <c r="S323" s="257">
        <f t="shared" si="129"/>
        <v>0</v>
      </c>
      <c r="T323" s="257">
        <f t="shared" si="129"/>
        <v>0</v>
      </c>
      <c r="U323" s="257">
        <f t="shared" si="129"/>
        <v>0</v>
      </c>
      <c r="V323" s="257">
        <f t="shared" si="129"/>
        <v>0</v>
      </c>
      <c r="W323" s="257">
        <f t="shared" si="129"/>
        <v>0</v>
      </c>
      <c r="X323" s="257">
        <f t="shared" si="129"/>
        <v>0</v>
      </c>
      <c r="Y323" s="275"/>
    </row>
    <row r="324" spans="2:25" x14ac:dyDescent="0.2">
      <c r="B324" s="273"/>
      <c r="C324" s="262" t="s">
        <v>185</v>
      </c>
      <c r="D324" s="262"/>
      <c r="E324" s="266"/>
      <c r="F324" s="266"/>
      <c r="G324" s="266"/>
      <c r="H324" s="266"/>
      <c r="I324" s="264">
        <f>D321-I323</f>
        <v>0</v>
      </c>
      <c r="J324" s="264">
        <f>$D$321-J323</f>
        <v>0</v>
      </c>
      <c r="K324" s="264">
        <f t="shared" ref="K324:X324" si="130">$D$321-K323</f>
        <v>0</v>
      </c>
      <c r="L324" s="264">
        <f t="shared" si="130"/>
        <v>0</v>
      </c>
      <c r="M324" s="264">
        <f t="shared" si="130"/>
        <v>0</v>
      </c>
      <c r="N324" s="264">
        <f t="shared" si="130"/>
        <v>0</v>
      </c>
      <c r="O324" s="264">
        <f t="shared" si="130"/>
        <v>0</v>
      </c>
      <c r="P324" s="264">
        <f t="shared" si="130"/>
        <v>0</v>
      </c>
      <c r="Q324" s="264">
        <f t="shared" si="130"/>
        <v>0</v>
      </c>
      <c r="R324" s="264">
        <f t="shared" si="130"/>
        <v>0</v>
      </c>
      <c r="S324" s="264">
        <f t="shared" si="130"/>
        <v>0</v>
      </c>
      <c r="T324" s="264">
        <f t="shared" si="130"/>
        <v>0</v>
      </c>
      <c r="U324" s="264">
        <f t="shared" si="130"/>
        <v>0</v>
      </c>
      <c r="V324" s="264">
        <f t="shared" si="130"/>
        <v>0</v>
      </c>
      <c r="W324" s="264">
        <f t="shared" si="130"/>
        <v>0</v>
      </c>
      <c r="X324" s="264">
        <f t="shared" si="130"/>
        <v>0</v>
      </c>
      <c r="Y324" s="276"/>
    </row>
    <row r="325" spans="2:25" x14ac:dyDescent="0.2">
      <c r="B325" s="273"/>
      <c r="C325" s="174" t="s">
        <v>186</v>
      </c>
      <c r="D325" s="262"/>
      <c r="E325" s="266"/>
      <c r="F325" s="266"/>
      <c r="G325" s="266"/>
      <c r="H325" s="266"/>
      <c r="I325" s="265">
        <f t="shared" ref="I325:X325" si="131">SUM(I323:I324)</f>
        <v>0</v>
      </c>
      <c r="J325" s="265">
        <f t="shared" si="131"/>
        <v>0</v>
      </c>
      <c r="K325" s="265">
        <f t="shared" si="131"/>
        <v>0</v>
      </c>
      <c r="L325" s="265">
        <f t="shared" si="131"/>
        <v>0</v>
      </c>
      <c r="M325" s="265">
        <f t="shared" si="131"/>
        <v>0</v>
      </c>
      <c r="N325" s="265">
        <f t="shared" si="131"/>
        <v>0</v>
      </c>
      <c r="O325" s="265">
        <f t="shared" si="131"/>
        <v>0</v>
      </c>
      <c r="P325" s="265">
        <f t="shared" si="131"/>
        <v>0</v>
      </c>
      <c r="Q325" s="265">
        <f t="shared" si="131"/>
        <v>0</v>
      </c>
      <c r="R325" s="265">
        <f t="shared" si="131"/>
        <v>0</v>
      </c>
      <c r="S325" s="265">
        <f t="shared" si="131"/>
        <v>0</v>
      </c>
      <c r="T325" s="265">
        <f t="shared" si="131"/>
        <v>0</v>
      </c>
      <c r="U325" s="265">
        <f t="shared" si="131"/>
        <v>0</v>
      </c>
      <c r="V325" s="265">
        <f t="shared" si="131"/>
        <v>0</v>
      </c>
      <c r="W325" s="265">
        <f t="shared" si="131"/>
        <v>0</v>
      </c>
      <c r="X325" s="265">
        <f t="shared" si="131"/>
        <v>0</v>
      </c>
      <c r="Y325" s="277"/>
    </row>
    <row r="326" spans="2:25" x14ac:dyDescent="0.2">
      <c r="B326" s="273"/>
      <c r="C326" s="256" t="s">
        <v>183</v>
      </c>
      <c r="D326" s="262"/>
      <c r="E326" s="258"/>
      <c r="F326" s="258"/>
      <c r="G326" s="258"/>
      <c r="H326" s="258"/>
      <c r="I326" s="257">
        <f>'User Input'!J17-I324</f>
        <v>0</v>
      </c>
      <c r="J326" s="257">
        <f>I326-J324</f>
        <v>0</v>
      </c>
      <c r="K326" s="257">
        <f t="shared" ref="K326:X326" si="132">J326-K324</f>
        <v>0</v>
      </c>
      <c r="L326" s="257">
        <f t="shared" si="132"/>
        <v>0</v>
      </c>
      <c r="M326" s="257">
        <f t="shared" si="132"/>
        <v>0</v>
      </c>
      <c r="N326" s="257">
        <f t="shared" si="132"/>
        <v>0</v>
      </c>
      <c r="O326" s="257">
        <f t="shared" si="132"/>
        <v>0</v>
      </c>
      <c r="P326" s="257">
        <f t="shared" si="132"/>
        <v>0</v>
      </c>
      <c r="Q326" s="257">
        <f t="shared" si="132"/>
        <v>0</v>
      </c>
      <c r="R326" s="257">
        <f t="shared" si="132"/>
        <v>0</v>
      </c>
      <c r="S326" s="257">
        <f t="shared" si="132"/>
        <v>0</v>
      </c>
      <c r="T326" s="257">
        <f t="shared" si="132"/>
        <v>0</v>
      </c>
      <c r="U326" s="257">
        <f t="shared" si="132"/>
        <v>0</v>
      </c>
      <c r="V326" s="257">
        <f t="shared" si="132"/>
        <v>0</v>
      </c>
      <c r="W326" s="257">
        <f t="shared" si="132"/>
        <v>0</v>
      </c>
      <c r="X326" s="257">
        <f t="shared" si="132"/>
        <v>0</v>
      </c>
      <c r="Y326" s="275"/>
    </row>
    <row r="327" spans="2:25" x14ac:dyDescent="0.2">
      <c r="B327" s="280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79"/>
    </row>
    <row r="328" spans="2:25" x14ac:dyDescent="0.2">
      <c r="B328" s="402" t="str">
        <f>B120</f>
        <v xml:space="preserve">Option 3: </v>
      </c>
      <c r="C328" s="404"/>
      <c r="D328" s="405"/>
      <c r="E328" s="404"/>
      <c r="F328" s="404"/>
      <c r="G328" s="404"/>
      <c r="H328" s="404"/>
      <c r="I328" s="404"/>
      <c r="J328" s="404"/>
      <c r="K328" s="404"/>
      <c r="L328" s="404"/>
      <c r="M328" s="404"/>
      <c r="N328" s="404"/>
      <c r="O328" s="404"/>
      <c r="P328" s="404"/>
      <c r="Q328" s="404"/>
      <c r="R328" s="404"/>
      <c r="S328" s="404"/>
      <c r="T328" s="404"/>
      <c r="U328" s="404"/>
      <c r="V328" s="404"/>
      <c r="W328" s="404"/>
      <c r="X328" s="404"/>
      <c r="Y328" s="406"/>
    </row>
    <row r="329" spans="2:25" x14ac:dyDescent="0.2">
      <c r="B329" s="273"/>
      <c r="C329" s="262"/>
      <c r="D329" s="262"/>
      <c r="E329" s="262"/>
      <c r="F329" s="262"/>
      <c r="G329" s="262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71"/>
    </row>
    <row r="330" spans="2:25" x14ac:dyDescent="0.2">
      <c r="B330" s="270" t="str">
        <f>C137</f>
        <v>Annualised Cost - capex (2019)</v>
      </c>
      <c r="C330" s="262"/>
      <c r="D330" s="244">
        <f>IF('User Input'!$F$18=0,0,IF('User Input'!$F$314=0,0,ABS(PMT($D$19,'User Input'!$F$314,'User Input'!$F$18))))</f>
        <v>0</v>
      </c>
      <c r="E330" s="262"/>
      <c r="F330" s="262"/>
      <c r="G330" s="262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71"/>
    </row>
    <row r="331" spans="2:25" x14ac:dyDescent="0.2">
      <c r="B331" s="274"/>
      <c r="C331" s="262"/>
      <c r="D331" s="262"/>
      <c r="E331" s="262"/>
      <c r="F331" s="262"/>
      <c r="G331" s="262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71"/>
    </row>
    <row r="332" spans="2:25" x14ac:dyDescent="0.2">
      <c r="B332" s="274"/>
      <c r="C332" s="256" t="s">
        <v>184</v>
      </c>
      <c r="D332" s="255"/>
      <c r="E332" s="257">
        <f>$D$19*'User Input'!F18</f>
        <v>0</v>
      </c>
      <c r="F332" s="257">
        <f>$D$19*E335</f>
        <v>0</v>
      </c>
      <c r="G332" s="257">
        <f t="shared" ref="G332:X332" si="133">$D$19*F335</f>
        <v>0</v>
      </c>
      <c r="H332" s="257">
        <f t="shared" si="133"/>
        <v>0</v>
      </c>
      <c r="I332" s="257">
        <f t="shared" si="133"/>
        <v>0</v>
      </c>
      <c r="J332" s="257">
        <f t="shared" si="133"/>
        <v>0</v>
      </c>
      <c r="K332" s="257">
        <f t="shared" si="133"/>
        <v>0</v>
      </c>
      <c r="L332" s="257">
        <f t="shared" si="133"/>
        <v>0</v>
      </c>
      <c r="M332" s="257">
        <f t="shared" si="133"/>
        <v>0</v>
      </c>
      <c r="N332" s="257">
        <f t="shared" si="133"/>
        <v>0</v>
      </c>
      <c r="O332" s="257">
        <f t="shared" si="133"/>
        <v>0</v>
      </c>
      <c r="P332" s="257">
        <f t="shared" si="133"/>
        <v>0</v>
      </c>
      <c r="Q332" s="257">
        <f t="shared" si="133"/>
        <v>0</v>
      </c>
      <c r="R332" s="257">
        <f t="shared" si="133"/>
        <v>0</v>
      </c>
      <c r="S332" s="257">
        <f t="shared" si="133"/>
        <v>0</v>
      </c>
      <c r="T332" s="257">
        <f t="shared" si="133"/>
        <v>0</v>
      </c>
      <c r="U332" s="257">
        <f t="shared" si="133"/>
        <v>0</v>
      </c>
      <c r="V332" s="257">
        <f t="shared" si="133"/>
        <v>0</v>
      </c>
      <c r="W332" s="257">
        <f t="shared" si="133"/>
        <v>0</v>
      </c>
      <c r="X332" s="257">
        <f t="shared" si="133"/>
        <v>0</v>
      </c>
      <c r="Y332" s="271"/>
    </row>
    <row r="333" spans="2:25" x14ac:dyDescent="0.2">
      <c r="B333" s="274"/>
      <c r="C333" s="262" t="s">
        <v>185</v>
      </c>
      <c r="D333" s="262"/>
      <c r="E333" s="264">
        <f>D330-E332</f>
        <v>0</v>
      </c>
      <c r="F333" s="264">
        <f>$D$330-F332</f>
        <v>0</v>
      </c>
      <c r="G333" s="264">
        <f t="shared" ref="G333:X333" si="134">$D$330-G332</f>
        <v>0</v>
      </c>
      <c r="H333" s="264">
        <f t="shared" si="134"/>
        <v>0</v>
      </c>
      <c r="I333" s="264">
        <f t="shared" si="134"/>
        <v>0</v>
      </c>
      <c r="J333" s="264">
        <f t="shared" si="134"/>
        <v>0</v>
      </c>
      <c r="K333" s="264">
        <f t="shared" si="134"/>
        <v>0</v>
      </c>
      <c r="L333" s="264">
        <f t="shared" si="134"/>
        <v>0</v>
      </c>
      <c r="M333" s="264">
        <f t="shared" si="134"/>
        <v>0</v>
      </c>
      <c r="N333" s="264">
        <f t="shared" si="134"/>
        <v>0</v>
      </c>
      <c r="O333" s="264">
        <f t="shared" si="134"/>
        <v>0</v>
      </c>
      <c r="P333" s="264">
        <f t="shared" si="134"/>
        <v>0</v>
      </c>
      <c r="Q333" s="264">
        <f t="shared" si="134"/>
        <v>0</v>
      </c>
      <c r="R333" s="264">
        <f t="shared" si="134"/>
        <v>0</v>
      </c>
      <c r="S333" s="264">
        <f t="shared" si="134"/>
        <v>0</v>
      </c>
      <c r="T333" s="264">
        <f t="shared" si="134"/>
        <v>0</v>
      </c>
      <c r="U333" s="264">
        <f t="shared" si="134"/>
        <v>0</v>
      </c>
      <c r="V333" s="264">
        <f t="shared" si="134"/>
        <v>0</v>
      </c>
      <c r="W333" s="264">
        <f t="shared" si="134"/>
        <v>0</v>
      </c>
      <c r="X333" s="264">
        <f t="shared" si="134"/>
        <v>0</v>
      </c>
      <c r="Y333" s="271"/>
    </row>
    <row r="334" spans="2:25" x14ac:dyDescent="0.2">
      <c r="B334" s="274"/>
      <c r="C334" s="174" t="s">
        <v>186</v>
      </c>
      <c r="D334" s="174"/>
      <c r="E334" s="265">
        <f t="shared" ref="E334:X334" si="135">SUM(E332:E333)</f>
        <v>0</v>
      </c>
      <c r="F334" s="265">
        <f t="shared" si="135"/>
        <v>0</v>
      </c>
      <c r="G334" s="265">
        <f t="shared" si="135"/>
        <v>0</v>
      </c>
      <c r="H334" s="265">
        <f t="shared" si="135"/>
        <v>0</v>
      </c>
      <c r="I334" s="265">
        <f t="shared" si="135"/>
        <v>0</v>
      </c>
      <c r="J334" s="265">
        <f t="shared" si="135"/>
        <v>0</v>
      </c>
      <c r="K334" s="265">
        <f t="shared" si="135"/>
        <v>0</v>
      </c>
      <c r="L334" s="265">
        <f t="shared" si="135"/>
        <v>0</v>
      </c>
      <c r="M334" s="265">
        <f t="shared" si="135"/>
        <v>0</v>
      </c>
      <c r="N334" s="265">
        <f t="shared" si="135"/>
        <v>0</v>
      </c>
      <c r="O334" s="265">
        <f t="shared" si="135"/>
        <v>0</v>
      </c>
      <c r="P334" s="265">
        <f t="shared" si="135"/>
        <v>0</v>
      </c>
      <c r="Q334" s="265">
        <f t="shared" si="135"/>
        <v>0</v>
      </c>
      <c r="R334" s="265">
        <f t="shared" si="135"/>
        <v>0</v>
      </c>
      <c r="S334" s="265">
        <f t="shared" si="135"/>
        <v>0</v>
      </c>
      <c r="T334" s="265">
        <f t="shared" si="135"/>
        <v>0</v>
      </c>
      <c r="U334" s="265">
        <f t="shared" si="135"/>
        <v>0</v>
      </c>
      <c r="V334" s="265">
        <f t="shared" si="135"/>
        <v>0</v>
      </c>
      <c r="W334" s="265">
        <f t="shared" si="135"/>
        <v>0</v>
      </c>
      <c r="X334" s="265">
        <f t="shared" si="135"/>
        <v>0</v>
      </c>
      <c r="Y334" s="271"/>
    </row>
    <row r="335" spans="2:25" x14ac:dyDescent="0.2">
      <c r="B335" s="274"/>
      <c r="C335" s="256" t="s">
        <v>183</v>
      </c>
      <c r="D335" s="255"/>
      <c r="E335" s="257">
        <f>'User Input'!F18-E333</f>
        <v>0</v>
      </c>
      <c r="F335" s="257">
        <f>E335-F333</f>
        <v>0</v>
      </c>
      <c r="G335" s="257">
        <f t="shared" ref="G335:X335" si="136">F335-G333</f>
        <v>0</v>
      </c>
      <c r="H335" s="257">
        <f t="shared" si="136"/>
        <v>0</v>
      </c>
      <c r="I335" s="257">
        <f t="shared" si="136"/>
        <v>0</v>
      </c>
      <c r="J335" s="257">
        <f t="shared" si="136"/>
        <v>0</v>
      </c>
      <c r="K335" s="257">
        <f t="shared" si="136"/>
        <v>0</v>
      </c>
      <c r="L335" s="257">
        <f t="shared" si="136"/>
        <v>0</v>
      </c>
      <c r="M335" s="257">
        <f t="shared" si="136"/>
        <v>0</v>
      </c>
      <c r="N335" s="257">
        <f t="shared" si="136"/>
        <v>0</v>
      </c>
      <c r="O335" s="257">
        <f t="shared" si="136"/>
        <v>0</v>
      </c>
      <c r="P335" s="257">
        <f t="shared" si="136"/>
        <v>0</v>
      </c>
      <c r="Q335" s="257">
        <f t="shared" si="136"/>
        <v>0</v>
      </c>
      <c r="R335" s="257">
        <f t="shared" si="136"/>
        <v>0</v>
      </c>
      <c r="S335" s="257">
        <f t="shared" si="136"/>
        <v>0</v>
      </c>
      <c r="T335" s="257">
        <f t="shared" si="136"/>
        <v>0</v>
      </c>
      <c r="U335" s="257">
        <f t="shared" si="136"/>
        <v>0</v>
      </c>
      <c r="V335" s="257">
        <f t="shared" si="136"/>
        <v>0</v>
      </c>
      <c r="W335" s="257">
        <f t="shared" si="136"/>
        <v>0</v>
      </c>
      <c r="X335" s="257">
        <f t="shared" si="136"/>
        <v>0</v>
      </c>
      <c r="Y335" s="271"/>
    </row>
    <row r="336" spans="2:25" x14ac:dyDescent="0.2">
      <c r="B336" s="274"/>
      <c r="C336" s="262"/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71"/>
    </row>
    <row r="337" spans="2:25" x14ac:dyDescent="0.2">
      <c r="B337" s="273" t="str">
        <f>C138</f>
        <v>Annualised Cost - capex (2020)</v>
      </c>
      <c r="C337" s="262"/>
      <c r="D337" s="244">
        <f>IF('User Input'!$G$18=0,0,IF('User Input'!$G$314=0,0,ABS(PMT($D$19,'User Input'!$G$314,'User Input'!$G$18))))</f>
        <v>0</v>
      </c>
      <c r="E337" s="262"/>
      <c r="F337" s="262"/>
      <c r="G337" s="262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71"/>
    </row>
    <row r="338" spans="2:25" x14ac:dyDescent="0.2">
      <c r="B338" s="273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71"/>
    </row>
    <row r="339" spans="2:25" x14ac:dyDescent="0.2">
      <c r="B339" s="273"/>
      <c r="C339" s="256" t="s">
        <v>184</v>
      </c>
      <c r="D339" s="262"/>
      <c r="E339" s="266"/>
      <c r="F339" s="257">
        <f>$D$19*'User Input'!G18</f>
        <v>0</v>
      </c>
      <c r="G339" s="257">
        <f>$D$19*F342</f>
        <v>0</v>
      </c>
      <c r="H339" s="257">
        <f t="shared" ref="H339:X339" si="137">$D$19*G342</f>
        <v>0</v>
      </c>
      <c r="I339" s="257">
        <f t="shared" si="137"/>
        <v>0</v>
      </c>
      <c r="J339" s="257">
        <f t="shared" si="137"/>
        <v>0</v>
      </c>
      <c r="K339" s="257">
        <f t="shared" si="137"/>
        <v>0</v>
      </c>
      <c r="L339" s="257">
        <f t="shared" si="137"/>
        <v>0</v>
      </c>
      <c r="M339" s="257">
        <f t="shared" si="137"/>
        <v>0</v>
      </c>
      <c r="N339" s="257">
        <f t="shared" si="137"/>
        <v>0</v>
      </c>
      <c r="O339" s="257">
        <f t="shared" si="137"/>
        <v>0</v>
      </c>
      <c r="P339" s="257">
        <f t="shared" si="137"/>
        <v>0</v>
      </c>
      <c r="Q339" s="257">
        <f t="shared" si="137"/>
        <v>0</v>
      </c>
      <c r="R339" s="257">
        <f t="shared" si="137"/>
        <v>0</v>
      </c>
      <c r="S339" s="257">
        <f t="shared" si="137"/>
        <v>0</v>
      </c>
      <c r="T339" s="257">
        <f t="shared" si="137"/>
        <v>0</v>
      </c>
      <c r="U339" s="257">
        <f t="shared" si="137"/>
        <v>0</v>
      </c>
      <c r="V339" s="257">
        <f t="shared" si="137"/>
        <v>0</v>
      </c>
      <c r="W339" s="257">
        <f t="shared" si="137"/>
        <v>0</v>
      </c>
      <c r="X339" s="257">
        <f t="shared" si="137"/>
        <v>0</v>
      </c>
      <c r="Y339" s="275"/>
    </row>
    <row r="340" spans="2:25" x14ac:dyDescent="0.2">
      <c r="B340" s="273"/>
      <c r="C340" s="262" t="s">
        <v>185</v>
      </c>
      <c r="D340" s="262"/>
      <c r="E340" s="266"/>
      <c r="F340" s="264">
        <f>D337-F339</f>
        <v>0</v>
      </c>
      <c r="G340" s="264">
        <f>$D$337-G339</f>
        <v>0</v>
      </c>
      <c r="H340" s="264">
        <f t="shared" ref="H340:X340" si="138">$D$337-H339</f>
        <v>0</v>
      </c>
      <c r="I340" s="264">
        <f t="shared" si="138"/>
        <v>0</v>
      </c>
      <c r="J340" s="264">
        <f t="shared" si="138"/>
        <v>0</v>
      </c>
      <c r="K340" s="264">
        <f t="shared" si="138"/>
        <v>0</v>
      </c>
      <c r="L340" s="264">
        <f t="shared" si="138"/>
        <v>0</v>
      </c>
      <c r="M340" s="264">
        <f t="shared" si="138"/>
        <v>0</v>
      </c>
      <c r="N340" s="264">
        <f t="shared" si="138"/>
        <v>0</v>
      </c>
      <c r="O340" s="264">
        <f t="shared" si="138"/>
        <v>0</v>
      </c>
      <c r="P340" s="264">
        <f t="shared" si="138"/>
        <v>0</v>
      </c>
      <c r="Q340" s="264">
        <f t="shared" si="138"/>
        <v>0</v>
      </c>
      <c r="R340" s="264">
        <f t="shared" si="138"/>
        <v>0</v>
      </c>
      <c r="S340" s="264">
        <f t="shared" si="138"/>
        <v>0</v>
      </c>
      <c r="T340" s="264">
        <f t="shared" si="138"/>
        <v>0</v>
      </c>
      <c r="U340" s="264">
        <f t="shared" si="138"/>
        <v>0</v>
      </c>
      <c r="V340" s="264">
        <f t="shared" si="138"/>
        <v>0</v>
      </c>
      <c r="W340" s="264">
        <f t="shared" si="138"/>
        <v>0</v>
      </c>
      <c r="X340" s="264">
        <f t="shared" si="138"/>
        <v>0</v>
      </c>
      <c r="Y340" s="276"/>
    </row>
    <row r="341" spans="2:25" x14ac:dyDescent="0.2">
      <c r="B341" s="273"/>
      <c r="C341" s="174" t="s">
        <v>186</v>
      </c>
      <c r="D341" s="262"/>
      <c r="E341" s="266"/>
      <c r="F341" s="265">
        <f t="shared" ref="F341:X341" si="139">SUM(F339:F340)</f>
        <v>0</v>
      </c>
      <c r="G341" s="265">
        <f t="shared" si="139"/>
        <v>0</v>
      </c>
      <c r="H341" s="265">
        <f t="shared" si="139"/>
        <v>0</v>
      </c>
      <c r="I341" s="265">
        <f t="shared" si="139"/>
        <v>0</v>
      </c>
      <c r="J341" s="265">
        <f t="shared" si="139"/>
        <v>0</v>
      </c>
      <c r="K341" s="265">
        <f t="shared" si="139"/>
        <v>0</v>
      </c>
      <c r="L341" s="265">
        <f t="shared" si="139"/>
        <v>0</v>
      </c>
      <c r="M341" s="265">
        <f t="shared" si="139"/>
        <v>0</v>
      </c>
      <c r="N341" s="265">
        <f t="shared" si="139"/>
        <v>0</v>
      </c>
      <c r="O341" s="265">
        <f t="shared" si="139"/>
        <v>0</v>
      </c>
      <c r="P341" s="265">
        <f t="shared" si="139"/>
        <v>0</v>
      </c>
      <c r="Q341" s="265">
        <f t="shared" si="139"/>
        <v>0</v>
      </c>
      <c r="R341" s="265">
        <f t="shared" si="139"/>
        <v>0</v>
      </c>
      <c r="S341" s="265">
        <f t="shared" si="139"/>
        <v>0</v>
      </c>
      <c r="T341" s="265">
        <f t="shared" si="139"/>
        <v>0</v>
      </c>
      <c r="U341" s="265">
        <f t="shared" si="139"/>
        <v>0</v>
      </c>
      <c r="V341" s="265">
        <f t="shared" si="139"/>
        <v>0</v>
      </c>
      <c r="W341" s="265">
        <f t="shared" si="139"/>
        <v>0</v>
      </c>
      <c r="X341" s="265">
        <f t="shared" si="139"/>
        <v>0</v>
      </c>
      <c r="Y341" s="277"/>
    </row>
    <row r="342" spans="2:25" x14ac:dyDescent="0.2">
      <c r="B342" s="273"/>
      <c r="C342" s="256" t="s">
        <v>183</v>
      </c>
      <c r="D342" s="262"/>
      <c r="E342" s="258"/>
      <c r="F342" s="257">
        <f>'User Input'!G18-F340</f>
        <v>0</v>
      </c>
      <c r="G342" s="257">
        <f>F342-G340</f>
        <v>0</v>
      </c>
      <c r="H342" s="257">
        <f t="shared" ref="H342:X342" si="140">G342-H340</f>
        <v>0</v>
      </c>
      <c r="I342" s="257">
        <f t="shared" si="140"/>
        <v>0</v>
      </c>
      <c r="J342" s="257">
        <f t="shared" si="140"/>
        <v>0</v>
      </c>
      <c r="K342" s="257">
        <f t="shared" si="140"/>
        <v>0</v>
      </c>
      <c r="L342" s="257">
        <f t="shared" si="140"/>
        <v>0</v>
      </c>
      <c r="M342" s="257">
        <f t="shared" si="140"/>
        <v>0</v>
      </c>
      <c r="N342" s="257">
        <f t="shared" si="140"/>
        <v>0</v>
      </c>
      <c r="O342" s="257">
        <f t="shared" si="140"/>
        <v>0</v>
      </c>
      <c r="P342" s="257">
        <f t="shared" si="140"/>
        <v>0</v>
      </c>
      <c r="Q342" s="257">
        <f t="shared" si="140"/>
        <v>0</v>
      </c>
      <c r="R342" s="257">
        <f t="shared" si="140"/>
        <v>0</v>
      </c>
      <c r="S342" s="257">
        <f t="shared" si="140"/>
        <v>0</v>
      </c>
      <c r="T342" s="257">
        <f t="shared" si="140"/>
        <v>0</v>
      </c>
      <c r="U342" s="257">
        <f t="shared" si="140"/>
        <v>0</v>
      </c>
      <c r="V342" s="257">
        <f t="shared" si="140"/>
        <v>0</v>
      </c>
      <c r="W342" s="257">
        <f t="shared" si="140"/>
        <v>0</v>
      </c>
      <c r="X342" s="257">
        <f t="shared" si="140"/>
        <v>0</v>
      </c>
      <c r="Y342" s="275"/>
    </row>
    <row r="343" spans="2:25" x14ac:dyDescent="0.2">
      <c r="B343" s="273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71"/>
    </row>
    <row r="344" spans="2:25" x14ac:dyDescent="0.2">
      <c r="B344" s="273" t="str">
        <f>C139</f>
        <v>Annualised Cost - capex (2021)</v>
      </c>
      <c r="C344" s="262"/>
      <c r="D344" s="244">
        <f>IF('User Input'!$H$18=0,0,IF('User Input'!$H$314=0,0,ABS(PMT($D$19,'User Input'!$H$314,'User Input'!$H$18))))</f>
        <v>0</v>
      </c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71"/>
    </row>
    <row r="345" spans="2:25" x14ac:dyDescent="0.2">
      <c r="B345" s="273"/>
      <c r="C345" s="262"/>
      <c r="D345" s="262"/>
      <c r="E345" s="262"/>
      <c r="F345" s="262"/>
      <c r="G345" s="262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71"/>
    </row>
    <row r="346" spans="2:25" x14ac:dyDescent="0.2">
      <c r="B346" s="273"/>
      <c r="C346" s="256" t="s">
        <v>184</v>
      </c>
      <c r="D346" s="262"/>
      <c r="E346" s="266"/>
      <c r="F346" s="266"/>
      <c r="G346" s="257">
        <f>$D$19*'User Input'!H18</f>
        <v>0</v>
      </c>
      <c r="H346" s="257">
        <f>$D$19*G349</f>
        <v>0</v>
      </c>
      <c r="I346" s="257">
        <f t="shared" ref="I346:X346" si="141">$D$19*H349</f>
        <v>0</v>
      </c>
      <c r="J346" s="257">
        <f t="shared" si="141"/>
        <v>0</v>
      </c>
      <c r="K346" s="257">
        <f t="shared" si="141"/>
        <v>0</v>
      </c>
      <c r="L346" s="257">
        <f t="shared" si="141"/>
        <v>0</v>
      </c>
      <c r="M346" s="257">
        <f t="shared" si="141"/>
        <v>0</v>
      </c>
      <c r="N346" s="257">
        <f t="shared" si="141"/>
        <v>0</v>
      </c>
      <c r="O346" s="257">
        <f t="shared" si="141"/>
        <v>0</v>
      </c>
      <c r="P346" s="257">
        <f t="shared" si="141"/>
        <v>0</v>
      </c>
      <c r="Q346" s="257">
        <f t="shared" si="141"/>
        <v>0</v>
      </c>
      <c r="R346" s="257">
        <f t="shared" si="141"/>
        <v>0</v>
      </c>
      <c r="S346" s="257">
        <f t="shared" si="141"/>
        <v>0</v>
      </c>
      <c r="T346" s="257">
        <f t="shared" si="141"/>
        <v>0</v>
      </c>
      <c r="U346" s="257">
        <f t="shared" si="141"/>
        <v>0</v>
      </c>
      <c r="V346" s="257">
        <f t="shared" si="141"/>
        <v>0</v>
      </c>
      <c r="W346" s="257">
        <f t="shared" si="141"/>
        <v>0</v>
      </c>
      <c r="X346" s="257">
        <f t="shared" si="141"/>
        <v>0</v>
      </c>
      <c r="Y346" s="275"/>
    </row>
    <row r="347" spans="2:25" x14ac:dyDescent="0.2">
      <c r="B347" s="273"/>
      <c r="C347" s="262" t="s">
        <v>185</v>
      </c>
      <c r="D347" s="262"/>
      <c r="E347" s="266"/>
      <c r="F347" s="266"/>
      <c r="G347" s="264">
        <f>D344-G346</f>
        <v>0</v>
      </c>
      <c r="H347" s="264">
        <f>$D$344-H346</f>
        <v>0</v>
      </c>
      <c r="I347" s="264">
        <f t="shared" ref="I347:X347" si="142">$D$344-I346</f>
        <v>0</v>
      </c>
      <c r="J347" s="264">
        <f t="shared" si="142"/>
        <v>0</v>
      </c>
      <c r="K347" s="264">
        <f t="shared" si="142"/>
        <v>0</v>
      </c>
      <c r="L347" s="264">
        <f t="shared" si="142"/>
        <v>0</v>
      </c>
      <c r="M347" s="264">
        <f t="shared" si="142"/>
        <v>0</v>
      </c>
      <c r="N347" s="264">
        <f t="shared" si="142"/>
        <v>0</v>
      </c>
      <c r="O347" s="264">
        <f t="shared" si="142"/>
        <v>0</v>
      </c>
      <c r="P347" s="264">
        <f t="shared" si="142"/>
        <v>0</v>
      </c>
      <c r="Q347" s="264">
        <f t="shared" si="142"/>
        <v>0</v>
      </c>
      <c r="R347" s="264">
        <f t="shared" si="142"/>
        <v>0</v>
      </c>
      <c r="S347" s="264">
        <f t="shared" si="142"/>
        <v>0</v>
      </c>
      <c r="T347" s="264">
        <f t="shared" si="142"/>
        <v>0</v>
      </c>
      <c r="U347" s="264">
        <f t="shared" si="142"/>
        <v>0</v>
      </c>
      <c r="V347" s="264">
        <f t="shared" si="142"/>
        <v>0</v>
      </c>
      <c r="W347" s="264">
        <f t="shared" si="142"/>
        <v>0</v>
      </c>
      <c r="X347" s="264">
        <f t="shared" si="142"/>
        <v>0</v>
      </c>
      <c r="Y347" s="276"/>
    </row>
    <row r="348" spans="2:25" x14ac:dyDescent="0.2">
      <c r="B348" s="273"/>
      <c r="C348" s="174" t="s">
        <v>186</v>
      </c>
      <c r="D348" s="262"/>
      <c r="E348" s="266"/>
      <c r="F348" s="266"/>
      <c r="G348" s="265">
        <f t="shared" ref="G348:X348" si="143">SUM(G346:G347)</f>
        <v>0</v>
      </c>
      <c r="H348" s="265">
        <f t="shared" si="143"/>
        <v>0</v>
      </c>
      <c r="I348" s="265">
        <f t="shared" si="143"/>
        <v>0</v>
      </c>
      <c r="J348" s="265">
        <f t="shared" si="143"/>
        <v>0</v>
      </c>
      <c r="K348" s="265">
        <f t="shared" si="143"/>
        <v>0</v>
      </c>
      <c r="L348" s="265">
        <f t="shared" si="143"/>
        <v>0</v>
      </c>
      <c r="M348" s="265">
        <f t="shared" si="143"/>
        <v>0</v>
      </c>
      <c r="N348" s="265">
        <f t="shared" si="143"/>
        <v>0</v>
      </c>
      <c r="O348" s="265">
        <f t="shared" si="143"/>
        <v>0</v>
      </c>
      <c r="P348" s="265">
        <f t="shared" si="143"/>
        <v>0</v>
      </c>
      <c r="Q348" s="265">
        <f t="shared" si="143"/>
        <v>0</v>
      </c>
      <c r="R348" s="265">
        <f t="shared" si="143"/>
        <v>0</v>
      </c>
      <c r="S348" s="265">
        <f t="shared" si="143"/>
        <v>0</v>
      </c>
      <c r="T348" s="265">
        <f t="shared" si="143"/>
        <v>0</v>
      </c>
      <c r="U348" s="265">
        <f t="shared" si="143"/>
        <v>0</v>
      </c>
      <c r="V348" s="265">
        <f t="shared" si="143"/>
        <v>0</v>
      </c>
      <c r="W348" s="265">
        <f t="shared" si="143"/>
        <v>0</v>
      </c>
      <c r="X348" s="265">
        <f t="shared" si="143"/>
        <v>0</v>
      </c>
      <c r="Y348" s="277"/>
    </row>
    <row r="349" spans="2:25" x14ac:dyDescent="0.2">
      <c r="B349" s="273"/>
      <c r="C349" s="256" t="s">
        <v>183</v>
      </c>
      <c r="D349" s="262"/>
      <c r="E349" s="258"/>
      <c r="F349" s="258"/>
      <c r="G349" s="257">
        <f>'User Input'!H18-G347</f>
        <v>0</v>
      </c>
      <c r="H349" s="257">
        <f>G349-H347</f>
        <v>0</v>
      </c>
      <c r="I349" s="257">
        <f t="shared" ref="I349:X349" si="144">H349-I347</f>
        <v>0</v>
      </c>
      <c r="J349" s="257">
        <f t="shared" si="144"/>
        <v>0</v>
      </c>
      <c r="K349" s="257">
        <f t="shared" si="144"/>
        <v>0</v>
      </c>
      <c r="L349" s="257">
        <f t="shared" si="144"/>
        <v>0</v>
      </c>
      <c r="M349" s="257">
        <f t="shared" si="144"/>
        <v>0</v>
      </c>
      <c r="N349" s="257">
        <f t="shared" si="144"/>
        <v>0</v>
      </c>
      <c r="O349" s="257">
        <f t="shared" si="144"/>
        <v>0</v>
      </c>
      <c r="P349" s="257">
        <f t="shared" si="144"/>
        <v>0</v>
      </c>
      <c r="Q349" s="257">
        <f t="shared" si="144"/>
        <v>0</v>
      </c>
      <c r="R349" s="257">
        <f t="shared" si="144"/>
        <v>0</v>
      </c>
      <c r="S349" s="257">
        <f t="shared" si="144"/>
        <v>0</v>
      </c>
      <c r="T349" s="257">
        <f t="shared" si="144"/>
        <v>0</v>
      </c>
      <c r="U349" s="257">
        <f t="shared" si="144"/>
        <v>0</v>
      </c>
      <c r="V349" s="257">
        <f t="shared" si="144"/>
        <v>0</v>
      </c>
      <c r="W349" s="257">
        <f t="shared" si="144"/>
        <v>0</v>
      </c>
      <c r="X349" s="257">
        <f t="shared" si="144"/>
        <v>0</v>
      </c>
      <c r="Y349" s="275"/>
    </row>
    <row r="350" spans="2:25" x14ac:dyDescent="0.2">
      <c r="B350" s="273"/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71"/>
    </row>
    <row r="351" spans="2:25" x14ac:dyDescent="0.2">
      <c r="B351" s="273" t="str">
        <f>C140</f>
        <v>Annualised Cost - capex (2022)</v>
      </c>
      <c r="C351" s="262"/>
      <c r="D351" s="244">
        <f>IF('User Input'!$I$18=0,0,IF('User Input'!$I$314=0,0,ABS(PMT($D$19,'User Input'!$I$314,'User Input'!$I$18))))</f>
        <v>0</v>
      </c>
      <c r="E351" s="262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71"/>
    </row>
    <row r="352" spans="2:25" x14ac:dyDescent="0.2">
      <c r="B352" s="273"/>
      <c r="C352" s="262"/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71"/>
    </row>
    <row r="353" spans="2:25" x14ac:dyDescent="0.2">
      <c r="B353" s="273"/>
      <c r="C353" s="256" t="s">
        <v>184</v>
      </c>
      <c r="D353" s="262"/>
      <c r="E353" s="266"/>
      <c r="F353" s="266"/>
      <c r="G353" s="266"/>
      <c r="H353" s="257">
        <f>D19*'User Input'!I18</f>
        <v>0</v>
      </c>
      <c r="I353" s="257">
        <f>$D$19*H356</f>
        <v>0</v>
      </c>
      <c r="J353" s="257">
        <f t="shared" ref="J353:X353" si="145">$D$19*I356</f>
        <v>0</v>
      </c>
      <c r="K353" s="257">
        <f t="shared" si="145"/>
        <v>0</v>
      </c>
      <c r="L353" s="257">
        <f t="shared" si="145"/>
        <v>0</v>
      </c>
      <c r="M353" s="257">
        <f t="shared" si="145"/>
        <v>0</v>
      </c>
      <c r="N353" s="257">
        <f t="shared" si="145"/>
        <v>0</v>
      </c>
      <c r="O353" s="257">
        <f t="shared" si="145"/>
        <v>0</v>
      </c>
      <c r="P353" s="257">
        <f t="shared" si="145"/>
        <v>0</v>
      </c>
      <c r="Q353" s="257">
        <f t="shared" si="145"/>
        <v>0</v>
      </c>
      <c r="R353" s="257">
        <f t="shared" si="145"/>
        <v>0</v>
      </c>
      <c r="S353" s="257">
        <f t="shared" si="145"/>
        <v>0</v>
      </c>
      <c r="T353" s="257">
        <f t="shared" si="145"/>
        <v>0</v>
      </c>
      <c r="U353" s="257">
        <f t="shared" si="145"/>
        <v>0</v>
      </c>
      <c r="V353" s="257">
        <f t="shared" si="145"/>
        <v>0</v>
      </c>
      <c r="W353" s="257">
        <f t="shared" si="145"/>
        <v>0</v>
      </c>
      <c r="X353" s="257">
        <f t="shared" si="145"/>
        <v>0</v>
      </c>
      <c r="Y353" s="275"/>
    </row>
    <row r="354" spans="2:25" x14ac:dyDescent="0.2">
      <c r="B354" s="273"/>
      <c r="C354" s="262" t="s">
        <v>185</v>
      </c>
      <c r="D354" s="262"/>
      <c r="E354" s="266"/>
      <c r="F354" s="266"/>
      <c r="G354" s="266"/>
      <c r="H354" s="264">
        <f>$D$351-H353</f>
        <v>0</v>
      </c>
      <c r="I354" s="264">
        <f>$D$351-I353</f>
        <v>0</v>
      </c>
      <c r="J354" s="264">
        <f t="shared" ref="J354:X354" si="146">$D$351-J353</f>
        <v>0</v>
      </c>
      <c r="K354" s="264">
        <f t="shared" si="146"/>
        <v>0</v>
      </c>
      <c r="L354" s="264">
        <f t="shared" si="146"/>
        <v>0</v>
      </c>
      <c r="M354" s="264">
        <f t="shared" si="146"/>
        <v>0</v>
      </c>
      <c r="N354" s="264">
        <f t="shared" si="146"/>
        <v>0</v>
      </c>
      <c r="O354" s="264">
        <f t="shared" si="146"/>
        <v>0</v>
      </c>
      <c r="P354" s="264">
        <f t="shared" si="146"/>
        <v>0</v>
      </c>
      <c r="Q354" s="264">
        <f t="shared" si="146"/>
        <v>0</v>
      </c>
      <c r="R354" s="264">
        <f t="shared" si="146"/>
        <v>0</v>
      </c>
      <c r="S354" s="264">
        <f t="shared" si="146"/>
        <v>0</v>
      </c>
      <c r="T354" s="264">
        <f t="shared" si="146"/>
        <v>0</v>
      </c>
      <c r="U354" s="264">
        <f t="shared" si="146"/>
        <v>0</v>
      </c>
      <c r="V354" s="264">
        <f t="shared" si="146"/>
        <v>0</v>
      </c>
      <c r="W354" s="264">
        <f t="shared" si="146"/>
        <v>0</v>
      </c>
      <c r="X354" s="264">
        <f t="shared" si="146"/>
        <v>0</v>
      </c>
      <c r="Y354" s="276"/>
    </row>
    <row r="355" spans="2:25" x14ac:dyDescent="0.2">
      <c r="B355" s="273"/>
      <c r="C355" s="174" t="s">
        <v>186</v>
      </c>
      <c r="D355" s="262"/>
      <c r="E355" s="266"/>
      <c r="F355" s="266"/>
      <c r="G355" s="266"/>
      <c r="H355" s="265">
        <f t="shared" ref="H355:X355" si="147">SUM(H353:H354)</f>
        <v>0</v>
      </c>
      <c r="I355" s="265">
        <f t="shared" si="147"/>
        <v>0</v>
      </c>
      <c r="J355" s="265">
        <f t="shared" si="147"/>
        <v>0</v>
      </c>
      <c r="K355" s="265">
        <f t="shared" si="147"/>
        <v>0</v>
      </c>
      <c r="L355" s="265">
        <f t="shared" si="147"/>
        <v>0</v>
      </c>
      <c r="M355" s="265">
        <f t="shared" si="147"/>
        <v>0</v>
      </c>
      <c r="N355" s="265">
        <f t="shared" si="147"/>
        <v>0</v>
      </c>
      <c r="O355" s="265">
        <f t="shared" si="147"/>
        <v>0</v>
      </c>
      <c r="P355" s="265">
        <f t="shared" si="147"/>
        <v>0</v>
      </c>
      <c r="Q355" s="265">
        <f t="shared" si="147"/>
        <v>0</v>
      </c>
      <c r="R355" s="265">
        <f t="shared" si="147"/>
        <v>0</v>
      </c>
      <c r="S355" s="265">
        <f t="shared" si="147"/>
        <v>0</v>
      </c>
      <c r="T355" s="265">
        <f t="shared" si="147"/>
        <v>0</v>
      </c>
      <c r="U355" s="265">
        <f t="shared" si="147"/>
        <v>0</v>
      </c>
      <c r="V355" s="265">
        <f t="shared" si="147"/>
        <v>0</v>
      </c>
      <c r="W355" s="265">
        <f t="shared" si="147"/>
        <v>0</v>
      </c>
      <c r="X355" s="265">
        <f t="shared" si="147"/>
        <v>0</v>
      </c>
      <c r="Y355" s="277"/>
    </row>
    <row r="356" spans="2:25" x14ac:dyDescent="0.2">
      <c r="B356" s="273"/>
      <c r="C356" s="256" t="s">
        <v>183</v>
      </c>
      <c r="D356" s="262"/>
      <c r="E356" s="258"/>
      <c r="F356" s="258"/>
      <c r="G356" s="258"/>
      <c r="H356" s="257">
        <f>'User Input'!I18-H354</f>
        <v>0</v>
      </c>
      <c r="I356" s="257">
        <f>H356-I354</f>
        <v>0</v>
      </c>
      <c r="J356" s="257">
        <f t="shared" ref="J356:X356" si="148">I356-J354</f>
        <v>0</v>
      </c>
      <c r="K356" s="257">
        <f t="shared" si="148"/>
        <v>0</v>
      </c>
      <c r="L356" s="257">
        <f t="shared" si="148"/>
        <v>0</v>
      </c>
      <c r="M356" s="257">
        <f t="shared" si="148"/>
        <v>0</v>
      </c>
      <c r="N356" s="257">
        <f t="shared" si="148"/>
        <v>0</v>
      </c>
      <c r="O356" s="257">
        <f t="shared" si="148"/>
        <v>0</v>
      </c>
      <c r="P356" s="257">
        <f t="shared" si="148"/>
        <v>0</v>
      </c>
      <c r="Q356" s="257">
        <f t="shared" si="148"/>
        <v>0</v>
      </c>
      <c r="R356" s="257">
        <f t="shared" si="148"/>
        <v>0</v>
      </c>
      <c r="S356" s="257">
        <f t="shared" si="148"/>
        <v>0</v>
      </c>
      <c r="T356" s="257">
        <f t="shared" si="148"/>
        <v>0</v>
      </c>
      <c r="U356" s="257">
        <f t="shared" si="148"/>
        <v>0</v>
      </c>
      <c r="V356" s="257">
        <f t="shared" si="148"/>
        <v>0</v>
      </c>
      <c r="W356" s="257">
        <f t="shared" si="148"/>
        <v>0</v>
      </c>
      <c r="X356" s="257">
        <f t="shared" si="148"/>
        <v>0</v>
      </c>
      <c r="Y356" s="275"/>
    </row>
    <row r="357" spans="2:25" x14ac:dyDescent="0.2">
      <c r="B357" s="270"/>
      <c r="C357" s="262"/>
      <c r="D357" s="262"/>
      <c r="E357" s="262"/>
      <c r="F357" s="262"/>
      <c r="G357" s="262"/>
      <c r="H357" s="262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71"/>
    </row>
    <row r="358" spans="2:25" x14ac:dyDescent="0.2">
      <c r="B358" s="273" t="str">
        <f>C141</f>
        <v>Annualised Cost - capex (2023)</v>
      </c>
      <c r="C358" s="262"/>
      <c r="D358" s="244">
        <f>IF('User Input'!$J$18=0,0,IF('User Input'!$J$314=0,0,ABS(PMT($D$19,'User Input'!$J$314,'User Input'!$J$18))))</f>
        <v>0</v>
      </c>
      <c r="E358" s="262"/>
      <c r="F358" s="262"/>
      <c r="G358" s="262"/>
      <c r="H358" s="262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71"/>
    </row>
    <row r="359" spans="2:25" x14ac:dyDescent="0.2">
      <c r="B359" s="273"/>
      <c r="C359" s="262"/>
      <c r="D359" s="244"/>
      <c r="E359" s="262"/>
      <c r="F359" s="262"/>
      <c r="G359" s="262"/>
      <c r="H359" s="262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71"/>
    </row>
    <row r="360" spans="2:25" x14ac:dyDescent="0.2">
      <c r="B360" s="273"/>
      <c r="C360" s="256" t="s">
        <v>184</v>
      </c>
      <c r="D360" s="262"/>
      <c r="E360" s="266"/>
      <c r="F360" s="266"/>
      <c r="G360" s="266"/>
      <c r="H360" s="266"/>
      <c r="I360" s="257">
        <f>$D$19*'User Input'!J18</f>
        <v>0</v>
      </c>
      <c r="J360" s="257">
        <f>$D$19*I363</f>
        <v>0</v>
      </c>
      <c r="K360" s="257">
        <f t="shared" ref="K360:X360" si="149">$D$19*J363</f>
        <v>0</v>
      </c>
      <c r="L360" s="257">
        <f t="shared" si="149"/>
        <v>0</v>
      </c>
      <c r="M360" s="257">
        <f t="shared" si="149"/>
        <v>0</v>
      </c>
      <c r="N360" s="257">
        <f t="shared" si="149"/>
        <v>0</v>
      </c>
      <c r="O360" s="257">
        <f t="shared" si="149"/>
        <v>0</v>
      </c>
      <c r="P360" s="257">
        <f t="shared" si="149"/>
        <v>0</v>
      </c>
      <c r="Q360" s="257">
        <f t="shared" si="149"/>
        <v>0</v>
      </c>
      <c r="R360" s="257">
        <f t="shared" si="149"/>
        <v>0</v>
      </c>
      <c r="S360" s="257">
        <f t="shared" si="149"/>
        <v>0</v>
      </c>
      <c r="T360" s="257">
        <f t="shared" si="149"/>
        <v>0</v>
      </c>
      <c r="U360" s="257">
        <f t="shared" si="149"/>
        <v>0</v>
      </c>
      <c r="V360" s="257">
        <f t="shared" si="149"/>
        <v>0</v>
      </c>
      <c r="W360" s="257">
        <f t="shared" si="149"/>
        <v>0</v>
      </c>
      <c r="X360" s="257">
        <f t="shared" si="149"/>
        <v>0</v>
      </c>
      <c r="Y360" s="275"/>
    </row>
    <row r="361" spans="2:25" x14ac:dyDescent="0.2">
      <c r="B361" s="273"/>
      <c r="C361" s="262" t="s">
        <v>185</v>
      </c>
      <c r="D361" s="262"/>
      <c r="E361" s="266"/>
      <c r="F361" s="266"/>
      <c r="G361" s="266"/>
      <c r="H361" s="266"/>
      <c r="I361" s="264">
        <f>D358-I360</f>
        <v>0</v>
      </c>
      <c r="J361" s="264">
        <f>$D$358-J360</f>
        <v>0</v>
      </c>
      <c r="K361" s="264">
        <f t="shared" ref="K361:X361" si="150">$D$358-K360</f>
        <v>0</v>
      </c>
      <c r="L361" s="264">
        <f t="shared" si="150"/>
        <v>0</v>
      </c>
      <c r="M361" s="264">
        <f t="shared" si="150"/>
        <v>0</v>
      </c>
      <c r="N361" s="264">
        <f t="shared" si="150"/>
        <v>0</v>
      </c>
      <c r="O361" s="264">
        <f t="shared" si="150"/>
        <v>0</v>
      </c>
      <c r="P361" s="264">
        <f t="shared" si="150"/>
        <v>0</v>
      </c>
      <c r="Q361" s="264">
        <f t="shared" si="150"/>
        <v>0</v>
      </c>
      <c r="R361" s="264">
        <f t="shared" si="150"/>
        <v>0</v>
      </c>
      <c r="S361" s="264">
        <f t="shared" si="150"/>
        <v>0</v>
      </c>
      <c r="T361" s="264">
        <f t="shared" si="150"/>
        <v>0</v>
      </c>
      <c r="U361" s="264">
        <f t="shared" si="150"/>
        <v>0</v>
      </c>
      <c r="V361" s="264">
        <f t="shared" si="150"/>
        <v>0</v>
      </c>
      <c r="W361" s="264">
        <f t="shared" si="150"/>
        <v>0</v>
      </c>
      <c r="X361" s="264">
        <f t="shared" si="150"/>
        <v>0</v>
      </c>
      <c r="Y361" s="276"/>
    </row>
    <row r="362" spans="2:25" x14ac:dyDescent="0.2">
      <c r="B362" s="273"/>
      <c r="C362" s="174" t="s">
        <v>186</v>
      </c>
      <c r="D362" s="262"/>
      <c r="E362" s="266"/>
      <c r="F362" s="266"/>
      <c r="G362" s="266"/>
      <c r="H362" s="266"/>
      <c r="I362" s="265">
        <f t="shared" ref="I362:X362" si="151">SUM(I360:I361)</f>
        <v>0</v>
      </c>
      <c r="J362" s="265">
        <f t="shared" si="151"/>
        <v>0</v>
      </c>
      <c r="K362" s="265">
        <f t="shared" si="151"/>
        <v>0</v>
      </c>
      <c r="L362" s="265">
        <f t="shared" si="151"/>
        <v>0</v>
      </c>
      <c r="M362" s="265">
        <f t="shared" si="151"/>
        <v>0</v>
      </c>
      <c r="N362" s="265">
        <f t="shared" si="151"/>
        <v>0</v>
      </c>
      <c r="O362" s="265">
        <f t="shared" si="151"/>
        <v>0</v>
      </c>
      <c r="P362" s="265">
        <f t="shared" si="151"/>
        <v>0</v>
      </c>
      <c r="Q362" s="265">
        <f t="shared" si="151"/>
        <v>0</v>
      </c>
      <c r="R362" s="265">
        <f t="shared" si="151"/>
        <v>0</v>
      </c>
      <c r="S362" s="265">
        <f t="shared" si="151"/>
        <v>0</v>
      </c>
      <c r="T362" s="265">
        <f t="shared" si="151"/>
        <v>0</v>
      </c>
      <c r="U362" s="265">
        <f t="shared" si="151"/>
        <v>0</v>
      </c>
      <c r="V362" s="265">
        <f t="shared" si="151"/>
        <v>0</v>
      </c>
      <c r="W362" s="265">
        <f t="shared" si="151"/>
        <v>0</v>
      </c>
      <c r="X362" s="265">
        <f t="shared" si="151"/>
        <v>0</v>
      </c>
      <c r="Y362" s="277"/>
    </row>
    <row r="363" spans="2:25" x14ac:dyDescent="0.2">
      <c r="B363" s="273"/>
      <c r="C363" s="256" t="s">
        <v>183</v>
      </c>
      <c r="D363" s="262"/>
      <c r="E363" s="258"/>
      <c r="F363" s="258"/>
      <c r="G363" s="258"/>
      <c r="H363" s="258"/>
      <c r="I363" s="257">
        <f>'User Input'!J18-I361</f>
        <v>0</v>
      </c>
      <c r="J363" s="257">
        <f>I363-J361</f>
        <v>0</v>
      </c>
      <c r="K363" s="257">
        <f t="shared" ref="K363:X363" si="152">J363-K361</f>
        <v>0</v>
      </c>
      <c r="L363" s="257">
        <f t="shared" si="152"/>
        <v>0</v>
      </c>
      <c r="M363" s="257">
        <f t="shared" si="152"/>
        <v>0</v>
      </c>
      <c r="N363" s="257">
        <f t="shared" si="152"/>
        <v>0</v>
      </c>
      <c r="O363" s="257">
        <f t="shared" si="152"/>
        <v>0</v>
      </c>
      <c r="P363" s="257">
        <f t="shared" si="152"/>
        <v>0</v>
      </c>
      <c r="Q363" s="257">
        <f t="shared" si="152"/>
        <v>0</v>
      </c>
      <c r="R363" s="257">
        <f t="shared" si="152"/>
        <v>0</v>
      </c>
      <c r="S363" s="257">
        <f t="shared" si="152"/>
        <v>0</v>
      </c>
      <c r="T363" s="257">
        <f t="shared" si="152"/>
        <v>0</v>
      </c>
      <c r="U363" s="257">
        <f t="shared" si="152"/>
        <v>0</v>
      </c>
      <c r="V363" s="257">
        <f t="shared" si="152"/>
        <v>0</v>
      </c>
      <c r="W363" s="257">
        <f t="shared" si="152"/>
        <v>0</v>
      </c>
      <c r="X363" s="257">
        <f t="shared" si="152"/>
        <v>0</v>
      </c>
      <c r="Y363" s="275"/>
    </row>
    <row r="364" spans="2:25" x14ac:dyDescent="0.2">
      <c r="B364" s="280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79"/>
    </row>
    <row r="365" spans="2:25" x14ac:dyDescent="0.2">
      <c r="B365" s="402" t="str">
        <f>B150</f>
        <v xml:space="preserve">Option 4: </v>
      </c>
      <c r="C365" s="404"/>
      <c r="D365" s="405"/>
      <c r="E365" s="404"/>
      <c r="F365" s="404"/>
      <c r="G365" s="404"/>
      <c r="H365" s="404"/>
      <c r="I365" s="404"/>
      <c r="J365" s="404"/>
      <c r="K365" s="404"/>
      <c r="L365" s="404"/>
      <c r="M365" s="404"/>
      <c r="N365" s="404"/>
      <c r="O365" s="404"/>
      <c r="P365" s="404"/>
      <c r="Q365" s="404"/>
      <c r="R365" s="404"/>
      <c r="S365" s="404"/>
      <c r="T365" s="404"/>
      <c r="U365" s="404"/>
      <c r="V365" s="404"/>
      <c r="W365" s="404"/>
      <c r="X365" s="404"/>
      <c r="Y365" s="406"/>
    </row>
    <row r="366" spans="2:25" x14ac:dyDescent="0.2">
      <c r="B366" s="273"/>
      <c r="C366" s="262"/>
      <c r="D366" s="262"/>
      <c r="E366" s="262"/>
      <c r="F366" s="262"/>
      <c r="G366" s="262"/>
      <c r="H366" s="262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71"/>
    </row>
    <row r="367" spans="2:25" x14ac:dyDescent="0.2">
      <c r="B367" s="270" t="str">
        <f>C167</f>
        <v>Annualised Cost - capex (2019)</v>
      </c>
      <c r="C367" s="262"/>
      <c r="D367" s="244">
        <f>IF('User Input'!$F$19=0,0,IF('User Input'!$F$315=0,0,ABS(PMT($D$19,'User Input'!$F$315,'User Input'!$F$19))))</f>
        <v>0</v>
      </c>
      <c r="E367" s="262"/>
      <c r="F367" s="262"/>
      <c r="G367" s="262"/>
      <c r="H367" s="262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71"/>
    </row>
    <row r="368" spans="2:25" x14ac:dyDescent="0.2">
      <c r="B368" s="274"/>
      <c r="C368" s="262"/>
      <c r="D368" s="262"/>
      <c r="E368" s="262"/>
      <c r="F368" s="262"/>
      <c r="G368" s="262"/>
      <c r="H368" s="262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71"/>
    </row>
    <row r="369" spans="2:25" x14ac:dyDescent="0.2">
      <c r="B369" s="274"/>
      <c r="C369" s="256" t="s">
        <v>184</v>
      </c>
      <c r="D369" s="255"/>
      <c r="E369" s="257">
        <f>$D$19*'User Input'!F19</f>
        <v>0</v>
      </c>
      <c r="F369" s="257">
        <f>$D$19*E372</f>
        <v>0</v>
      </c>
      <c r="G369" s="257">
        <f t="shared" ref="G369:X369" si="153">$D$19*F372</f>
        <v>0</v>
      </c>
      <c r="H369" s="257">
        <f t="shared" si="153"/>
        <v>0</v>
      </c>
      <c r="I369" s="257">
        <f t="shared" si="153"/>
        <v>0</v>
      </c>
      <c r="J369" s="257">
        <f t="shared" si="153"/>
        <v>0</v>
      </c>
      <c r="K369" s="257">
        <f t="shared" si="153"/>
        <v>0</v>
      </c>
      <c r="L369" s="257">
        <f t="shared" si="153"/>
        <v>0</v>
      </c>
      <c r="M369" s="257">
        <f t="shared" si="153"/>
        <v>0</v>
      </c>
      <c r="N369" s="257">
        <f t="shared" si="153"/>
        <v>0</v>
      </c>
      <c r="O369" s="257">
        <f t="shared" si="153"/>
        <v>0</v>
      </c>
      <c r="P369" s="257">
        <f t="shared" si="153"/>
        <v>0</v>
      </c>
      <c r="Q369" s="257">
        <f t="shared" si="153"/>
        <v>0</v>
      </c>
      <c r="R369" s="257">
        <f t="shared" si="153"/>
        <v>0</v>
      </c>
      <c r="S369" s="257">
        <f t="shared" si="153"/>
        <v>0</v>
      </c>
      <c r="T369" s="257">
        <f t="shared" si="153"/>
        <v>0</v>
      </c>
      <c r="U369" s="257">
        <f t="shared" si="153"/>
        <v>0</v>
      </c>
      <c r="V369" s="257">
        <f t="shared" si="153"/>
        <v>0</v>
      </c>
      <c r="W369" s="257">
        <f t="shared" si="153"/>
        <v>0</v>
      </c>
      <c r="X369" s="257">
        <f t="shared" si="153"/>
        <v>0</v>
      </c>
      <c r="Y369" s="271"/>
    </row>
    <row r="370" spans="2:25" x14ac:dyDescent="0.2">
      <c r="B370" s="274"/>
      <c r="C370" s="262" t="s">
        <v>185</v>
      </c>
      <c r="D370" s="262"/>
      <c r="E370" s="264">
        <f>D367-E369</f>
        <v>0</v>
      </c>
      <c r="F370" s="264">
        <f>$D$367-F369</f>
        <v>0</v>
      </c>
      <c r="G370" s="264">
        <f t="shared" ref="G370:X370" si="154">$D$367-G369</f>
        <v>0</v>
      </c>
      <c r="H370" s="264">
        <f t="shared" si="154"/>
        <v>0</v>
      </c>
      <c r="I370" s="264">
        <f t="shared" si="154"/>
        <v>0</v>
      </c>
      <c r="J370" s="264">
        <f t="shared" si="154"/>
        <v>0</v>
      </c>
      <c r="K370" s="264">
        <f t="shared" si="154"/>
        <v>0</v>
      </c>
      <c r="L370" s="264">
        <f t="shared" si="154"/>
        <v>0</v>
      </c>
      <c r="M370" s="264">
        <f t="shared" si="154"/>
        <v>0</v>
      </c>
      <c r="N370" s="264">
        <f t="shared" si="154"/>
        <v>0</v>
      </c>
      <c r="O370" s="264">
        <f t="shared" si="154"/>
        <v>0</v>
      </c>
      <c r="P370" s="264">
        <f t="shared" si="154"/>
        <v>0</v>
      </c>
      <c r="Q370" s="264">
        <f t="shared" si="154"/>
        <v>0</v>
      </c>
      <c r="R370" s="264">
        <f t="shared" si="154"/>
        <v>0</v>
      </c>
      <c r="S370" s="264">
        <f t="shared" si="154"/>
        <v>0</v>
      </c>
      <c r="T370" s="264">
        <f t="shared" si="154"/>
        <v>0</v>
      </c>
      <c r="U370" s="264">
        <f t="shared" si="154"/>
        <v>0</v>
      </c>
      <c r="V370" s="264">
        <f t="shared" si="154"/>
        <v>0</v>
      </c>
      <c r="W370" s="264">
        <f t="shared" si="154"/>
        <v>0</v>
      </c>
      <c r="X370" s="264">
        <f t="shared" si="154"/>
        <v>0</v>
      </c>
      <c r="Y370" s="271"/>
    </row>
    <row r="371" spans="2:25" x14ac:dyDescent="0.2">
      <c r="B371" s="274"/>
      <c r="C371" s="174" t="s">
        <v>186</v>
      </c>
      <c r="D371" s="174"/>
      <c r="E371" s="265">
        <f t="shared" ref="E371:X371" si="155">SUM(E369:E370)</f>
        <v>0</v>
      </c>
      <c r="F371" s="265">
        <f t="shared" si="155"/>
        <v>0</v>
      </c>
      <c r="G371" s="265">
        <f t="shared" si="155"/>
        <v>0</v>
      </c>
      <c r="H371" s="265">
        <f t="shared" si="155"/>
        <v>0</v>
      </c>
      <c r="I371" s="265">
        <f t="shared" si="155"/>
        <v>0</v>
      </c>
      <c r="J371" s="265">
        <f t="shared" si="155"/>
        <v>0</v>
      </c>
      <c r="K371" s="265">
        <f t="shared" si="155"/>
        <v>0</v>
      </c>
      <c r="L371" s="265">
        <f t="shared" si="155"/>
        <v>0</v>
      </c>
      <c r="M371" s="265">
        <f t="shared" si="155"/>
        <v>0</v>
      </c>
      <c r="N371" s="265">
        <f t="shared" si="155"/>
        <v>0</v>
      </c>
      <c r="O371" s="265">
        <f t="shared" si="155"/>
        <v>0</v>
      </c>
      <c r="P371" s="265">
        <f t="shared" si="155"/>
        <v>0</v>
      </c>
      <c r="Q371" s="265">
        <f t="shared" si="155"/>
        <v>0</v>
      </c>
      <c r="R371" s="265">
        <f t="shared" si="155"/>
        <v>0</v>
      </c>
      <c r="S371" s="265">
        <f t="shared" si="155"/>
        <v>0</v>
      </c>
      <c r="T371" s="265">
        <f t="shared" si="155"/>
        <v>0</v>
      </c>
      <c r="U371" s="265">
        <f t="shared" si="155"/>
        <v>0</v>
      </c>
      <c r="V371" s="265">
        <f t="shared" si="155"/>
        <v>0</v>
      </c>
      <c r="W371" s="265">
        <f t="shared" si="155"/>
        <v>0</v>
      </c>
      <c r="X371" s="265">
        <f t="shared" si="155"/>
        <v>0</v>
      </c>
      <c r="Y371" s="271"/>
    </row>
    <row r="372" spans="2:25" x14ac:dyDescent="0.2">
      <c r="B372" s="274"/>
      <c r="C372" s="256" t="s">
        <v>183</v>
      </c>
      <c r="D372" s="255"/>
      <c r="E372" s="257">
        <f>'User Input'!F19-E370</f>
        <v>0</v>
      </c>
      <c r="F372" s="257">
        <f>E372-F370</f>
        <v>0</v>
      </c>
      <c r="G372" s="257">
        <f t="shared" ref="G372:X372" si="156">F372-G370</f>
        <v>0</v>
      </c>
      <c r="H372" s="257">
        <f t="shared" si="156"/>
        <v>0</v>
      </c>
      <c r="I372" s="257">
        <f t="shared" si="156"/>
        <v>0</v>
      </c>
      <c r="J372" s="257">
        <f t="shared" si="156"/>
        <v>0</v>
      </c>
      <c r="K372" s="257">
        <f t="shared" si="156"/>
        <v>0</v>
      </c>
      <c r="L372" s="257">
        <f t="shared" si="156"/>
        <v>0</v>
      </c>
      <c r="M372" s="257">
        <f t="shared" si="156"/>
        <v>0</v>
      </c>
      <c r="N372" s="257">
        <f t="shared" si="156"/>
        <v>0</v>
      </c>
      <c r="O372" s="257">
        <f t="shared" si="156"/>
        <v>0</v>
      </c>
      <c r="P372" s="257">
        <f t="shared" si="156"/>
        <v>0</v>
      </c>
      <c r="Q372" s="257">
        <f t="shared" si="156"/>
        <v>0</v>
      </c>
      <c r="R372" s="257">
        <f t="shared" si="156"/>
        <v>0</v>
      </c>
      <c r="S372" s="257">
        <f t="shared" si="156"/>
        <v>0</v>
      </c>
      <c r="T372" s="257">
        <f t="shared" si="156"/>
        <v>0</v>
      </c>
      <c r="U372" s="257">
        <f t="shared" si="156"/>
        <v>0</v>
      </c>
      <c r="V372" s="257">
        <f t="shared" si="156"/>
        <v>0</v>
      </c>
      <c r="W372" s="257">
        <f t="shared" si="156"/>
        <v>0</v>
      </c>
      <c r="X372" s="257">
        <f t="shared" si="156"/>
        <v>0</v>
      </c>
      <c r="Y372" s="271"/>
    </row>
    <row r="373" spans="2:25" x14ac:dyDescent="0.2">
      <c r="B373" s="274"/>
      <c r="C373" s="262"/>
      <c r="D373" s="262"/>
      <c r="E373" s="262"/>
      <c r="F373" s="262"/>
      <c r="G373" s="262"/>
      <c r="H373" s="262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71"/>
    </row>
    <row r="374" spans="2:25" x14ac:dyDescent="0.2">
      <c r="B374" s="273" t="str">
        <f>C168</f>
        <v>Annualised Cost - capex (2020)</v>
      </c>
      <c r="C374" s="262"/>
      <c r="D374" s="244">
        <f>IF('User Input'!$G$19=0,0,IF('User Input'!$G$315=0,0,ABS(PMT($D$19,'User Input'!$G$315,'User Input'!$G$19))))</f>
        <v>0</v>
      </c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71"/>
    </row>
    <row r="375" spans="2:25" x14ac:dyDescent="0.2">
      <c r="B375" s="273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71"/>
    </row>
    <row r="376" spans="2:25" x14ac:dyDescent="0.2">
      <c r="B376" s="273"/>
      <c r="C376" s="256" t="s">
        <v>184</v>
      </c>
      <c r="D376" s="262"/>
      <c r="E376" s="266"/>
      <c r="F376" s="257">
        <f>$D$19*'User Input'!G19</f>
        <v>0</v>
      </c>
      <c r="G376" s="257">
        <f>$D$19*F379</f>
        <v>0</v>
      </c>
      <c r="H376" s="257">
        <f t="shared" ref="H376:X376" si="157">$D$19*G379</f>
        <v>0</v>
      </c>
      <c r="I376" s="257">
        <f t="shared" si="157"/>
        <v>0</v>
      </c>
      <c r="J376" s="257">
        <f t="shared" si="157"/>
        <v>0</v>
      </c>
      <c r="K376" s="257">
        <f t="shared" si="157"/>
        <v>0</v>
      </c>
      <c r="L376" s="257">
        <f t="shared" si="157"/>
        <v>0</v>
      </c>
      <c r="M376" s="257">
        <f t="shared" si="157"/>
        <v>0</v>
      </c>
      <c r="N376" s="257">
        <f t="shared" si="157"/>
        <v>0</v>
      </c>
      <c r="O376" s="257">
        <f t="shared" si="157"/>
        <v>0</v>
      </c>
      <c r="P376" s="257">
        <f t="shared" si="157"/>
        <v>0</v>
      </c>
      <c r="Q376" s="257">
        <f t="shared" si="157"/>
        <v>0</v>
      </c>
      <c r="R376" s="257">
        <f t="shared" si="157"/>
        <v>0</v>
      </c>
      <c r="S376" s="257">
        <f t="shared" si="157"/>
        <v>0</v>
      </c>
      <c r="T376" s="257">
        <f t="shared" si="157"/>
        <v>0</v>
      </c>
      <c r="U376" s="257">
        <f t="shared" si="157"/>
        <v>0</v>
      </c>
      <c r="V376" s="257">
        <f t="shared" si="157"/>
        <v>0</v>
      </c>
      <c r="W376" s="257">
        <f t="shared" si="157"/>
        <v>0</v>
      </c>
      <c r="X376" s="257">
        <f t="shared" si="157"/>
        <v>0</v>
      </c>
      <c r="Y376" s="275"/>
    </row>
    <row r="377" spans="2:25" x14ac:dyDescent="0.2">
      <c r="B377" s="273"/>
      <c r="C377" s="262" t="s">
        <v>185</v>
      </c>
      <c r="D377" s="262"/>
      <c r="E377" s="266"/>
      <c r="F377" s="264">
        <f>D374-F376</f>
        <v>0</v>
      </c>
      <c r="G377" s="264">
        <f>$D$374-G376</f>
        <v>0</v>
      </c>
      <c r="H377" s="264">
        <f t="shared" ref="H377:X377" si="158">$D$374-H376</f>
        <v>0</v>
      </c>
      <c r="I377" s="264">
        <f t="shared" si="158"/>
        <v>0</v>
      </c>
      <c r="J377" s="264">
        <f t="shared" si="158"/>
        <v>0</v>
      </c>
      <c r="K377" s="264">
        <f t="shared" si="158"/>
        <v>0</v>
      </c>
      <c r="L377" s="264">
        <f t="shared" si="158"/>
        <v>0</v>
      </c>
      <c r="M377" s="264">
        <f t="shared" si="158"/>
        <v>0</v>
      </c>
      <c r="N377" s="264">
        <f t="shared" si="158"/>
        <v>0</v>
      </c>
      <c r="O377" s="264">
        <f t="shared" si="158"/>
        <v>0</v>
      </c>
      <c r="P377" s="264">
        <f t="shared" si="158"/>
        <v>0</v>
      </c>
      <c r="Q377" s="264">
        <f t="shared" si="158"/>
        <v>0</v>
      </c>
      <c r="R377" s="264">
        <f t="shared" si="158"/>
        <v>0</v>
      </c>
      <c r="S377" s="264">
        <f t="shared" si="158"/>
        <v>0</v>
      </c>
      <c r="T377" s="264">
        <f t="shared" si="158"/>
        <v>0</v>
      </c>
      <c r="U377" s="264">
        <f t="shared" si="158"/>
        <v>0</v>
      </c>
      <c r="V377" s="264">
        <f t="shared" si="158"/>
        <v>0</v>
      </c>
      <c r="W377" s="264">
        <f t="shared" si="158"/>
        <v>0</v>
      </c>
      <c r="X377" s="264">
        <f t="shared" si="158"/>
        <v>0</v>
      </c>
      <c r="Y377" s="276"/>
    </row>
    <row r="378" spans="2:25" x14ac:dyDescent="0.2">
      <c r="B378" s="273"/>
      <c r="C378" s="174" t="s">
        <v>186</v>
      </c>
      <c r="D378" s="262"/>
      <c r="E378" s="266"/>
      <c r="F378" s="265">
        <f t="shared" ref="F378:X378" si="159">SUM(F376:F377)</f>
        <v>0</v>
      </c>
      <c r="G378" s="265">
        <f t="shared" si="159"/>
        <v>0</v>
      </c>
      <c r="H378" s="265">
        <f t="shared" si="159"/>
        <v>0</v>
      </c>
      <c r="I378" s="265">
        <f t="shared" si="159"/>
        <v>0</v>
      </c>
      <c r="J378" s="265">
        <f t="shared" si="159"/>
        <v>0</v>
      </c>
      <c r="K378" s="265">
        <f t="shared" si="159"/>
        <v>0</v>
      </c>
      <c r="L378" s="265">
        <f t="shared" si="159"/>
        <v>0</v>
      </c>
      <c r="M378" s="265">
        <f t="shared" si="159"/>
        <v>0</v>
      </c>
      <c r="N378" s="265">
        <f t="shared" si="159"/>
        <v>0</v>
      </c>
      <c r="O378" s="265">
        <f t="shared" si="159"/>
        <v>0</v>
      </c>
      <c r="P378" s="265">
        <f t="shared" si="159"/>
        <v>0</v>
      </c>
      <c r="Q378" s="265">
        <f t="shared" si="159"/>
        <v>0</v>
      </c>
      <c r="R378" s="265">
        <f t="shared" si="159"/>
        <v>0</v>
      </c>
      <c r="S378" s="265">
        <f t="shared" si="159"/>
        <v>0</v>
      </c>
      <c r="T378" s="265">
        <f t="shared" si="159"/>
        <v>0</v>
      </c>
      <c r="U378" s="265">
        <f t="shared" si="159"/>
        <v>0</v>
      </c>
      <c r="V378" s="265">
        <f t="shared" si="159"/>
        <v>0</v>
      </c>
      <c r="W378" s="265">
        <f t="shared" si="159"/>
        <v>0</v>
      </c>
      <c r="X378" s="265">
        <f t="shared" si="159"/>
        <v>0</v>
      </c>
      <c r="Y378" s="277"/>
    </row>
    <row r="379" spans="2:25" x14ac:dyDescent="0.2">
      <c r="B379" s="273"/>
      <c r="C379" s="256" t="s">
        <v>183</v>
      </c>
      <c r="D379" s="262"/>
      <c r="E379" s="258"/>
      <c r="F379" s="257">
        <f>'User Input'!G19-F377</f>
        <v>0</v>
      </c>
      <c r="G379" s="257">
        <f>F379-G377</f>
        <v>0</v>
      </c>
      <c r="H379" s="257">
        <f t="shared" ref="H379:X379" si="160">G379-H377</f>
        <v>0</v>
      </c>
      <c r="I379" s="257">
        <f t="shared" si="160"/>
        <v>0</v>
      </c>
      <c r="J379" s="257">
        <f t="shared" si="160"/>
        <v>0</v>
      </c>
      <c r="K379" s="257">
        <f t="shared" si="160"/>
        <v>0</v>
      </c>
      <c r="L379" s="257">
        <f t="shared" si="160"/>
        <v>0</v>
      </c>
      <c r="M379" s="257">
        <f t="shared" si="160"/>
        <v>0</v>
      </c>
      <c r="N379" s="257">
        <f t="shared" si="160"/>
        <v>0</v>
      </c>
      <c r="O379" s="257">
        <f t="shared" si="160"/>
        <v>0</v>
      </c>
      <c r="P379" s="257">
        <f t="shared" si="160"/>
        <v>0</v>
      </c>
      <c r="Q379" s="257">
        <f t="shared" si="160"/>
        <v>0</v>
      </c>
      <c r="R379" s="257">
        <f t="shared" si="160"/>
        <v>0</v>
      </c>
      <c r="S379" s="257">
        <f t="shared" si="160"/>
        <v>0</v>
      </c>
      <c r="T379" s="257">
        <f t="shared" si="160"/>
        <v>0</v>
      </c>
      <c r="U379" s="257">
        <f t="shared" si="160"/>
        <v>0</v>
      </c>
      <c r="V379" s="257">
        <f t="shared" si="160"/>
        <v>0</v>
      </c>
      <c r="W379" s="257">
        <f t="shared" si="160"/>
        <v>0</v>
      </c>
      <c r="X379" s="257">
        <f t="shared" si="160"/>
        <v>0</v>
      </c>
      <c r="Y379" s="275"/>
    </row>
    <row r="380" spans="2:25" x14ac:dyDescent="0.2">
      <c r="B380" s="273"/>
      <c r="C380" s="262"/>
      <c r="D380" s="262"/>
      <c r="E380" s="262"/>
      <c r="F380" s="262"/>
      <c r="G380" s="262"/>
      <c r="H380" s="262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71"/>
    </row>
    <row r="381" spans="2:25" x14ac:dyDescent="0.2">
      <c r="B381" s="273" t="str">
        <f>C169</f>
        <v>Annualised Cost - capex (2021)</v>
      </c>
      <c r="C381" s="262"/>
      <c r="D381" s="244">
        <f>IF('User Input'!$H$19=0,0,IF('User Input'!$H$315=0,0,ABS(PMT($D$19,'User Input'!$H$315,'User Input'!$H$19))))</f>
        <v>0</v>
      </c>
      <c r="E381" s="262"/>
      <c r="F381" s="262"/>
      <c r="G381" s="262"/>
      <c r="H381" s="262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71"/>
    </row>
    <row r="382" spans="2:25" x14ac:dyDescent="0.2">
      <c r="B382" s="273"/>
      <c r="C382" s="262"/>
      <c r="D382" s="262"/>
      <c r="E382" s="262"/>
      <c r="F382" s="262"/>
      <c r="G382" s="262"/>
      <c r="H382" s="262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71"/>
    </row>
    <row r="383" spans="2:25" x14ac:dyDescent="0.2">
      <c r="B383" s="273"/>
      <c r="C383" s="256" t="s">
        <v>184</v>
      </c>
      <c r="D383" s="262"/>
      <c r="E383" s="266"/>
      <c r="F383" s="266"/>
      <c r="G383" s="257">
        <f>$D$19*'User Input'!H19</f>
        <v>0</v>
      </c>
      <c r="H383" s="257">
        <f>$D$19*G386</f>
        <v>0</v>
      </c>
      <c r="I383" s="257">
        <f t="shared" ref="I383:X383" si="161">$D$19*H386</f>
        <v>0</v>
      </c>
      <c r="J383" s="257">
        <f t="shared" si="161"/>
        <v>0</v>
      </c>
      <c r="K383" s="257">
        <f t="shared" si="161"/>
        <v>0</v>
      </c>
      <c r="L383" s="257">
        <f t="shared" si="161"/>
        <v>0</v>
      </c>
      <c r="M383" s="257">
        <f t="shared" si="161"/>
        <v>0</v>
      </c>
      <c r="N383" s="257">
        <f t="shared" si="161"/>
        <v>0</v>
      </c>
      <c r="O383" s="257">
        <f t="shared" si="161"/>
        <v>0</v>
      </c>
      <c r="P383" s="257">
        <f t="shared" si="161"/>
        <v>0</v>
      </c>
      <c r="Q383" s="257">
        <f t="shared" si="161"/>
        <v>0</v>
      </c>
      <c r="R383" s="257">
        <f t="shared" si="161"/>
        <v>0</v>
      </c>
      <c r="S383" s="257">
        <f t="shared" si="161"/>
        <v>0</v>
      </c>
      <c r="T383" s="257">
        <f t="shared" si="161"/>
        <v>0</v>
      </c>
      <c r="U383" s="257">
        <f t="shared" si="161"/>
        <v>0</v>
      </c>
      <c r="V383" s="257">
        <f t="shared" si="161"/>
        <v>0</v>
      </c>
      <c r="W383" s="257">
        <f t="shared" si="161"/>
        <v>0</v>
      </c>
      <c r="X383" s="257">
        <f t="shared" si="161"/>
        <v>0</v>
      </c>
      <c r="Y383" s="275"/>
    </row>
    <row r="384" spans="2:25" x14ac:dyDescent="0.2">
      <c r="B384" s="273"/>
      <c r="C384" s="262" t="s">
        <v>185</v>
      </c>
      <c r="D384" s="262"/>
      <c r="E384" s="266"/>
      <c r="F384" s="266"/>
      <c r="G384" s="264">
        <f>D381-G383</f>
        <v>0</v>
      </c>
      <c r="H384" s="264">
        <f>$D$381-H383</f>
        <v>0</v>
      </c>
      <c r="I384" s="264">
        <f t="shared" ref="I384:X384" si="162">$D$381-I383</f>
        <v>0</v>
      </c>
      <c r="J384" s="264">
        <f t="shared" si="162"/>
        <v>0</v>
      </c>
      <c r="K384" s="264">
        <f t="shared" si="162"/>
        <v>0</v>
      </c>
      <c r="L384" s="264">
        <f t="shared" si="162"/>
        <v>0</v>
      </c>
      <c r="M384" s="264">
        <f t="shared" si="162"/>
        <v>0</v>
      </c>
      <c r="N384" s="264">
        <f t="shared" si="162"/>
        <v>0</v>
      </c>
      <c r="O384" s="264">
        <f t="shared" si="162"/>
        <v>0</v>
      </c>
      <c r="P384" s="264">
        <f t="shared" si="162"/>
        <v>0</v>
      </c>
      <c r="Q384" s="264">
        <f t="shared" si="162"/>
        <v>0</v>
      </c>
      <c r="R384" s="264">
        <f t="shared" si="162"/>
        <v>0</v>
      </c>
      <c r="S384" s="264">
        <f t="shared" si="162"/>
        <v>0</v>
      </c>
      <c r="T384" s="264">
        <f t="shared" si="162"/>
        <v>0</v>
      </c>
      <c r="U384" s="264">
        <f t="shared" si="162"/>
        <v>0</v>
      </c>
      <c r="V384" s="264">
        <f t="shared" si="162"/>
        <v>0</v>
      </c>
      <c r="W384" s="264">
        <f t="shared" si="162"/>
        <v>0</v>
      </c>
      <c r="X384" s="264">
        <f t="shared" si="162"/>
        <v>0</v>
      </c>
      <c r="Y384" s="276"/>
    </row>
    <row r="385" spans="2:25" x14ac:dyDescent="0.2">
      <c r="B385" s="273"/>
      <c r="C385" s="174" t="s">
        <v>186</v>
      </c>
      <c r="D385" s="262"/>
      <c r="E385" s="266"/>
      <c r="F385" s="266"/>
      <c r="G385" s="265">
        <f t="shared" ref="G385:X385" si="163">SUM(G383:G384)</f>
        <v>0</v>
      </c>
      <c r="H385" s="265">
        <f t="shared" si="163"/>
        <v>0</v>
      </c>
      <c r="I385" s="265">
        <f t="shared" si="163"/>
        <v>0</v>
      </c>
      <c r="J385" s="265">
        <f t="shared" si="163"/>
        <v>0</v>
      </c>
      <c r="K385" s="265">
        <f t="shared" si="163"/>
        <v>0</v>
      </c>
      <c r="L385" s="265">
        <f t="shared" si="163"/>
        <v>0</v>
      </c>
      <c r="M385" s="265">
        <f t="shared" si="163"/>
        <v>0</v>
      </c>
      <c r="N385" s="265">
        <f t="shared" si="163"/>
        <v>0</v>
      </c>
      <c r="O385" s="265">
        <f t="shared" si="163"/>
        <v>0</v>
      </c>
      <c r="P385" s="265">
        <f t="shared" si="163"/>
        <v>0</v>
      </c>
      <c r="Q385" s="265">
        <f t="shared" si="163"/>
        <v>0</v>
      </c>
      <c r="R385" s="265">
        <f t="shared" si="163"/>
        <v>0</v>
      </c>
      <c r="S385" s="265">
        <f t="shared" si="163"/>
        <v>0</v>
      </c>
      <c r="T385" s="265">
        <f t="shared" si="163"/>
        <v>0</v>
      </c>
      <c r="U385" s="265">
        <f t="shared" si="163"/>
        <v>0</v>
      </c>
      <c r="V385" s="265">
        <f t="shared" si="163"/>
        <v>0</v>
      </c>
      <c r="W385" s="265">
        <f t="shared" si="163"/>
        <v>0</v>
      </c>
      <c r="X385" s="265">
        <f t="shared" si="163"/>
        <v>0</v>
      </c>
      <c r="Y385" s="277"/>
    </row>
    <row r="386" spans="2:25" x14ac:dyDescent="0.2">
      <c r="B386" s="273"/>
      <c r="C386" s="256" t="s">
        <v>183</v>
      </c>
      <c r="D386" s="262"/>
      <c r="E386" s="258"/>
      <c r="F386" s="258"/>
      <c r="G386" s="257">
        <f>'User Input'!H19-G384</f>
        <v>0</v>
      </c>
      <c r="H386" s="257">
        <f>G386-H384</f>
        <v>0</v>
      </c>
      <c r="I386" s="257">
        <f t="shared" ref="I386:X386" si="164">H386-I384</f>
        <v>0</v>
      </c>
      <c r="J386" s="257">
        <f t="shared" si="164"/>
        <v>0</v>
      </c>
      <c r="K386" s="257">
        <f t="shared" si="164"/>
        <v>0</v>
      </c>
      <c r="L386" s="257">
        <f t="shared" si="164"/>
        <v>0</v>
      </c>
      <c r="M386" s="257">
        <f t="shared" si="164"/>
        <v>0</v>
      </c>
      <c r="N386" s="257">
        <f t="shared" si="164"/>
        <v>0</v>
      </c>
      <c r="O386" s="257">
        <f t="shared" si="164"/>
        <v>0</v>
      </c>
      <c r="P386" s="257">
        <f t="shared" si="164"/>
        <v>0</v>
      </c>
      <c r="Q386" s="257">
        <f t="shared" si="164"/>
        <v>0</v>
      </c>
      <c r="R386" s="257">
        <f t="shared" si="164"/>
        <v>0</v>
      </c>
      <c r="S386" s="257">
        <f t="shared" si="164"/>
        <v>0</v>
      </c>
      <c r="T386" s="257">
        <f t="shared" si="164"/>
        <v>0</v>
      </c>
      <c r="U386" s="257">
        <f t="shared" si="164"/>
        <v>0</v>
      </c>
      <c r="V386" s="257">
        <f t="shared" si="164"/>
        <v>0</v>
      </c>
      <c r="W386" s="257">
        <f t="shared" si="164"/>
        <v>0</v>
      </c>
      <c r="X386" s="257">
        <f t="shared" si="164"/>
        <v>0</v>
      </c>
      <c r="Y386" s="275"/>
    </row>
    <row r="387" spans="2:25" x14ac:dyDescent="0.2">
      <c r="B387" s="273"/>
      <c r="C387" s="262"/>
      <c r="D387" s="262"/>
      <c r="E387" s="262"/>
      <c r="F387" s="262"/>
      <c r="G387" s="262"/>
      <c r="H387" s="262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71"/>
    </row>
    <row r="388" spans="2:25" x14ac:dyDescent="0.2">
      <c r="B388" s="273" t="str">
        <f>C170</f>
        <v>Annualised Cost - capex (2022)</v>
      </c>
      <c r="C388" s="262"/>
      <c r="D388" s="244">
        <f>IF('User Input'!$I$19=0,0,IF('User Input'!$I$315=0,0,ABS(PMT($D$19,'User Input'!$I$315,'User Input'!$I$19))))</f>
        <v>0</v>
      </c>
      <c r="E388" s="262"/>
      <c r="F388" s="262"/>
      <c r="G388" s="262"/>
      <c r="H388" s="262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71"/>
    </row>
    <row r="389" spans="2:25" x14ac:dyDescent="0.2">
      <c r="B389" s="273"/>
      <c r="C389" s="262"/>
      <c r="D389" s="262"/>
      <c r="E389" s="262"/>
      <c r="F389" s="262"/>
      <c r="G389" s="262"/>
      <c r="H389" s="262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71"/>
    </row>
    <row r="390" spans="2:25" x14ac:dyDescent="0.2">
      <c r="B390" s="273"/>
      <c r="C390" s="256" t="s">
        <v>184</v>
      </c>
      <c r="D390" s="262"/>
      <c r="E390" s="266"/>
      <c r="F390" s="266"/>
      <c r="G390" s="266"/>
      <c r="H390" s="257">
        <f>D19*'User Input'!I19</f>
        <v>0</v>
      </c>
      <c r="I390" s="257">
        <f>$D$19*H393</f>
        <v>0</v>
      </c>
      <c r="J390" s="257">
        <f t="shared" ref="J390:X390" si="165">$D$19*I393</f>
        <v>0</v>
      </c>
      <c r="K390" s="257">
        <f t="shared" si="165"/>
        <v>0</v>
      </c>
      <c r="L390" s="257">
        <f t="shared" si="165"/>
        <v>0</v>
      </c>
      <c r="M390" s="257">
        <f t="shared" si="165"/>
        <v>0</v>
      </c>
      <c r="N390" s="257">
        <f t="shared" si="165"/>
        <v>0</v>
      </c>
      <c r="O390" s="257">
        <f t="shared" si="165"/>
        <v>0</v>
      </c>
      <c r="P390" s="257">
        <f t="shared" si="165"/>
        <v>0</v>
      </c>
      <c r="Q390" s="257">
        <f t="shared" si="165"/>
        <v>0</v>
      </c>
      <c r="R390" s="257">
        <f t="shared" si="165"/>
        <v>0</v>
      </c>
      <c r="S390" s="257">
        <f t="shared" si="165"/>
        <v>0</v>
      </c>
      <c r="T390" s="257">
        <f t="shared" si="165"/>
        <v>0</v>
      </c>
      <c r="U390" s="257">
        <f t="shared" si="165"/>
        <v>0</v>
      </c>
      <c r="V390" s="257">
        <f t="shared" si="165"/>
        <v>0</v>
      </c>
      <c r="W390" s="257">
        <f t="shared" si="165"/>
        <v>0</v>
      </c>
      <c r="X390" s="257">
        <f t="shared" si="165"/>
        <v>0</v>
      </c>
      <c r="Y390" s="275"/>
    </row>
    <row r="391" spans="2:25" x14ac:dyDescent="0.2">
      <c r="B391" s="273"/>
      <c r="C391" s="262" t="s">
        <v>185</v>
      </c>
      <c r="D391" s="262"/>
      <c r="E391" s="266"/>
      <c r="F391" s="266"/>
      <c r="G391" s="266"/>
      <c r="H391" s="264">
        <f>$D$388-H390</f>
        <v>0</v>
      </c>
      <c r="I391" s="264">
        <f>$D$388-I390</f>
        <v>0</v>
      </c>
      <c r="J391" s="264">
        <f t="shared" ref="J391:X391" si="166">$D$388-J390</f>
        <v>0</v>
      </c>
      <c r="K391" s="264">
        <f t="shared" si="166"/>
        <v>0</v>
      </c>
      <c r="L391" s="264">
        <f t="shared" si="166"/>
        <v>0</v>
      </c>
      <c r="M391" s="264">
        <f t="shared" si="166"/>
        <v>0</v>
      </c>
      <c r="N391" s="264">
        <f t="shared" si="166"/>
        <v>0</v>
      </c>
      <c r="O391" s="264">
        <f t="shared" si="166"/>
        <v>0</v>
      </c>
      <c r="P391" s="264">
        <f t="shared" si="166"/>
        <v>0</v>
      </c>
      <c r="Q391" s="264">
        <f t="shared" si="166"/>
        <v>0</v>
      </c>
      <c r="R391" s="264">
        <f t="shared" si="166"/>
        <v>0</v>
      </c>
      <c r="S391" s="264">
        <f t="shared" si="166"/>
        <v>0</v>
      </c>
      <c r="T391" s="264">
        <f t="shared" si="166"/>
        <v>0</v>
      </c>
      <c r="U391" s="264">
        <f t="shared" si="166"/>
        <v>0</v>
      </c>
      <c r="V391" s="264">
        <f t="shared" si="166"/>
        <v>0</v>
      </c>
      <c r="W391" s="264">
        <f t="shared" si="166"/>
        <v>0</v>
      </c>
      <c r="X391" s="264">
        <f t="shared" si="166"/>
        <v>0</v>
      </c>
      <c r="Y391" s="276"/>
    </row>
    <row r="392" spans="2:25" x14ac:dyDescent="0.2">
      <c r="B392" s="273"/>
      <c r="C392" s="174" t="s">
        <v>186</v>
      </c>
      <c r="D392" s="262"/>
      <c r="E392" s="266"/>
      <c r="F392" s="266"/>
      <c r="G392" s="266"/>
      <c r="H392" s="265">
        <f t="shared" ref="H392:X392" si="167">SUM(H390:H391)</f>
        <v>0</v>
      </c>
      <c r="I392" s="265">
        <f t="shared" si="167"/>
        <v>0</v>
      </c>
      <c r="J392" s="265">
        <f t="shared" si="167"/>
        <v>0</v>
      </c>
      <c r="K392" s="265">
        <f t="shared" si="167"/>
        <v>0</v>
      </c>
      <c r="L392" s="265">
        <f t="shared" si="167"/>
        <v>0</v>
      </c>
      <c r="M392" s="265">
        <f t="shared" si="167"/>
        <v>0</v>
      </c>
      <c r="N392" s="265">
        <f t="shared" si="167"/>
        <v>0</v>
      </c>
      <c r="O392" s="265">
        <f t="shared" si="167"/>
        <v>0</v>
      </c>
      <c r="P392" s="265">
        <f t="shared" si="167"/>
        <v>0</v>
      </c>
      <c r="Q392" s="265">
        <f t="shared" si="167"/>
        <v>0</v>
      </c>
      <c r="R392" s="265">
        <f t="shared" si="167"/>
        <v>0</v>
      </c>
      <c r="S392" s="265">
        <f t="shared" si="167"/>
        <v>0</v>
      </c>
      <c r="T392" s="265">
        <f t="shared" si="167"/>
        <v>0</v>
      </c>
      <c r="U392" s="265">
        <f t="shared" si="167"/>
        <v>0</v>
      </c>
      <c r="V392" s="265">
        <f t="shared" si="167"/>
        <v>0</v>
      </c>
      <c r="W392" s="265">
        <f t="shared" si="167"/>
        <v>0</v>
      </c>
      <c r="X392" s="265">
        <f t="shared" si="167"/>
        <v>0</v>
      </c>
      <c r="Y392" s="277"/>
    </row>
    <row r="393" spans="2:25" x14ac:dyDescent="0.2">
      <c r="B393" s="273"/>
      <c r="C393" s="256" t="s">
        <v>183</v>
      </c>
      <c r="D393" s="262"/>
      <c r="E393" s="258"/>
      <c r="F393" s="258"/>
      <c r="G393" s="258"/>
      <c r="H393" s="257">
        <f>'User Input'!I19-H391</f>
        <v>0</v>
      </c>
      <c r="I393" s="257">
        <f>H393-I391</f>
        <v>0</v>
      </c>
      <c r="J393" s="257">
        <f t="shared" ref="J393:X393" si="168">I393-J391</f>
        <v>0</v>
      </c>
      <c r="K393" s="257">
        <f t="shared" si="168"/>
        <v>0</v>
      </c>
      <c r="L393" s="257">
        <f t="shared" si="168"/>
        <v>0</v>
      </c>
      <c r="M393" s="257">
        <f t="shared" si="168"/>
        <v>0</v>
      </c>
      <c r="N393" s="257">
        <f t="shared" si="168"/>
        <v>0</v>
      </c>
      <c r="O393" s="257">
        <f t="shared" si="168"/>
        <v>0</v>
      </c>
      <c r="P393" s="257">
        <f t="shared" si="168"/>
        <v>0</v>
      </c>
      <c r="Q393" s="257">
        <f t="shared" si="168"/>
        <v>0</v>
      </c>
      <c r="R393" s="257">
        <f t="shared" si="168"/>
        <v>0</v>
      </c>
      <c r="S393" s="257">
        <f t="shared" si="168"/>
        <v>0</v>
      </c>
      <c r="T393" s="257">
        <f t="shared" si="168"/>
        <v>0</v>
      </c>
      <c r="U393" s="257">
        <f t="shared" si="168"/>
        <v>0</v>
      </c>
      <c r="V393" s="257">
        <f t="shared" si="168"/>
        <v>0</v>
      </c>
      <c r="W393" s="257">
        <f t="shared" si="168"/>
        <v>0</v>
      </c>
      <c r="X393" s="257">
        <f t="shared" si="168"/>
        <v>0</v>
      </c>
      <c r="Y393" s="275"/>
    </row>
    <row r="394" spans="2:25" x14ac:dyDescent="0.2">
      <c r="B394" s="270"/>
      <c r="C394" s="262"/>
      <c r="D394" s="262"/>
      <c r="E394" s="262"/>
      <c r="F394" s="262"/>
      <c r="G394" s="262"/>
      <c r="H394" s="262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71"/>
    </row>
    <row r="395" spans="2:25" x14ac:dyDescent="0.2">
      <c r="B395" s="273" t="str">
        <f>C171</f>
        <v>Annualised Cost - capex (2023)</v>
      </c>
      <c r="C395" s="262"/>
      <c r="D395" s="244">
        <f>IF('User Input'!$J$19=0,0,IF('User Input'!$J$315=0,0,ABS(PMT($D$19,'User Input'!$J$315,'User Input'!$J$19))))</f>
        <v>0</v>
      </c>
      <c r="E395" s="262"/>
      <c r="F395" s="262"/>
      <c r="G395" s="262"/>
      <c r="H395" s="262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71"/>
    </row>
    <row r="396" spans="2:25" x14ac:dyDescent="0.2">
      <c r="B396" s="273"/>
      <c r="C396" s="262"/>
      <c r="D396" s="244"/>
      <c r="E396" s="262"/>
      <c r="F396" s="262"/>
      <c r="G396" s="262"/>
      <c r="H396" s="262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71"/>
    </row>
    <row r="397" spans="2:25" x14ac:dyDescent="0.2">
      <c r="B397" s="273"/>
      <c r="C397" s="256" t="s">
        <v>184</v>
      </c>
      <c r="D397" s="262"/>
      <c r="E397" s="266"/>
      <c r="F397" s="266"/>
      <c r="G397" s="266"/>
      <c r="H397" s="266"/>
      <c r="I397" s="257">
        <f>$D$19*'User Input'!J19</f>
        <v>0</v>
      </c>
      <c r="J397" s="257">
        <f>$D$19*I400</f>
        <v>0</v>
      </c>
      <c r="K397" s="257">
        <f t="shared" ref="K397:X397" si="169">$D$19*J400</f>
        <v>0</v>
      </c>
      <c r="L397" s="257">
        <f t="shared" si="169"/>
        <v>0</v>
      </c>
      <c r="M397" s="257">
        <f t="shared" si="169"/>
        <v>0</v>
      </c>
      <c r="N397" s="257">
        <f t="shared" si="169"/>
        <v>0</v>
      </c>
      <c r="O397" s="257">
        <f t="shared" si="169"/>
        <v>0</v>
      </c>
      <c r="P397" s="257">
        <f t="shared" si="169"/>
        <v>0</v>
      </c>
      <c r="Q397" s="257">
        <f t="shared" si="169"/>
        <v>0</v>
      </c>
      <c r="R397" s="257">
        <f t="shared" si="169"/>
        <v>0</v>
      </c>
      <c r="S397" s="257">
        <f t="shared" si="169"/>
        <v>0</v>
      </c>
      <c r="T397" s="257">
        <f t="shared" si="169"/>
        <v>0</v>
      </c>
      <c r="U397" s="257">
        <f t="shared" si="169"/>
        <v>0</v>
      </c>
      <c r="V397" s="257">
        <f t="shared" si="169"/>
        <v>0</v>
      </c>
      <c r="W397" s="257">
        <f t="shared" si="169"/>
        <v>0</v>
      </c>
      <c r="X397" s="257">
        <f t="shared" si="169"/>
        <v>0</v>
      </c>
      <c r="Y397" s="275"/>
    </row>
    <row r="398" spans="2:25" x14ac:dyDescent="0.2">
      <c r="B398" s="273"/>
      <c r="C398" s="262" t="s">
        <v>185</v>
      </c>
      <c r="D398" s="262"/>
      <c r="E398" s="266"/>
      <c r="F398" s="266"/>
      <c r="G398" s="266"/>
      <c r="H398" s="266"/>
      <c r="I398" s="264">
        <f>D395-I397</f>
        <v>0</v>
      </c>
      <c r="J398" s="264">
        <f>$D$395-J397</f>
        <v>0</v>
      </c>
      <c r="K398" s="264">
        <f t="shared" ref="K398:X398" si="170">$D$395-K397</f>
        <v>0</v>
      </c>
      <c r="L398" s="264">
        <f t="shared" si="170"/>
        <v>0</v>
      </c>
      <c r="M398" s="264">
        <f t="shared" si="170"/>
        <v>0</v>
      </c>
      <c r="N398" s="264">
        <f t="shared" si="170"/>
        <v>0</v>
      </c>
      <c r="O398" s="264">
        <f t="shared" si="170"/>
        <v>0</v>
      </c>
      <c r="P398" s="264">
        <f t="shared" si="170"/>
        <v>0</v>
      </c>
      <c r="Q398" s="264">
        <f t="shared" si="170"/>
        <v>0</v>
      </c>
      <c r="R398" s="264">
        <f t="shared" si="170"/>
        <v>0</v>
      </c>
      <c r="S398" s="264">
        <f t="shared" si="170"/>
        <v>0</v>
      </c>
      <c r="T398" s="264">
        <f t="shared" si="170"/>
        <v>0</v>
      </c>
      <c r="U398" s="264">
        <f t="shared" si="170"/>
        <v>0</v>
      </c>
      <c r="V398" s="264">
        <f t="shared" si="170"/>
        <v>0</v>
      </c>
      <c r="W398" s="264">
        <f t="shared" si="170"/>
        <v>0</v>
      </c>
      <c r="X398" s="264">
        <f t="shared" si="170"/>
        <v>0</v>
      </c>
      <c r="Y398" s="276"/>
    </row>
    <row r="399" spans="2:25" x14ac:dyDescent="0.2">
      <c r="B399" s="273"/>
      <c r="C399" s="174" t="s">
        <v>186</v>
      </c>
      <c r="D399" s="262"/>
      <c r="E399" s="266"/>
      <c r="F399" s="266"/>
      <c r="G399" s="266"/>
      <c r="H399" s="266"/>
      <c r="I399" s="265">
        <f t="shared" ref="I399:X399" si="171">SUM(I397:I398)</f>
        <v>0</v>
      </c>
      <c r="J399" s="265">
        <f t="shared" si="171"/>
        <v>0</v>
      </c>
      <c r="K399" s="265">
        <f t="shared" si="171"/>
        <v>0</v>
      </c>
      <c r="L399" s="265">
        <f t="shared" si="171"/>
        <v>0</v>
      </c>
      <c r="M399" s="265">
        <f t="shared" si="171"/>
        <v>0</v>
      </c>
      <c r="N399" s="265">
        <f t="shared" si="171"/>
        <v>0</v>
      </c>
      <c r="O399" s="265">
        <f t="shared" si="171"/>
        <v>0</v>
      </c>
      <c r="P399" s="265">
        <f t="shared" si="171"/>
        <v>0</v>
      </c>
      <c r="Q399" s="265">
        <f t="shared" si="171"/>
        <v>0</v>
      </c>
      <c r="R399" s="265">
        <f t="shared" si="171"/>
        <v>0</v>
      </c>
      <c r="S399" s="265">
        <f t="shared" si="171"/>
        <v>0</v>
      </c>
      <c r="T399" s="265">
        <f t="shared" si="171"/>
        <v>0</v>
      </c>
      <c r="U399" s="265">
        <f t="shared" si="171"/>
        <v>0</v>
      </c>
      <c r="V399" s="265">
        <f t="shared" si="171"/>
        <v>0</v>
      </c>
      <c r="W399" s="265">
        <f t="shared" si="171"/>
        <v>0</v>
      </c>
      <c r="X399" s="265">
        <f t="shared" si="171"/>
        <v>0</v>
      </c>
      <c r="Y399" s="277"/>
    </row>
    <row r="400" spans="2:25" x14ac:dyDescent="0.2">
      <c r="B400" s="273"/>
      <c r="C400" s="256" t="s">
        <v>183</v>
      </c>
      <c r="D400" s="262"/>
      <c r="E400" s="258"/>
      <c r="F400" s="258"/>
      <c r="G400" s="258"/>
      <c r="H400" s="258"/>
      <c r="I400" s="257">
        <f>'User Input'!J19-I398</f>
        <v>0</v>
      </c>
      <c r="J400" s="257">
        <f>I400-J398</f>
        <v>0</v>
      </c>
      <c r="K400" s="257">
        <f t="shared" ref="K400:X400" si="172">J400-K398</f>
        <v>0</v>
      </c>
      <c r="L400" s="257">
        <f t="shared" si="172"/>
        <v>0</v>
      </c>
      <c r="M400" s="257">
        <f t="shared" si="172"/>
        <v>0</v>
      </c>
      <c r="N400" s="257">
        <f t="shared" si="172"/>
        <v>0</v>
      </c>
      <c r="O400" s="257">
        <f t="shared" si="172"/>
        <v>0</v>
      </c>
      <c r="P400" s="257">
        <f t="shared" si="172"/>
        <v>0</v>
      </c>
      <c r="Q400" s="257">
        <f t="shared" si="172"/>
        <v>0</v>
      </c>
      <c r="R400" s="257">
        <f t="shared" si="172"/>
        <v>0</v>
      </c>
      <c r="S400" s="257">
        <f t="shared" si="172"/>
        <v>0</v>
      </c>
      <c r="T400" s="257">
        <f t="shared" si="172"/>
        <v>0</v>
      </c>
      <c r="U400" s="257">
        <f t="shared" si="172"/>
        <v>0</v>
      </c>
      <c r="V400" s="257">
        <f t="shared" si="172"/>
        <v>0</v>
      </c>
      <c r="W400" s="257">
        <f t="shared" si="172"/>
        <v>0</v>
      </c>
      <c r="X400" s="257">
        <f t="shared" si="172"/>
        <v>0</v>
      </c>
      <c r="Y400" s="275"/>
    </row>
    <row r="401" spans="2:25" x14ac:dyDescent="0.2">
      <c r="B401" s="280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79"/>
    </row>
    <row r="402" spans="2:25" x14ac:dyDescent="0.2">
      <c r="B402" s="402" t="str">
        <f>B180</f>
        <v xml:space="preserve">Option 5: </v>
      </c>
      <c r="C402" s="404"/>
      <c r="D402" s="405"/>
      <c r="E402" s="404"/>
      <c r="F402" s="404"/>
      <c r="G402" s="404"/>
      <c r="H402" s="404"/>
      <c r="I402" s="404"/>
      <c r="J402" s="404"/>
      <c r="K402" s="404"/>
      <c r="L402" s="404"/>
      <c r="M402" s="404"/>
      <c r="N402" s="404"/>
      <c r="O402" s="404"/>
      <c r="P402" s="404"/>
      <c r="Q402" s="404"/>
      <c r="R402" s="404"/>
      <c r="S402" s="404"/>
      <c r="T402" s="404"/>
      <c r="U402" s="404"/>
      <c r="V402" s="404"/>
      <c r="W402" s="404"/>
      <c r="X402" s="404"/>
      <c r="Y402" s="406"/>
    </row>
    <row r="403" spans="2:25" x14ac:dyDescent="0.2">
      <c r="B403" s="273"/>
      <c r="C403" s="262"/>
      <c r="D403" s="262"/>
      <c r="E403" s="262"/>
      <c r="F403" s="262"/>
      <c r="G403" s="262"/>
      <c r="H403" s="262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71"/>
    </row>
    <row r="404" spans="2:25" x14ac:dyDescent="0.2">
      <c r="B404" s="270" t="str">
        <f>C197</f>
        <v>Annualised Cost - capex (2019)</v>
      </c>
      <c r="C404" s="262"/>
      <c r="D404" s="244">
        <f>IF('User Input'!$F$20=0,0,IF('User Input'!$F$316=0,0,ABS(PMT($D$19,'User Input'!$F$316,'User Input'!$F$20))))</f>
        <v>0</v>
      </c>
      <c r="E404" s="262"/>
      <c r="F404" s="262"/>
      <c r="G404" s="262"/>
      <c r="H404" s="262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71"/>
    </row>
    <row r="405" spans="2:25" x14ac:dyDescent="0.2">
      <c r="B405" s="274"/>
      <c r="C405" s="262"/>
      <c r="D405" s="262"/>
      <c r="E405" s="262"/>
      <c r="F405" s="262"/>
      <c r="G405" s="262"/>
      <c r="H405" s="262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71"/>
    </row>
    <row r="406" spans="2:25" x14ac:dyDescent="0.2">
      <c r="B406" s="274"/>
      <c r="C406" s="256" t="s">
        <v>184</v>
      </c>
      <c r="D406" s="255"/>
      <c r="E406" s="257">
        <f>$D$19*'User Input'!F20</f>
        <v>0</v>
      </c>
      <c r="F406" s="257">
        <f>$D$19*E409</f>
        <v>0</v>
      </c>
      <c r="G406" s="257">
        <f t="shared" ref="G406:X406" si="173">$D$19*F409</f>
        <v>0</v>
      </c>
      <c r="H406" s="257">
        <f t="shared" si="173"/>
        <v>0</v>
      </c>
      <c r="I406" s="257">
        <f t="shared" si="173"/>
        <v>0</v>
      </c>
      <c r="J406" s="257">
        <f t="shared" si="173"/>
        <v>0</v>
      </c>
      <c r="K406" s="257">
        <f t="shared" si="173"/>
        <v>0</v>
      </c>
      <c r="L406" s="257">
        <f t="shared" si="173"/>
        <v>0</v>
      </c>
      <c r="M406" s="257">
        <f t="shared" si="173"/>
        <v>0</v>
      </c>
      <c r="N406" s="257">
        <f t="shared" si="173"/>
        <v>0</v>
      </c>
      <c r="O406" s="257">
        <f t="shared" si="173"/>
        <v>0</v>
      </c>
      <c r="P406" s="257">
        <f t="shared" si="173"/>
        <v>0</v>
      </c>
      <c r="Q406" s="257">
        <f t="shared" si="173"/>
        <v>0</v>
      </c>
      <c r="R406" s="257">
        <f t="shared" si="173"/>
        <v>0</v>
      </c>
      <c r="S406" s="257">
        <f t="shared" si="173"/>
        <v>0</v>
      </c>
      <c r="T406" s="257">
        <f t="shared" si="173"/>
        <v>0</v>
      </c>
      <c r="U406" s="257">
        <f t="shared" si="173"/>
        <v>0</v>
      </c>
      <c r="V406" s="257">
        <f t="shared" si="173"/>
        <v>0</v>
      </c>
      <c r="W406" s="257">
        <f t="shared" si="173"/>
        <v>0</v>
      </c>
      <c r="X406" s="257">
        <f t="shared" si="173"/>
        <v>0</v>
      </c>
      <c r="Y406" s="271"/>
    </row>
    <row r="407" spans="2:25" x14ac:dyDescent="0.2">
      <c r="B407" s="274"/>
      <c r="C407" s="262" t="s">
        <v>185</v>
      </c>
      <c r="D407" s="262"/>
      <c r="E407" s="264">
        <f>D404-E406</f>
        <v>0</v>
      </c>
      <c r="F407" s="264">
        <f>$D$404-F406</f>
        <v>0</v>
      </c>
      <c r="G407" s="264">
        <f t="shared" ref="G407:X407" si="174">$D$404-G406</f>
        <v>0</v>
      </c>
      <c r="H407" s="264">
        <f t="shared" si="174"/>
        <v>0</v>
      </c>
      <c r="I407" s="264">
        <f t="shared" si="174"/>
        <v>0</v>
      </c>
      <c r="J407" s="264">
        <f t="shared" si="174"/>
        <v>0</v>
      </c>
      <c r="K407" s="264">
        <f t="shared" si="174"/>
        <v>0</v>
      </c>
      <c r="L407" s="264">
        <f t="shared" si="174"/>
        <v>0</v>
      </c>
      <c r="M407" s="264">
        <f t="shared" si="174"/>
        <v>0</v>
      </c>
      <c r="N407" s="264">
        <f t="shared" si="174"/>
        <v>0</v>
      </c>
      <c r="O407" s="264">
        <f t="shared" si="174"/>
        <v>0</v>
      </c>
      <c r="P407" s="264">
        <f t="shared" si="174"/>
        <v>0</v>
      </c>
      <c r="Q407" s="264">
        <f t="shared" si="174"/>
        <v>0</v>
      </c>
      <c r="R407" s="264">
        <f t="shared" si="174"/>
        <v>0</v>
      </c>
      <c r="S407" s="264">
        <f t="shared" si="174"/>
        <v>0</v>
      </c>
      <c r="T407" s="264">
        <f t="shared" si="174"/>
        <v>0</v>
      </c>
      <c r="U407" s="264">
        <f t="shared" si="174"/>
        <v>0</v>
      </c>
      <c r="V407" s="264">
        <f t="shared" si="174"/>
        <v>0</v>
      </c>
      <c r="W407" s="264">
        <f t="shared" si="174"/>
        <v>0</v>
      </c>
      <c r="X407" s="264">
        <f t="shared" si="174"/>
        <v>0</v>
      </c>
      <c r="Y407" s="271"/>
    </row>
    <row r="408" spans="2:25" x14ac:dyDescent="0.2">
      <c r="B408" s="274"/>
      <c r="C408" s="174" t="s">
        <v>186</v>
      </c>
      <c r="D408" s="174"/>
      <c r="E408" s="265">
        <f t="shared" ref="E408:X408" si="175">SUM(E406:E407)</f>
        <v>0</v>
      </c>
      <c r="F408" s="265">
        <f t="shared" si="175"/>
        <v>0</v>
      </c>
      <c r="G408" s="265">
        <f t="shared" si="175"/>
        <v>0</v>
      </c>
      <c r="H408" s="265">
        <f t="shared" si="175"/>
        <v>0</v>
      </c>
      <c r="I408" s="265">
        <f t="shared" si="175"/>
        <v>0</v>
      </c>
      <c r="J408" s="265">
        <f t="shared" si="175"/>
        <v>0</v>
      </c>
      <c r="K408" s="265">
        <f t="shared" si="175"/>
        <v>0</v>
      </c>
      <c r="L408" s="265">
        <f t="shared" si="175"/>
        <v>0</v>
      </c>
      <c r="M408" s="265">
        <f t="shared" si="175"/>
        <v>0</v>
      </c>
      <c r="N408" s="265">
        <f t="shared" si="175"/>
        <v>0</v>
      </c>
      <c r="O408" s="265">
        <f t="shared" si="175"/>
        <v>0</v>
      </c>
      <c r="P408" s="265">
        <f t="shared" si="175"/>
        <v>0</v>
      </c>
      <c r="Q408" s="265">
        <f t="shared" si="175"/>
        <v>0</v>
      </c>
      <c r="R408" s="265">
        <f t="shared" si="175"/>
        <v>0</v>
      </c>
      <c r="S408" s="265">
        <f t="shared" si="175"/>
        <v>0</v>
      </c>
      <c r="T408" s="265">
        <f t="shared" si="175"/>
        <v>0</v>
      </c>
      <c r="U408" s="265">
        <f t="shared" si="175"/>
        <v>0</v>
      </c>
      <c r="V408" s="265">
        <f t="shared" si="175"/>
        <v>0</v>
      </c>
      <c r="W408" s="265">
        <f t="shared" si="175"/>
        <v>0</v>
      </c>
      <c r="X408" s="265">
        <f t="shared" si="175"/>
        <v>0</v>
      </c>
      <c r="Y408" s="271"/>
    </row>
    <row r="409" spans="2:25" x14ac:dyDescent="0.2">
      <c r="B409" s="274"/>
      <c r="C409" s="256" t="s">
        <v>183</v>
      </c>
      <c r="D409" s="255"/>
      <c r="E409" s="257">
        <f>'User Input'!F20-E407</f>
        <v>0</v>
      </c>
      <c r="F409" s="257">
        <f>E409-F407</f>
        <v>0</v>
      </c>
      <c r="G409" s="257">
        <f t="shared" ref="G409:X409" si="176">F409-G407</f>
        <v>0</v>
      </c>
      <c r="H409" s="257">
        <f t="shared" si="176"/>
        <v>0</v>
      </c>
      <c r="I409" s="257">
        <f t="shared" si="176"/>
        <v>0</v>
      </c>
      <c r="J409" s="257">
        <f t="shared" si="176"/>
        <v>0</v>
      </c>
      <c r="K409" s="257">
        <f t="shared" si="176"/>
        <v>0</v>
      </c>
      <c r="L409" s="257">
        <f t="shared" si="176"/>
        <v>0</v>
      </c>
      <c r="M409" s="257">
        <f t="shared" si="176"/>
        <v>0</v>
      </c>
      <c r="N409" s="257">
        <f t="shared" si="176"/>
        <v>0</v>
      </c>
      <c r="O409" s="257">
        <f t="shared" si="176"/>
        <v>0</v>
      </c>
      <c r="P409" s="257">
        <f t="shared" si="176"/>
        <v>0</v>
      </c>
      <c r="Q409" s="257">
        <f t="shared" si="176"/>
        <v>0</v>
      </c>
      <c r="R409" s="257">
        <f t="shared" si="176"/>
        <v>0</v>
      </c>
      <c r="S409" s="257">
        <f t="shared" si="176"/>
        <v>0</v>
      </c>
      <c r="T409" s="257">
        <f t="shared" si="176"/>
        <v>0</v>
      </c>
      <c r="U409" s="257">
        <f t="shared" si="176"/>
        <v>0</v>
      </c>
      <c r="V409" s="257">
        <f t="shared" si="176"/>
        <v>0</v>
      </c>
      <c r="W409" s="257">
        <f t="shared" si="176"/>
        <v>0</v>
      </c>
      <c r="X409" s="257">
        <f t="shared" si="176"/>
        <v>0</v>
      </c>
      <c r="Y409" s="271"/>
    </row>
    <row r="410" spans="2:25" x14ac:dyDescent="0.2">
      <c r="B410" s="274"/>
      <c r="C410" s="262"/>
      <c r="D410" s="262"/>
      <c r="E410" s="262"/>
      <c r="F410" s="262"/>
      <c r="G410" s="262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71"/>
    </row>
    <row r="411" spans="2:25" x14ac:dyDescent="0.2">
      <c r="B411" s="273" t="str">
        <f>C198</f>
        <v>Annualised Cost - capex (2020)</v>
      </c>
      <c r="C411" s="262"/>
      <c r="D411" s="244">
        <f>IF('User Input'!$G$20=0,0,IF('User Input'!$G$316=0,0,ABS(PMT($D$19,'User Input'!$G$316,'User Input'!$G$20))))</f>
        <v>0</v>
      </c>
      <c r="E411" s="262"/>
      <c r="F411" s="262"/>
      <c r="G411" s="262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71"/>
    </row>
    <row r="412" spans="2:25" x14ac:dyDescent="0.2">
      <c r="B412" s="273"/>
      <c r="C412" s="262"/>
      <c r="D412" s="262"/>
      <c r="E412" s="262"/>
      <c r="F412" s="262"/>
      <c r="G412" s="262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71"/>
    </row>
    <row r="413" spans="2:25" x14ac:dyDescent="0.2">
      <c r="B413" s="273"/>
      <c r="C413" s="256" t="s">
        <v>184</v>
      </c>
      <c r="D413" s="262"/>
      <c r="E413" s="266"/>
      <c r="F413" s="257">
        <f>$D$19*'User Input'!G20</f>
        <v>0</v>
      </c>
      <c r="G413" s="257">
        <f>$D$19*F416</f>
        <v>0</v>
      </c>
      <c r="H413" s="257">
        <f t="shared" ref="H413:X413" si="177">$D$19*G416</f>
        <v>0</v>
      </c>
      <c r="I413" s="257">
        <f t="shared" si="177"/>
        <v>0</v>
      </c>
      <c r="J413" s="257">
        <f t="shared" si="177"/>
        <v>0</v>
      </c>
      <c r="K413" s="257">
        <f t="shared" si="177"/>
        <v>0</v>
      </c>
      <c r="L413" s="257">
        <f t="shared" si="177"/>
        <v>0</v>
      </c>
      <c r="M413" s="257">
        <f t="shared" si="177"/>
        <v>0</v>
      </c>
      <c r="N413" s="257">
        <f t="shared" si="177"/>
        <v>0</v>
      </c>
      <c r="O413" s="257">
        <f t="shared" si="177"/>
        <v>0</v>
      </c>
      <c r="P413" s="257">
        <f t="shared" si="177"/>
        <v>0</v>
      </c>
      <c r="Q413" s="257">
        <f t="shared" si="177"/>
        <v>0</v>
      </c>
      <c r="R413" s="257">
        <f t="shared" si="177"/>
        <v>0</v>
      </c>
      <c r="S413" s="257">
        <f t="shared" si="177"/>
        <v>0</v>
      </c>
      <c r="T413" s="257">
        <f t="shared" si="177"/>
        <v>0</v>
      </c>
      <c r="U413" s="257">
        <f t="shared" si="177"/>
        <v>0</v>
      </c>
      <c r="V413" s="257">
        <f t="shared" si="177"/>
        <v>0</v>
      </c>
      <c r="W413" s="257">
        <f t="shared" si="177"/>
        <v>0</v>
      </c>
      <c r="X413" s="257">
        <f t="shared" si="177"/>
        <v>0</v>
      </c>
      <c r="Y413" s="275"/>
    </row>
    <row r="414" spans="2:25" x14ac:dyDescent="0.2">
      <c r="B414" s="273"/>
      <c r="C414" s="262" t="s">
        <v>185</v>
      </c>
      <c r="D414" s="262"/>
      <c r="E414" s="266"/>
      <c r="F414" s="264">
        <f>D411-F413</f>
        <v>0</v>
      </c>
      <c r="G414" s="264">
        <f>$D$411-G413</f>
        <v>0</v>
      </c>
      <c r="H414" s="264">
        <f t="shared" ref="H414:X414" si="178">$D$411-H413</f>
        <v>0</v>
      </c>
      <c r="I414" s="264">
        <f t="shared" si="178"/>
        <v>0</v>
      </c>
      <c r="J414" s="264">
        <f t="shared" si="178"/>
        <v>0</v>
      </c>
      <c r="K414" s="264">
        <f t="shared" si="178"/>
        <v>0</v>
      </c>
      <c r="L414" s="264">
        <f t="shared" si="178"/>
        <v>0</v>
      </c>
      <c r="M414" s="264">
        <f t="shared" si="178"/>
        <v>0</v>
      </c>
      <c r="N414" s="264">
        <f t="shared" si="178"/>
        <v>0</v>
      </c>
      <c r="O414" s="264">
        <f t="shared" si="178"/>
        <v>0</v>
      </c>
      <c r="P414" s="264">
        <f t="shared" si="178"/>
        <v>0</v>
      </c>
      <c r="Q414" s="264">
        <f t="shared" si="178"/>
        <v>0</v>
      </c>
      <c r="R414" s="264">
        <f t="shared" si="178"/>
        <v>0</v>
      </c>
      <c r="S414" s="264">
        <f t="shared" si="178"/>
        <v>0</v>
      </c>
      <c r="T414" s="264">
        <f t="shared" si="178"/>
        <v>0</v>
      </c>
      <c r="U414" s="264">
        <f t="shared" si="178"/>
        <v>0</v>
      </c>
      <c r="V414" s="264">
        <f t="shared" si="178"/>
        <v>0</v>
      </c>
      <c r="W414" s="264">
        <f t="shared" si="178"/>
        <v>0</v>
      </c>
      <c r="X414" s="264">
        <f t="shared" si="178"/>
        <v>0</v>
      </c>
      <c r="Y414" s="276"/>
    </row>
    <row r="415" spans="2:25" x14ac:dyDescent="0.2">
      <c r="B415" s="273"/>
      <c r="C415" s="174" t="s">
        <v>186</v>
      </c>
      <c r="D415" s="262"/>
      <c r="E415" s="266"/>
      <c r="F415" s="265">
        <f t="shared" ref="F415:X415" si="179">SUM(F413:F414)</f>
        <v>0</v>
      </c>
      <c r="G415" s="265">
        <f t="shared" si="179"/>
        <v>0</v>
      </c>
      <c r="H415" s="265">
        <f t="shared" si="179"/>
        <v>0</v>
      </c>
      <c r="I415" s="265">
        <f t="shared" si="179"/>
        <v>0</v>
      </c>
      <c r="J415" s="265">
        <f t="shared" si="179"/>
        <v>0</v>
      </c>
      <c r="K415" s="265">
        <f t="shared" si="179"/>
        <v>0</v>
      </c>
      <c r="L415" s="265">
        <f t="shared" si="179"/>
        <v>0</v>
      </c>
      <c r="M415" s="265">
        <f t="shared" si="179"/>
        <v>0</v>
      </c>
      <c r="N415" s="265">
        <f t="shared" si="179"/>
        <v>0</v>
      </c>
      <c r="O415" s="265">
        <f t="shared" si="179"/>
        <v>0</v>
      </c>
      <c r="P415" s="265">
        <f t="shared" si="179"/>
        <v>0</v>
      </c>
      <c r="Q415" s="265">
        <f t="shared" si="179"/>
        <v>0</v>
      </c>
      <c r="R415" s="265">
        <f t="shared" si="179"/>
        <v>0</v>
      </c>
      <c r="S415" s="265">
        <f t="shared" si="179"/>
        <v>0</v>
      </c>
      <c r="T415" s="265">
        <f t="shared" si="179"/>
        <v>0</v>
      </c>
      <c r="U415" s="265">
        <f t="shared" si="179"/>
        <v>0</v>
      </c>
      <c r="V415" s="265">
        <f t="shared" si="179"/>
        <v>0</v>
      </c>
      <c r="W415" s="265">
        <f t="shared" si="179"/>
        <v>0</v>
      </c>
      <c r="X415" s="265">
        <f t="shared" si="179"/>
        <v>0</v>
      </c>
      <c r="Y415" s="277"/>
    </row>
    <row r="416" spans="2:25" x14ac:dyDescent="0.2">
      <c r="B416" s="273"/>
      <c r="C416" s="256" t="s">
        <v>183</v>
      </c>
      <c r="D416" s="262"/>
      <c r="E416" s="258"/>
      <c r="F416" s="257">
        <f>'User Input'!G20-F414</f>
        <v>0</v>
      </c>
      <c r="G416" s="257">
        <f>F416-G414</f>
        <v>0</v>
      </c>
      <c r="H416" s="257">
        <f t="shared" ref="H416:X416" si="180">G416-H414</f>
        <v>0</v>
      </c>
      <c r="I416" s="257">
        <f t="shared" si="180"/>
        <v>0</v>
      </c>
      <c r="J416" s="257">
        <f t="shared" si="180"/>
        <v>0</v>
      </c>
      <c r="K416" s="257">
        <f t="shared" si="180"/>
        <v>0</v>
      </c>
      <c r="L416" s="257">
        <f t="shared" si="180"/>
        <v>0</v>
      </c>
      <c r="M416" s="257">
        <f t="shared" si="180"/>
        <v>0</v>
      </c>
      <c r="N416" s="257">
        <f t="shared" si="180"/>
        <v>0</v>
      </c>
      <c r="O416" s="257">
        <f t="shared" si="180"/>
        <v>0</v>
      </c>
      <c r="P416" s="257">
        <f t="shared" si="180"/>
        <v>0</v>
      </c>
      <c r="Q416" s="257">
        <f t="shared" si="180"/>
        <v>0</v>
      </c>
      <c r="R416" s="257">
        <f t="shared" si="180"/>
        <v>0</v>
      </c>
      <c r="S416" s="257">
        <f t="shared" si="180"/>
        <v>0</v>
      </c>
      <c r="T416" s="257">
        <f t="shared" si="180"/>
        <v>0</v>
      </c>
      <c r="U416" s="257">
        <f t="shared" si="180"/>
        <v>0</v>
      </c>
      <c r="V416" s="257">
        <f t="shared" si="180"/>
        <v>0</v>
      </c>
      <c r="W416" s="257">
        <f t="shared" si="180"/>
        <v>0</v>
      </c>
      <c r="X416" s="257">
        <f t="shared" si="180"/>
        <v>0</v>
      </c>
      <c r="Y416" s="275"/>
    </row>
    <row r="417" spans="2:25" x14ac:dyDescent="0.2">
      <c r="B417" s="273"/>
      <c r="C417" s="262"/>
      <c r="D417" s="262"/>
      <c r="E417" s="262"/>
      <c r="F417" s="262"/>
      <c r="G417" s="262"/>
      <c r="H417" s="262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71"/>
    </row>
    <row r="418" spans="2:25" x14ac:dyDescent="0.2">
      <c r="B418" s="273" t="str">
        <f>C199</f>
        <v>Annualised Cost - capex (2021)</v>
      </c>
      <c r="C418" s="262"/>
      <c r="D418" s="244">
        <f>IF('User Input'!$H$20=0,0,IF('User Input'!$H$316=0,0,ABS(PMT($D$19,'User Input'!$H$316,'User Input'!$H$20))))</f>
        <v>0</v>
      </c>
      <c r="E418" s="262"/>
      <c r="F418" s="262"/>
      <c r="G418" s="262"/>
      <c r="H418" s="262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71"/>
    </row>
    <row r="419" spans="2:25" x14ac:dyDescent="0.2">
      <c r="B419" s="273"/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71"/>
    </row>
    <row r="420" spans="2:25" x14ac:dyDescent="0.2">
      <c r="B420" s="273"/>
      <c r="C420" s="256" t="s">
        <v>184</v>
      </c>
      <c r="D420" s="262"/>
      <c r="E420" s="266"/>
      <c r="F420" s="266"/>
      <c r="G420" s="257">
        <f>$D$19*'User Input'!H20</f>
        <v>0</v>
      </c>
      <c r="H420" s="257">
        <f>$D$19*G423</f>
        <v>0</v>
      </c>
      <c r="I420" s="257">
        <f t="shared" ref="I420:X420" si="181">$D$19*H423</f>
        <v>0</v>
      </c>
      <c r="J420" s="257">
        <f t="shared" si="181"/>
        <v>0</v>
      </c>
      <c r="K420" s="257">
        <f t="shared" si="181"/>
        <v>0</v>
      </c>
      <c r="L420" s="257">
        <f t="shared" si="181"/>
        <v>0</v>
      </c>
      <c r="M420" s="257">
        <f t="shared" si="181"/>
        <v>0</v>
      </c>
      <c r="N420" s="257">
        <f t="shared" si="181"/>
        <v>0</v>
      </c>
      <c r="O420" s="257">
        <f t="shared" si="181"/>
        <v>0</v>
      </c>
      <c r="P420" s="257">
        <f t="shared" si="181"/>
        <v>0</v>
      </c>
      <c r="Q420" s="257">
        <f t="shared" si="181"/>
        <v>0</v>
      </c>
      <c r="R420" s="257">
        <f t="shared" si="181"/>
        <v>0</v>
      </c>
      <c r="S420" s="257">
        <f t="shared" si="181"/>
        <v>0</v>
      </c>
      <c r="T420" s="257">
        <f t="shared" si="181"/>
        <v>0</v>
      </c>
      <c r="U420" s="257">
        <f t="shared" si="181"/>
        <v>0</v>
      </c>
      <c r="V420" s="257">
        <f t="shared" si="181"/>
        <v>0</v>
      </c>
      <c r="W420" s="257">
        <f t="shared" si="181"/>
        <v>0</v>
      </c>
      <c r="X420" s="257">
        <f t="shared" si="181"/>
        <v>0</v>
      </c>
      <c r="Y420" s="275"/>
    </row>
    <row r="421" spans="2:25" x14ac:dyDescent="0.2">
      <c r="B421" s="273"/>
      <c r="C421" s="262" t="s">
        <v>185</v>
      </c>
      <c r="D421" s="262"/>
      <c r="E421" s="266"/>
      <c r="F421" s="266"/>
      <c r="G421" s="264">
        <f>D418-G420</f>
        <v>0</v>
      </c>
      <c r="H421" s="264">
        <f>$D$418-H420</f>
        <v>0</v>
      </c>
      <c r="I421" s="264">
        <f t="shared" ref="I421:X421" si="182">$D$418-I420</f>
        <v>0</v>
      </c>
      <c r="J421" s="264">
        <f t="shared" si="182"/>
        <v>0</v>
      </c>
      <c r="K421" s="264">
        <f t="shared" si="182"/>
        <v>0</v>
      </c>
      <c r="L421" s="264">
        <f t="shared" si="182"/>
        <v>0</v>
      </c>
      <c r="M421" s="264">
        <f t="shared" si="182"/>
        <v>0</v>
      </c>
      <c r="N421" s="264">
        <f t="shared" si="182"/>
        <v>0</v>
      </c>
      <c r="O421" s="264">
        <f t="shared" si="182"/>
        <v>0</v>
      </c>
      <c r="P421" s="264">
        <f t="shared" si="182"/>
        <v>0</v>
      </c>
      <c r="Q421" s="264">
        <f t="shared" si="182"/>
        <v>0</v>
      </c>
      <c r="R421" s="264">
        <f t="shared" si="182"/>
        <v>0</v>
      </c>
      <c r="S421" s="264">
        <f t="shared" si="182"/>
        <v>0</v>
      </c>
      <c r="T421" s="264">
        <f t="shared" si="182"/>
        <v>0</v>
      </c>
      <c r="U421" s="264">
        <f t="shared" si="182"/>
        <v>0</v>
      </c>
      <c r="V421" s="264">
        <f t="shared" si="182"/>
        <v>0</v>
      </c>
      <c r="W421" s="264">
        <f t="shared" si="182"/>
        <v>0</v>
      </c>
      <c r="X421" s="264">
        <f t="shared" si="182"/>
        <v>0</v>
      </c>
      <c r="Y421" s="276"/>
    </row>
    <row r="422" spans="2:25" x14ac:dyDescent="0.2">
      <c r="B422" s="273"/>
      <c r="C422" s="174" t="s">
        <v>186</v>
      </c>
      <c r="D422" s="262"/>
      <c r="E422" s="266"/>
      <c r="F422" s="266"/>
      <c r="G422" s="265">
        <f t="shared" ref="G422:X422" si="183">SUM(G420:G421)</f>
        <v>0</v>
      </c>
      <c r="H422" s="265">
        <f t="shared" si="183"/>
        <v>0</v>
      </c>
      <c r="I422" s="265">
        <f t="shared" si="183"/>
        <v>0</v>
      </c>
      <c r="J422" s="265">
        <f t="shared" si="183"/>
        <v>0</v>
      </c>
      <c r="K422" s="265">
        <f t="shared" si="183"/>
        <v>0</v>
      </c>
      <c r="L422" s="265">
        <f t="shared" si="183"/>
        <v>0</v>
      </c>
      <c r="M422" s="265">
        <f t="shared" si="183"/>
        <v>0</v>
      </c>
      <c r="N422" s="265">
        <f t="shared" si="183"/>
        <v>0</v>
      </c>
      <c r="O422" s="265">
        <f t="shared" si="183"/>
        <v>0</v>
      </c>
      <c r="P422" s="265">
        <f t="shared" si="183"/>
        <v>0</v>
      </c>
      <c r="Q422" s="265">
        <f t="shared" si="183"/>
        <v>0</v>
      </c>
      <c r="R422" s="265">
        <f t="shared" si="183"/>
        <v>0</v>
      </c>
      <c r="S422" s="265">
        <f t="shared" si="183"/>
        <v>0</v>
      </c>
      <c r="T422" s="265">
        <f t="shared" si="183"/>
        <v>0</v>
      </c>
      <c r="U422" s="265">
        <f t="shared" si="183"/>
        <v>0</v>
      </c>
      <c r="V422" s="265">
        <f t="shared" si="183"/>
        <v>0</v>
      </c>
      <c r="W422" s="265">
        <f t="shared" si="183"/>
        <v>0</v>
      </c>
      <c r="X422" s="265">
        <f t="shared" si="183"/>
        <v>0</v>
      </c>
      <c r="Y422" s="277"/>
    </row>
    <row r="423" spans="2:25" x14ac:dyDescent="0.2">
      <c r="B423" s="273"/>
      <c r="C423" s="256" t="s">
        <v>183</v>
      </c>
      <c r="D423" s="262"/>
      <c r="E423" s="258"/>
      <c r="F423" s="258"/>
      <c r="G423" s="257">
        <f>'User Input'!H20-G421</f>
        <v>0</v>
      </c>
      <c r="H423" s="257">
        <f>G423-H421</f>
        <v>0</v>
      </c>
      <c r="I423" s="257">
        <f t="shared" ref="I423:X423" si="184">H423-I421</f>
        <v>0</v>
      </c>
      <c r="J423" s="257">
        <f t="shared" si="184"/>
        <v>0</v>
      </c>
      <c r="K423" s="257">
        <f t="shared" si="184"/>
        <v>0</v>
      </c>
      <c r="L423" s="257">
        <f t="shared" si="184"/>
        <v>0</v>
      </c>
      <c r="M423" s="257">
        <f t="shared" si="184"/>
        <v>0</v>
      </c>
      <c r="N423" s="257">
        <f t="shared" si="184"/>
        <v>0</v>
      </c>
      <c r="O423" s="257">
        <f t="shared" si="184"/>
        <v>0</v>
      </c>
      <c r="P423" s="257">
        <f t="shared" si="184"/>
        <v>0</v>
      </c>
      <c r="Q423" s="257">
        <f t="shared" si="184"/>
        <v>0</v>
      </c>
      <c r="R423" s="257">
        <f t="shared" si="184"/>
        <v>0</v>
      </c>
      <c r="S423" s="257">
        <f t="shared" si="184"/>
        <v>0</v>
      </c>
      <c r="T423" s="257">
        <f t="shared" si="184"/>
        <v>0</v>
      </c>
      <c r="U423" s="257">
        <f t="shared" si="184"/>
        <v>0</v>
      </c>
      <c r="V423" s="257">
        <f t="shared" si="184"/>
        <v>0</v>
      </c>
      <c r="W423" s="257">
        <f t="shared" si="184"/>
        <v>0</v>
      </c>
      <c r="X423" s="257">
        <f t="shared" si="184"/>
        <v>0</v>
      </c>
      <c r="Y423" s="275"/>
    </row>
    <row r="424" spans="2:25" x14ac:dyDescent="0.2">
      <c r="B424" s="273"/>
      <c r="C424" s="262"/>
      <c r="D424" s="262"/>
      <c r="E424" s="262"/>
      <c r="F424" s="262"/>
      <c r="G424" s="262"/>
      <c r="H424" s="262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71"/>
    </row>
    <row r="425" spans="2:25" x14ac:dyDescent="0.2">
      <c r="B425" s="273" t="str">
        <f>C200</f>
        <v>Annualised Cost - capex (2022)</v>
      </c>
      <c r="C425" s="262"/>
      <c r="D425" s="244">
        <f>IF('User Input'!$I$20=0,0,IF('User Input'!$I$316=0,0,ABS(PMT($D$19,'User Input'!$I$316,'User Input'!$I$20))))</f>
        <v>0</v>
      </c>
      <c r="E425" s="262"/>
      <c r="F425" s="262"/>
      <c r="G425" s="262"/>
      <c r="H425" s="262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71"/>
    </row>
    <row r="426" spans="2:25" x14ac:dyDescent="0.2">
      <c r="B426" s="273"/>
      <c r="C426" s="262"/>
      <c r="D426" s="262"/>
      <c r="E426" s="262"/>
      <c r="F426" s="262"/>
      <c r="G426" s="262"/>
      <c r="H426" s="262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71"/>
    </row>
    <row r="427" spans="2:25" x14ac:dyDescent="0.2">
      <c r="B427" s="273"/>
      <c r="C427" s="256" t="s">
        <v>184</v>
      </c>
      <c r="D427" s="262"/>
      <c r="E427" s="266"/>
      <c r="F427" s="266"/>
      <c r="G427" s="266"/>
      <c r="H427" s="257">
        <f>D19*'User Input'!I20</f>
        <v>0</v>
      </c>
      <c r="I427" s="257">
        <f>$D$19*H430</f>
        <v>0</v>
      </c>
      <c r="J427" s="257">
        <f t="shared" ref="J427:X427" si="185">$D$19*I430</f>
        <v>0</v>
      </c>
      <c r="K427" s="257">
        <f t="shared" si="185"/>
        <v>0</v>
      </c>
      <c r="L427" s="257">
        <f t="shared" si="185"/>
        <v>0</v>
      </c>
      <c r="M427" s="257">
        <f t="shared" si="185"/>
        <v>0</v>
      </c>
      <c r="N427" s="257">
        <f t="shared" si="185"/>
        <v>0</v>
      </c>
      <c r="O427" s="257">
        <f t="shared" si="185"/>
        <v>0</v>
      </c>
      <c r="P427" s="257">
        <f t="shared" si="185"/>
        <v>0</v>
      </c>
      <c r="Q427" s="257">
        <f t="shared" si="185"/>
        <v>0</v>
      </c>
      <c r="R427" s="257">
        <f t="shared" si="185"/>
        <v>0</v>
      </c>
      <c r="S427" s="257">
        <f t="shared" si="185"/>
        <v>0</v>
      </c>
      <c r="T427" s="257">
        <f t="shared" si="185"/>
        <v>0</v>
      </c>
      <c r="U427" s="257">
        <f t="shared" si="185"/>
        <v>0</v>
      </c>
      <c r="V427" s="257">
        <f t="shared" si="185"/>
        <v>0</v>
      </c>
      <c r="W427" s="257">
        <f t="shared" si="185"/>
        <v>0</v>
      </c>
      <c r="X427" s="257">
        <f t="shared" si="185"/>
        <v>0</v>
      </c>
      <c r="Y427" s="275"/>
    </row>
    <row r="428" spans="2:25" x14ac:dyDescent="0.2">
      <c r="B428" s="273"/>
      <c r="C428" s="262" t="s">
        <v>185</v>
      </c>
      <c r="D428" s="262"/>
      <c r="E428" s="266"/>
      <c r="F428" s="266"/>
      <c r="G428" s="266"/>
      <c r="H428" s="264">
        <f>$D$388-H427</f>
        <v>0</v>
      </c>
      <c r="I428" s="264">
        <f>$D$425-I427</f>
        <v>0</v>
      </c>
      <c r="J428" s="264">
        <f t="shared" ref="J428:X428" si="186">$D$425-J427</f>
        <v>0</v>
      </c>
      <c r="K428" s="264">
        <f t="shared" si="186"/>
        <v>0</v>
      </c>
      <c r="L428" s="264">
        <f t="shared" si="186"/>
        <v>0</v>
      </c>
      <c r="M428" s="264">
        <f t="shared" si="186"/>
        <v>0</v>
      </c>
      <c r="N428" s="264">
        <f t="shared" si="186"/>
        <v>0</v>
      </c>
      <c r="O428" s="264">
        <f t="shared" si="186"/>
        <v>0</v>
      </c>
      <c r="P428" s="264">
        <f t="shared" si="186"/>
        <v>0</v>
      </c>
      <c r="Q428" s="264">
        <f t="shared" si="186"/>
        <v>0</v>
      </c>
      <c r="R428" s="264">
        <f t="shared" si="186"/>
        <v>0</v>
      </c>
      <c r="S428" s="264">
        <f t="shared" si="186"/>
        <v>0</v>
      </c>
      <c r="T428" s="264">
        <f t="shared" si="186"/>
        <v>0</v>
      </c>
      <c r="U428" s="264">
        <f t="shared" si="186"/>
        <v>0</v>
      </c>
      <c r="V428" s="264">
        <f t="shared" si="186"/>
        <v>0</v>
      </c>
      <c r="W428" s="264">
        <f t="shared" si="186"/>
        <v>0</v>
      </c>
      <c r="X428" s="264">
        <f t="shared" si="186"/>
        <v>0</v>
      </c>
      <c r="Y428" s="276"/>
    </row>
    <row r="429" spans="2:25" x14ac:dyDescent="0.2">
      <c r="B429" s="273"/>
      <c r="C429" s="174" t="s">
        <v>186</v>
      </c>
      <c r="D429" s="262"/>
      <c r="E429" s="266"/>
      <c r="F429" s="266"/>
      <c r="G429" s="266"/>
      <c r="H429" s="265">
        <f t="shared" ref="H429:X429" si="187">SUM(H427:H428)</f>
        <v>0</v>
      </c>
      <c r="I429" s="265">
        <f t="shared" si="187"/>
        <v>0</v>
      </c>
      <c r="J429" s="265">
        <f t="shared" si="187"/>
        <v>0</v>
      </c>
      <c r="K429" s="265">
        <f t="shared" si="187"/>
        <v>0</v>
      </c>
      <c r="L429" s="265">
        <f t="shared" si="187"/>
        <v>0</v>
      </c>
      <c r="M429" s="265">
        <f t="shared" si="187"/>
        <v>0</v>
      </c>
      <c r="N429" s="265">
        <f t="shared" si="187"/>
        <v>0</v>
      </c>
      <c r="O429" s="265">
        <f t="shared" si="187"/>
        <v>0</v>
      </c>
      <c r="P429" s="265">
        <f t="shared" si="187"/>
        <v>0</v>
      </c>
      <c r="Q429" s="265">
        <f t="shared" si="187"/>
        <v>0</v>
      </c>
      <c r="R429" s="265">
        <f t="shared" si="187"/>
        <v>0</v>
      </c>
      <c r="S429" s="265">
        <f t="shared" si="187"/>
        <v>0</v>
      </c>
      <c r="T429" s="265">
        <f t="shared" si="187"/>
        <v>0</v>
      </c>
      <c r="U429" s="265">
        <f t="shared" si="187"/>
        <v>0</v>
      </c>
      <c r="V429" s="265">
        <f t="shared" si="187"/>
        <v>0</v>
      </c>
      <c r="W429" s="265">
        <f t="shared" si="187"/>
        <v>0</v>
      </c>
      <c r="X429" s="265">
        <f t="shared" si="187"/>
        <v>0</v>
      </c>
      <c r="Y429" s="277"/>
    </row>
    <row r="430" spans="2:25" x14ac:dyDescent="0.2">
      <c r="B430" s="273"/>
      <c r="C430" s="256" t="s">
        <v>183</v>
      </c>
      <c r="D430" s="262"/>
      <c r="E430" s="258"/>
      <c r="F430" s="258"/>
      <c r="G430" s="258"/>
      <c r="H430" s="257">
        <f>'User Input'!I20-H428</f>
        <v>0</v>
      </c>
      <c r="I430" s="257">
        <f>H430-I428</f>
        <v>0</v>
      </c>
      <c r="J430" s="257">
        <f t="shared" ref="J430:X430" si="188">I430-J428</f>
        <v>0</v>
      </c>
      <c r="K430" s="257">
        <f t="shared" si="188"/>
        <v>0</v>
      </c>
      <c r="L430" s="257">
        <f t="shared" si="188"/>
        <v>0</v>
      </c>
      <c r="M430" s="257">
        <f t="shared" si="188"/>
        <v>0</v>
      </c>
      <c r="N430" s="257">
        <f t="shared" si="188"/>
        <v>0</v>
      </c>
      <c r="O430" s="257">
        <f t="shared" si="188"/>
        <v>0</v>
      </c>
      <c r="P430" s="257">
        <f t="shared" si="188"/>
        <v>0</v>
      </c>
      <c r="Q430" s="257">
        <f t="shared" si="188"/>
        <v>0</v>
      </c>
      <c r="R430" s="257">
        <f t="shared" si="188"/>
        <v>0</v>
      </c>
      <c r="S430" s="257">
        <f t="shared" si="188"/>
        <v>0</v>
      </c>
      <c r="T430" s="257">
        <f t="shared" si="188"/>
        <v>0</v>
      </c>
      <c r="U430" s="257">
        <f t="shared" si="188"/>
        <v>0</v>
      </c>
      <c r="V430" s="257">
        <f t="shared" si="188"/>
        <v>0</v>
      </c>
      <c r="W430" s="257">
        <f t="shared" si="188"/>
        <v>0</v>
      </c>
      <c r="X430" s="257">
        <f t="shared" si="188"/>
        <v>0</v>
      </c>
      <c r="Y430" s="275"/>
    </row>
    <row r="431" spans="2:25" x14ac:dyDescent="0.2">
      <c r="B431" s="270"/>
      <c r="C431" s="262"/>
      <c r="D431" s="262"/>
      <c r="E431" s="262"/>
      <c r="F431" s="262"/>
      <c r="G431" s="262"/>
      <c r="H431" s="262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71"/>
    </row>
    <row r="432" spans="2:25" x14ac:dyDescent="0.2">
      <c r="B432" s="273" t="str">
        <f>C201</f>
        <v>Annualised Cost - capex (2023)</v>
      </c>
      <c r="C432" s="262"/>
      <c r="D432" s="244">
        <f>IF('User Input'!$J$20=0,0,IF('User Input'!$J$316=0,0,ABS(PMT($D$19,'User Input'!$J$316,'User Input'!$J$20))))</f>
        <v>0</v>
      </c>
      <c r="E432" s="262"/>
      <c r="F432" s="262"/>
      <c r="G432" s="262"/>
      <c r="H432" s="262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71"/>
    </row>
    <row r="433" spans="2:25" x14ac:dyDescent="0.2">
      <c r="B433" s="273"/>
      <c r="C433" s="262"/>
      <c r="D433" s="244"/>
      <c r="E433" s="262"/>
      <c r="F433" s="262"/>
      <c r="G433" s="262"/>
      <c r="H433" s="262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71"/>
    </row>
    <row r="434" spans="2:25" x14ac:dyDescent="0.2">
      <c r="B434" s="273"/>
      <c r="C434" s="256" t="s">
        <v>184</v>
      </c>
      <c r="D434" s="262"/>
      <c r="E434" s="266"/>
      <c r="F434" s="266"/>
      <c r="G434" s="266"/>
      <c r="H434" s="266"/>
      <c r="I434" s="257">
        <f>$D$19*'User Input'!J20</f>
        <v>0</v>
      </c>
      <c r="J434" s="257">
        <f>$D$19*I437</f>
        <v>0</v>
      </c>
      <c r="K434" s="257">
        <f t="shared" ref="K434:X434" si="189">$D$19*J437</f>
        <v>0</v>
      </c>
      <c r="L434" s="257">
        <f t="shared" si="189"/>
        <v>0</v>
      </c>
      <c r="M434" s="257">
        <f t="shared" si="189"/>
        <v>0</v>
      </c>
      <c r="N434" s="257">
        <f t="shared" si="189"/>
        <v>0</v>
      </c>
      <c r="O434" s="257">
        <f t="shared" si="189"/>
        <v>0</v>
      </c>
      <c r="P434" s="257">
        <f t="shared" si="189"/>
        <v>0</v>
      </c>
      <c r="Q434" s="257">
        <f t="shared" si="189"/>
        <v>0</v>
      </c>
      <c r="R434" s="257">
        <f t="shared" si="189"/>
        <v>0</v>
      </c>
      <c r="S434" s="257">
        <f t="shared" si="189"/>
        <v>0</v>
      </c>
      <c r="T434" s="257">
        <f t="shared" si="189"/>
        <v>0</v>
      </c>
      <c r="U434" s="257">
        <f t="shared" si="189"/>
        <v>0</v>
      </c>
      <c r="V434" s="257">
        <f t="shared" si="189"/>
        <v>0</v>
      </c>
      <c r="W434" s="257">
        <f t="shared" si="189"/>
        <v>0</v>
      </c>
      <c r="X434" s="257">
        <f t="shared" si="189"/>
        <v>0</v>
      </c>
      <c r="Y434" s="275"/>
    </row>
    <row r="435" spans="2:25" x14ac:dyDescent="0.2">
      <c r="B435" s="273"/>
      <c r="C435" s="262" t="s">
        <v>185</v>
      </c>
      <c r="D435" s="262"/>
      <c r="E435" s="266"/>
      <c r="F435" s="266"/>
      <c r="G435" s="266"/>
      <c r="H435" s="266"/>
      <c r="I435" s="264">
        <f>D432-I434</f>
        <v>0</v>
      </c>
      <c r="J435" s="264">
        <f>$D$432-J434</f>
        <v>0</v>
      </c>
      <c r="K435" s="264">
        <f t="shared" ref="K435:X435" si="190">$D$432-K434</f>
        <v>0</v>
      </c>
      <c r="L435" s="264">
        <f t="shared" si="190"/>
        <v>0</v>
      </c>
      <c r="M435" s="264">
        <f t="shared" si="190"/>
        <v>0</v>
      </c>
      <c r="N435" s="264">
        <f t="shared" si="190"/>
        <v>0</v>
      </c>
      <c r="O435" s="264">
        <f t="shared" si="190"/>
        <v>0</v>
      </c>
      <c r="P435" s="264">
        <f t="shared" si="190"/>
        <v>0</v>
      </c>
      <c r="Q435" s="264">
        <f t="shared" si="190"/>
        <v>0</v>
      </c>
      <c r="R435" s="264">
        <f t="shared" si="190"/>
        <v>0</v>
      </c>
      <c r="S435" s="264">
        <f t="shared" si="190"/>
        <v>0</v>
      </c>
      <c r="T435" s="264">
        <f t="shared" si="190"/>
        <v>0</v>
      </c>
      <c r="U435" s="264">
        <f t="shared" si="190"/>
        <v>0</v>
      </c>
      <c r="V435" s="264">
        <f t="shared" si="190"/>
        <v>0</v>
      </c>
      <c r="W435" s="264">
        <f t="shared" si="190"/>
        <v>0</v>
      </c>
      <c r="X435" s="264">
        <f t="shared" si="190"/>
        <v>0</v>
      </c>
      <c r="Y435" s="276"/>
    </row>
    <row r="436" spans="2:25" x14ac:dyDescent="0.2">
      <c r="B436" s="273"/>
      <c r="C436" s="174" t="s">
        <v>186</v>
      </c>
      <c r="D436" s="262"/>
      <c r="E436" s="266"/>
      <c r="F436" s="266"/>
      <c r="G436" s="266"/>
      <c r="H436" s="266"/>
      <c r="I436" s="265">
        <f t="shared" ref="I436:X436" si="191">SUM(I434:I435)</f>
        <v>0</v>
      </c>
      <c r="J436" s="265">
        <f t="shared" si="191"/>
        <v>0</v>
      </c>
      <c r="K436" s="265">
        <f t="shared" si="191"/>
        <v>0</v>
      </c>
      <c r="L436" s="265">
        <f t="shared" si="191"/>
        <v>0</v>
      </c>
      <c r="M436" s="265">
        <f t="shared" si="191"/>
        <v>0</v>
      </c>
      <c r="N436" s="265">
        <f t="shared" si="191"/>
        <v>0</v>
      </c>
      <c r="O436" s="265">
        <f t="shared" si="191"/>
        <v>0</v>
      </c>
      <c r="P436" s="265">
        <f t="shared" si="191"/>
        <v>0</v>
      </c>
      <c r="Q436" s="265">
        <f t="shared" si="191"/>
        <v>0</v>
      </c>
      <c r="R436" s="265">
        <f t="shared" si="191"/>
        <v>0</v>
      </c>
      <c r="S436" s="265">
        <f t="shared" si="191"/>
        <v>0</v>
      </c>
      <c r="T436" s="265">
        <f t="shared" si="191"/>
        <v>0</v>
      </c>
      <c r="U436" s="265">
        <f t="shared" si="191"/>
        <v>0</v>
      </c>
      <c r="V436" s="265">
        <f t="shared" si="191"/>
        <v>0</v>
      </c>
      <c r="W436" s="265">
        <f t="shared" si="191"/>
        <v>0</v>
      </c>
      <c r="X436" s="265">
        <f t="shared" si="191"/>
        <v>0</v>
      </c>
      <c r="Y436" s="277"/>
    </row>
    <row r="437" spans="2:25" x14ac:dyDescent="0.2">
      <c r="B437" s="273"/>
      <c r="C437" s="256" t="s">
        <v>183</v>
      </c>
      <c r="D437" s="262"/>
      <c r="E437" s="258"/>
      <c r="F437" s="258"/>
      <c r="G437" s="258"/>
      <c r="H437" s="258"/>
      <c r="I437" s="257">
        <f>'User Input'!J20-I435</f>
        <v>0</v>
      </c>
      <c r="J437" s="257">
        <f>I437-J435</f>
        <v>0</v>
      </c>
      <c r="K437" s="257">
        <f t="shared" ref="K437:X437" si="192">J437-K435</f>
        <v>0</v>
      </c>
      <c r="L437" s="257">
        <f t="shared" si="192"/>
        <v>0</v>
      </c>
      <c r="M437" s="257">
        <f t="shared" si="192"/>
        <v>0</v>
      </c>
      <c r="N437" s="257">
        <f t="shared" si="192"/>
        <v>0</v>
      </c>
      <c r="O437" s="257">
        <f t="shared" si="192"/>
        <v>0</v>
      </c>
      <c r="P437" s="257">
        <f t="shared" si="192"/>
        <v>0</v>
      </c>
      <c r="Q437" s="257">
        <f t="shared" si="192"/>
        <v>0</v>
      </c>
      <c r="R437" s="257">
        <f t="shared" si="192"/>
        <v>0</v>
      </c>
      <c r="S437" s="257">
        <f t="shared" si="192"/>
        <v>0</v>
      </c>
      <c r="T437" s="257">
        <f t="shared" si="192"/>
        <v>0</v>
      </c>
      <c r="U437" s="257">
        <f t="shared" si="192"/>
        <v>0</v>
      </c>
      <c r="V437" s="257">
        <f t="shared" si="192"/>
        <v>0</v>
      </c>
      <c r="W437" s="257">
        <f t="shared" si="192"/>
        <v>0</v>
      </c>
      <c r="X437" s="257">
        <f t="shared" si="192"/>
        <v>0</v>
      </c>
      <c r="Y437" s="275"/>
    </row>
    <row r="438" spans="2:25" x14ac:dyDescent="0.2">
      <c r="B438" s="280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79"/>
    </row>
  </sheetData>
  <sheetProtection formatCells="0" formatColumns="0" formatRows="0" insertColumns="0" insertRows="0" insertHyperlinks="0" deleteColumns="0" deleteRows="0" sort="0" autoFilter="0" pivotTables="0"/>
  <phoneticPr fontId="36" type="noConversion"/>
  <pageMargins left="0.74803149606299213" right="0.74803149606299213" top="0.98425196850393704" bottom="0.98425196850393704" header="0.51181102362204722" footer="0.51181102362204722"/>
  <pageSetup paperSize="8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3"/>
  <sheetViews>
    <sheetView workbookViewId="0"/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5" width="13.5703125" style="4" bestFit="1" customWidth="1"/>
    <col min="26" max="26" width="2.28515625" style="138" customWidth="1"/>
    <col min="27" max="27" width="15" style="138" bestFit="1" customWidth="1"/>
    <col min="28" max="16384" width="9.140625" style="138"/>
  </cols>
  <sheetData>
    <row r="2" spans="2:26" ht="18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1"/>
    </row>
    <row r="3" spans="2:26" x14ac:dyDescent="0.2">
      <c r="C3" s="182"/>
      <c r="D3" s="182"/>
      <c r="E3" s="183" t="str">
        <f>'User Input'!E4</f>
        <v>In meter capability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1"/>
    </row>
    <row r="4" spans="2:26" ht="13.5" thickBot="1" x14ac:dyDescent="0.25">
      <c r="B4" s="101" t="s">
        <v>1</v>
      </c>
      <c r="C4" s="102"/>
      <c r="D4" s="103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39"/>
    </row>
    <row r="5" spans="2:26" ht="13.5" thickBot="1" x14ac:dyDescent="0.25">
      <c r="B5" s="19"/>
      <c r="C5" s="19"/>
      <c r="D5" s="19"/>
      <c r="E5" s="132">
        <f>'User Input'!E6</f>
        <v>2019</v>
      </c>
      <c r="F5" s="133">
        <f>E5+1</f>
        <v>2020</v>
      </c>
      <c r="G5" s="133">
        <f t="shared" ref="G5:Y5" si="0">F5+1</f>
        <v>2021</v>
      </c>
      <c r="H5" s="133">
        <f t="shared" si="0"/>
        <v>2022</v>
      </c>
      <c r="I5" s="133">
        <f t="shared" si="0"/>
        <v>2023</v>
      </c>
      <c r="J5" s="133">
        <f t="shared" si="0"/>
        <v>2024</v>
      </c>
      <c r="K5" s="133">
        <f t="shared" si="0"/>
        <v>2025</v>
      </c>
      <c r="L5" s="133">
        <f t="shared" si="0"/>
        <v>2026</v>
      </c>
      <c r="M5" s="133">
        <f t="shared" si="0"/>
        <v>2027</v>
      </c>
      <c r="N5" s="133">
        <f t="shared" si="0"/>
        <v>2028</v>
      </c>
      <c r="O5" s="133">
        <f t="shared" si="0"/>
        <v>2029</v>
      </c>
      <c r="P5" s="133">
        <f t="shared" si="0"/>
        <v>2030</v>
      </c>
      <c r="Q5" s="133">
        <f t="shared" si="0"/>
        <v>2031</v>
      </c>
      <c r="R5" s="133">
        <f t="shared" si="0"/>
        <v>2032</v>
      </c>
      <c r="S5" s="133">
        <f t="shared" si="0"/>
        <v>2033</v>
      </c>
      <c r="T5" s="133">
        <f t="shared" si="0"/>
        <v>2034</v>
      </c>
      <c r="U5" s="133">
        <f t="shared" si="0"/>
        <v>2035</v>
      </c>
      <c r="V5" s="133">
        <f t="shared" si="0"/>
        <v>2036</v>
      </c>
      <c r="W5" s="133">
        <f t="shared" si="0"/>
        <v>2037</v>
      </c>
      <c r="X5" s="133">
        <f t="shared" si="0"/>
        <v>2038</v>
      </c>
      <c r="Y5" s="133">
        <f t="shared" si="0"/>
        <v>2039</v>
      </c>
      <c r="Z5" s="152"/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1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51"/>
    </row>
    <row r="8" spans="2:26" x14ac:dyDescent="0.2">
      <c r="B8" s="13" t="s">
        <v>16</v>
      </c>
      <c r="E8" s="14"/>
      <c r="F8" s="14">
        <f>'Administrator Input'!F35</f>
        <v>1.9400000000000001E-2</v>
      </c>
      <c r="G8" s="14">
        <f t="shared" ref="G8:Y8" si="1">+$F$8</f>
        <v>1.9400000000000001E-2</v>
      </c>
      <c r="H8" s="14">
        <f t="shared" si="1"/>
        <v>1.9400000000000001E-2</v>
      </c>
      <c r="I8" s="14">
        <f t="shared" si="1"/>
        <v>1.9400000000000001E-2</v>
      </c>
      <c r="J8" s="14">
        <f t="shared" si="1"/>
        <v>1.9400000000000001E-2</v>
      </c>
      <c r="K8" s="14">
        <f t="shared" si="1"/>
        <v>1.9400000000000001E-2</v>
      </c>
      <c r="L8" s="14">
        <f t="shared" si="1"/>
        <v>1.9400000000000001E-2</v>
      </c>
      <c r="M8" s="14">
        <f t="shared" si="1"/>
        <v>1.9400000000000001E-2</v>
      </c>
      <c r="N8" s="14">
        <f t="shared" si="1"/>
        <v>1.9400000000000001E-2</v>
      </c>
      <c r="O8" s="14">
        <f t="shared" si="1"/>
        <v>1.9400000000000001E-2</v>
      </c>
      <c r="P8" s="14">
        <f t="shared" si="1"/>
        <v>1.9400000000000001E-2</v>
      </c>
      <c r="Q8" s="14">
        <f t="shared" si="1"/>
        <v>1.9400000000000001E-2</v>
      </c>
      <c r="R8" s="14">
        <f t="shared" si="1"/>
        <v>1.9400000000000001E-2</v>
      </c>
      <c r="S8" s="14">
        <f t="shared" si="1"/>
        <v>1.9400000000000001E-2</v>
      </c>
      <c r="T8" s="14">
        <f t="shared" si="1"/>
        <v>1.9400000000000001E-2</v>
      </c>
      <c r="U8" s="14">
        <f t="shared" si="1"/>
        <v>1.9400000000000001E-2</v>
      </c>
      <c r="V8" s="14">
        <f t="shared" si="1"/>
        <v>1.9400000000000001E-2</v>
      </c>
      <c r="W8" s="14">
        <f t="shared" si="1"/>
        <v>1.9400000000000001E-2</v>
      </c>
      <c r="X8" s="14">
        <f t="shared" si="1"/>
        <v>1.9400000000000001E-2</v>
      </c>
      <c r="Y8" s="14">
        <f t="shared" si="1"/>
        <v>1.9400000000000001E-2</v>
      </c>
      <c r="Z8" s="151"/>
    </row>
    <row r="9" spans="2:26" x14ac:dyDescent="0.2">
      <c r="B9" s="10" t="s">
        <v>17</v>
      </c>
      <c r="C9" s="11"/>
      <c r="D9" s="11"/>
      <c r="E9" s="15">
        <v>1</v>
      </c>
      <c r="F9" s="15">
        <f t="shared" ref="F9:Y9" si="2">E9+(+E9*F8)</f>
        <v>1.0194000000000001</v>
      </c>
      <c r="G9" s="15">
        <f t="shared" si="2"/>
        <v>1.0391763600000001</v>
      </c>
      <c r="H9" s="15">
        <f t="shared" si="2"/>
        <v>1.0593363813840002</v>
      </c>
      <c r="I9" s="15">
        <f t="shared" si="2"/>
        <v>1.0798875071828498</v>
      </c>
      <c r="J9" s="15">
        <f t="shared" si="2"/>
        <v>1.100837324822197</v>
      </c>
      <c r="K9" s="15">
        <f t="shared" si="2"/>
        <v>1.1221935689237477</v>
      </c>
      <c r="L9" s="15">
        <f t="shared" si="2"/>
        <v>1.1439641241608685</v>
      </c>
      <c r="M9" s="15">
        <f t="shared" si="2"/>
        <v>1.1661570281695892</v>
      </c>
      <c r="N9" s="15">
        <f t="shared" si="2"/>
        <v>1.1887804745160793</v>
      </c>
      <c r="O9" s="15">
        <f t="shared" si="2"/>
        <v>1.2118428157216912</v>
      </c>
      <c r="P9" s="15">
        <f t="shared" si="2"/>
        <v>1.235352566346692</v>
      </c>
      <c r="Q9" s="15">
        <f t="shared" si="2"/>
        <v>1.2593184061338178</v>
      </c>
      <c r="R9" s="15">
        <f t="shared" si="2"/>
        <v>1.2837491832128138</v>
      </c>
      <c r="S9" s="15">
        <f t="shared" si="2"/>
        <v>1.3086539173671423</v>
      </c>
      <c r="T9" s="15">
        <f t="shared" si="2"/>
        <v>1.3340418033640649</v>
      </c>
      <c r="U9" s="15">
        <f t="shared" si="2"/>
        <v>1.3599222143493277</v>
      </c>
      <c r="V9" s="15">
        <f t="shared" si="2"/>
        <v>1.3863047053077047</v>
      </c>
      <c r="W9" s="15">
        <f t="shared" si="2"/>
        <v>1.413199016590674</v>
      </c>
      <c r="X9" s="15">
        <f t="shared" si="2"/>
        <v>1.440615077512533</v>
      </c>
      <c r="Y9" s="15">
        <f t="shared" si="2"/>
        <v>1.4685630100162761</v>
      </c>
      <c r="Z9" s="151"/>
    </row>
    <row r="10" spans="2:26" x14ac:dyDescent="0.2">
      <c r="B10" s="10"/>
      <c r="C10" s="11"/>
      <c r="D10" s="11"/>
      <c r="E10" s="16"/>
      <c r="F10" s="16"/>
      <c r="G10" s="69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7"/>
    </row>
    <row r="11" spans="2:26" x14ac:dyDescent="0.2">
      <c r="B11" s="366" t="str">
        <f>'User Input'!D24</f>
        <v>"Status Quo" Reference Case</v>
      </c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70"/>
    </row>
    <row r="12" spans="2:26" ht="13.5" thickBot="1" x14ac:dyDescent="0.25">
      <c r="B12" s="5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1"/>
    </row>
    <row r="13" spans="2:26" ht="13.5" thickBot="1" x14ac:dyDescent="0.25">
      <c r="B13" s="52"/>
      <c r="C13" s="4" t="s">
        <v>76</v>
      </c>
      <c r="D13" s="67">
        <f t="shared" ref="D13:D31" si="3">SUM(E13:Y13)</f>
        <v>6027.8988712705177</v>
      </c>
      <c r="E13" s="64">
        <f>'User Input'!F15</f>
        <v>0</v>
      </c>
      <c r="F13" s="64">
        <f>'User Input'!G15*F$9</f>
        <v>127.42500000000001</v>
      </c>
      <c r="G13" s="64">
        <f>'User Input'!H15*G$9</f>
        <v>259.79409000000004</v>
      </c>
      <c r="H13" s="64">
        <f>'User Input'!I15*H$9</f>
        <v>264.83409534600003</v>
      </c>
      <c r="I13" s="64">
        <f>'User Input'!J15*I$9</f>
        <v>269.97187679571243</v>
      </c>
      <c r="J13" s="64">
        <f>'User Input'!K15*J$9</f>
        <v>275.20933120554923</v>
      </c>
      <c r="K13" s="64">
        <f>'User Input'!L15*K$9</f>
        <v>280.54839223093694</v>
      </c>
      <c r="L13" s="64">
        <f>'User Input'!M15*L$9</f>
        <v>285.99103104021714</v>
      </c>
      <c r="M13" s="64">
        <f>'User Input'!N15*M$9</f>
        <v>291.53925704239731</v>
      </c>
      <c r="N13" s="64">
        <f>'User Input'!O15*N$9</f>
        <v>297.19511862901982</v>
      </c>
      <c r="O13" s="64">
        <f>'User Input'!P15*O$9</f>
        <v>302.96070393042277</v>
      </c>
      <c r="P13" s="64">
        <f>'User Input'!Q15*P$9</f>
        <v>308.83814158667298</v>
      </c>
      <c r="Q13" s="64">
        <f>'User Input'!R15*Q$9</f>
        <v>314.82960153345448</v>
      </c>
      <c r="R13" s="64">
        <f>'User Input'!S15*R$9</f>
        <v>320.93729580320348</v>
      </c>
      <c r="S13" s="64">
        <f>'User Input'!T15*S$9</f>
        <v>327.1634793417856</v>
      </c>
      <c r="T13" s="64">
        <f>'User Input'!U15*T$9</f>
        <v>333.51045084101622</v>
      </c>
      <c r="U13" s="64">
        <f>'User Input'!V15*U$9</f>
        <v>339.98055358733194</v>
      </c>
      <c r="V13" s="64">
        <f>'User Input'!W15*V$9</f>
        <v>346.57617632692615</v>
      </c>
      <c r="W13" s="64">
        <f>'User Input'!X15*W$9</f>
        <v>353.29975414766852</v>
      </c>
      <c r="X13" s="64">
        <f>'User Input'!Y15*X$9</f>
        <v>360.15376937813323</v>
      </c>
      <c r="Y13" s="64">
        <f>'User Input'!Z15*Y$9</f>
        <v>367.14075250406904</v>
      </c>
      <c r="Z13" s="151"/>
    </row>
    <row r="14" spans="2:26" ht="13.5" thickBot="1" x14ac:dyDescent="0.25">
      <c r="B14" s="13"/>
      <c r="C14" s="22" t="str">
        <f>'User Input'!D27</f>
        <v>Maintenance Costs</v>
      </c>
      <c r="D14" s="67">
        <f t="shared" si="3"/>
        <v>0</v>
      </c>
      <c r="E14" s="697">
        <v>0</v>
      </c>
      <c r="F14" s="64">
        <f>'User Input'!F27*F$9</f>
        <v>0</v>
      </c>
      <c r="G14" s="64">
        <f>'User Input'!G27*G$9</f>
        <v>0</v>
      </c>
      <c r="H14" s="64">
        <f>'User Input'!H27*H$9</f>
        <v>0</v>
      </c>
      <c r="I14" s="64">
        <f>'User Input'!I27*I$9</f>
        <v>0</v>
      </c>
      <c r="J14" s="64">
        <f>'User Input'!J27*J$9</f>
        <v>0</v>
      </c>
      <c r="K14" s="64">
        <f>'User Input'!K27*K$9</f>
        <v>0</v>
      </c>
      <c r="L14" s="64">
        <f>'User Input'!L27*L$9</f>
        <v>0</v>
      </c>
      <c r="M14" s="64">
        <f>'User Input'!M27*M$9</f>
        <v>0</v>
      </c>
      <c r="N14" s="64">
        <f>'User Input'!N27*N$9</f>
        <v>0</v>
      </c>
      <c r="O14" s="64">
        <f>'User Input'!O27*O$9</f>
        <v>0</v>
      </c>
      <c r="P14" s="64">
        <f>'User Input'!P27*P$9</f>
        <v>0</v>
      </c>
      <c r="Q14" s="64">
        <f>'User Input'!Q27*Q$9</f>
        <v>0</v>
      </c>
      <c r="R14" s="64">
        <f>'User Input'!R27*R$9</f>
        <v>0</v>
      </c>
      <c r="S14" s="64">
        <f>'User Input'!S27*S$9</f>
        <v>0</v>
      </c>
      <c r="T14" s="64">
        <f>'User Input'!T27*T$9</f>
        <v>0</v>
      </c>
      <c r="U14" s="64">
        <f>'User Input'!U27*U$9</f>
        <v>0</v>
      </c>
      <c r="V14" s="64">
        <f>'User Input'!V27*V$9</f>
        <v>0</v>
      </c>
      <c r="W14" s="64">
        <f>'User Input'!W27*W$9</f>
        <v>0</v>
      </c>
      <c r="X14" s="64">
        <f>'User Input'!X27*X$9</f>
        <v>0</v>
      </c>
      <c r="Y14" s="64">
        <f>'User Input'!Y27*Y$9</f>
        <v>0</v>
      </c>
      <c r="Z14" s="151"/>
    </row>
    <row r="15" spans="2:26" ht="13.5" thickBot="1" x14ac:dyDescent="0.25">
      <c r="B15" s="13"/>
      <c r="C15" s="137" t="str">
        <f>'User Input'!D29</f>
        <v>Negative Impact on Revenue (STPIS)</v>
      </c>
      <c r="D15" s="195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46"/>
      <c r="Z15" s="151"/>
    </row>
    <row r="16" spans="2:26" ht="13.5" thickBot="1" x14ac:dyDescent="0.25">
      <c r="B16" s="13"/>
      <c r="C16" s="136" t="s">
        <v>128</v>
      </c>
      <c r="D16" s="67">
        <f t="shared" si="3"/>
        <v>0</v>
      </c>
      <c r="E16" s="259">
        <v>0</v>
      </c>
      <c r="F16" s="259">
        <v>0</v>
      </c>
      <c r="G16" s="697">
        <v>0</v>
      </c>
      <c r="H16" s="64">
        <f>IF('User Input'!$I$8=1,'User Input'!F30*'Administrator Input'!$F$41*H9,0)</f>
        <v>0</v>
      </c>
      <c r="I16" s="64">
        <f>IF('User Input'!$I$8=1,'User Input'!G30*'Administrator Input'!$F$41*I9,0)</f>
        <v>0</v>
      </c>
      <c r="J16" s="64">
        <f>IF('User Input'!$I$8=1,'User Input'!H30*'Administrator Input'!$F$41*J9,0)</f>
        <v>0</v>
      </c>
      <c r="K16" s="64">
        <f>IF('User Input'!$I$8=1,'User Input'!I30*'Administrator Input'!$F$41*K9,0)</f>
        <v>0</v>
      </c>
      <c r="L16" s="64">
        <f>IF('User Input'!$I$8=1,'User Input'!J30*'Administrator Input'!$F$41*L9,0)</f>
        <v>0</v>
      </c>
      <c r="M16" s="64">
        <f>IF('User Input'!$I$8=1,'User Input'!K30*'Administrator Input'!$F$41*M9,0)</f>
        <v>0</v>
      </c>
      <c r="N16" s="64">
        <f>IF('User Input'!$I$8=1,'User Input'!L30*'Administrator Input'!$F$41*N9,0)</f>
        <v>0</v>
      </c>
      <c r="O16" s="64">
        <f>IF('User Input'!$I$8=1,'User Input'!M30*'Administrator Input'!$F$41*O9,0)</f>
        <v>0</v>
      </c>
      <c r="P16" s="64">
        <f>IF('User Input'!$I$8=1,'User Input'!N30*'Administrator Input'!$F$41*P9,0)</f>
        <v>0</v>
      </c>
      <c r="Q16" s="64">
        <f>IF('User Input'!$I$8=1,'User Input'!O30*'Administrator Input'!$F$41*Q9,0)</f>
        <v>0</v>
      </c>
      <c r="R16" s="64">
        <f>IF('User Input'!$I$8=1,'User Input'!P30*'Administrator Input'!$F$41*R9,0)</f>
        <v>0</v>
      </c>
      <c r="S16" s="64">
        <f>IF('User Input'!$I$8=1,'User Input'!Q30*'Administrator Input'!$F$41*S9,0)</f>
        <v>0</v>
      </c>
      <c r="T16" s="64">
        <f>IF('User Input'!$I$8=1,'User Input'!R30*'Administrator Input'!$F$41*T9,0)</f>
        <v>0</v>
      </c>
      <c r="U16" s="64">
        <f>IF('User Input'!$I$8=1,'User Input'!S30*'Administrator Input'!$F$41*U9,0)</f>
        <v>0</v>
      </c>
      <c r="V16" s="64">
        <f>IF('User Input'!$I$8=1,'User Input'!T30*'Administrator Input'!$F$41*V9,0)</f>
        <v>0</v>
      </c>
      <c r="W16" s="64">
        <f>IF('User Input'!$I$8=1,'User Input'!U30*'Administrator Input'!$F$41*W9,0)</f>
        <v>0</v>
      </c>
      <c r="X16" s="64">
        <f>IF('User Input'!$I$8=1,'User Input'!V30*'Administrator Input'!$F$41*X9,0)</f>
        <v>0</v>
      </c>
      <c r="Y16" s="64">
        <f>IF('User Input'!$I$8=1,'User Input'!W30*'Administrator Input'!$F$41*Y9,0)</f>
        <v>0</v>
      </c>
      <c r="Z16" s="151"/>
    </row>
    <row r="17" spans="2:26" ht="13.5" thickBot="1" x14ac:dyDescent="0.25">
      <c r="B17" s="13"/>
      <c r="C17" s="140" t="s">
        <v>129</v>
      </c>
      <c r="D17" s="67">
        <f t="shared" si="3"/>
        <v>0</v>
      </c>
      <c r="E17" s="259">
        <v>0</v>
      </c>
      <c r="F17" s="259">
        <v>0</v>
      </c>
      <c r="G17" s="697">
        <v>0</v>
      </c>
      <c r="H17" s="64">
        <f>IF('User Input'!$I$8=1,'User Input'!F31*'Administrator Input'!$F$42*H9,0)</f>
        <v>0</v>
      </c>
      <c r="I17" s="64">
        <f>IF('User Input'!$I$8=1,'User Input'!G31*'Administrator Input'!$F$42*I9,0)</f>
        <v>0</v>
      </c>
      <c r="J17" s="64">
        <f>IF('User Input'!$I$8=1,'User Input'!H31*'Administrator Input'!$F$42*J9,0)</f>
        <v>0</v>
      </c>
      <c r="K17" s="64">
        <f>IF('User Input'!$I$8=1,'User Input'!I31*'Administrator Input'!$F$42*K9,0)</f>
        <v>0</v>
      </c>
      <c r="L17" s="64">
        <f>IF('User Input'!$I$8=1,'User Input'!J31*'Administrator Input'!$F$42*L9,0)</f>
        <v>0</v>
      </c>
      <c r="M17" s="64">
        <f>IF('User Input'!$I$8=1,'User Input'!K31*'Administrator Input'!$F$42*M9,0)</f>
        <v>0</v>
      </c>
      <c r="N17" s="64">
        <f>IF('User Input'!$I$8=1,'User Input'!L31*'Administrator Input'!$F$42*N9,0)</f>
        <v>0</v>
      </c>
      <c r="O17" s="64">
        <f>IF('User Input'!$I$8=1,'User Input'!M31*'Administrator Input'!$F$42*O9,0)</f>
        <v>0</v>
      </c>
      <c r="P17" s="64">
        <f>IF('User Input'!$I$8=1,'User Input'!N31*'Administrator Input'!$F$42*P9,0)</f>
        <v>0</v>
      </c>
      <c r="Q17" s="64">
        <f>IF('User Input'!$I$8=1,'User Input'!O31*'Administrator Input'!$F$42*Q9,0)</f>
        <v>0</v>
      </c>
      <c r="R17" s="64">
        <f>IF('User Input'!$I$8=1,'User Input'!P31*'Administrator Input'!$F$42*R9,0)</f>
        <v>0</v>
      </c>
      <c r="S17" s="64">
        <f>IF('User Input'!$I$8=1,'User Input'!Q31*'Administrator Input'!$F$42*S9,0)</f>
        <v>0</v>
      </c>
      <c r="T17" s="64">
        <f>IF('User Input'!$I$8=1,'User Input'!R31*'Administrator Input'!$F$42*T9,0)</f>
        <v>0</v>
      </c>
      <c r="U17" s="64">
        <f>IF('User Input'!$I$8=1,'User Input'!S31*'Administrator Input'!$F$42*U9,0)</f>
        <v>0</v>
      </c>
      <c r="V17" s="64">
        <f>IF('User Input'!$I$8=1,'User Input'!T31*'Administrator Input'!$F$42*V9,0)</f>
        <v>0</v>
      </c>
      <c r="W17" s="64">
        <f>IF('User Input'!$I$8=1,'User Input'!U31*'Administrator Input'!$F$42*W9,0)</f>
        <v>0</v>
      </c>
      <c r="X17" s="64">
        <f>IF('User Input'!$I$8=1,'User Input'!V31*'Administrator Input'!$F$42*X9,0)</f>
        <v>0</v>
      </c>
      <c r="Y17" s="64">
        <f>IF('User Input'!$I$8=1,'User Input'!W31*'Administrator Input'!$F$42*Y9,0)</f>
        <v>0</v>
      </c>
      <c r="Z17" s="151"/>
    </row>
    <row r="18" spans="2:26" ht="13.5" thickBot="1" x14ac:dyDescent="0.25">
      <c r="B18" s="13"/>
      <c r="C18" s="140" t="s">
        <v>130</v>
      </c>
      <c r="D18" s="67">
        <f t="shared" si="3"/>
        <v>0</v>
      </c>
      <c r="E18" s="259">
        <v>0</v>
      </c>
      <c r="F18" s="259">
        <v>0</v>
      </c>
      <c r="G18" s="697">
        <v>0</v>
      </c>
      <c r="H18" s="64">
        <f>IF('User Input'!$I$8=1,'User Input'!F32*'Administrator Input'!$F$43*H9,0)</f>
        <v>0</v>
      </c>
      <c r="I18" s="64">
        <f>IF('User Input'!$I$8=1,'User Input'!G32*'Administrator Input'!$F$43*I9,0)</f>
        <v>0</v>
      </c>
      <c r="J18" s="64">
        <f>IF('User Input'!$I$8=1,'User Input'!H32*'Administrator Input'!$F$43*J9,0)</f>
        <v>0</v>
      </c>
      <c r="K18" s="64">
        <f>IF('User Input'!$I$8=1,'User Input'!I32*'Administrator Input'!$F$43*K9,0)</f>
        <v>0</v>
      </c>
      <c r="L18" s="64">
        <f>IF('User Input'!$I$8=1,'User Input'!J32*'Administrator Input'!$F$43*L9,0)</f>
        <v>0</v>
      </c>
      <c r="M18" s="64">
        <f>IF('User Input'!$I$8=1,'User Input'!K32*'Administrator Input'!$F$43*M9,0)</f>
        <v>0</v>
      </c>
      <c r="N18" s="64">
        <f>IF('User Input'!$I$8=1,'User Input'!L32*'Administrator Input'!$F$43*N9,0)</f>
        <v>0</v>
      </c>
      <c r="O18" s="64">
        <f>IF('User Input'!$I$8=1,'User Input'!M32*'Administrator Input'!$F$43*O9,0)</f>
        <v>0</v>
      </c>
      <c r="P18" s="64">
        <f>IF('User Input'!$I$8=1,'User Input'!N32*'Administrator Input'!$F$43*P9,0)</f>
        <v>0</v>
      </c>
      <c r="Q18" s="64">
        <f>IF('User Input'!$I$8=1,'User Input'!O32*'Administrator Input'!$F$43*Q9,0)</f>
        <v>0</v>
      </c>
      <c r="R18" s="64">
        <f>IF('User Input'!$I$8=1,'User Input'!P32*'Administrator Input'!$F$43*R9,0)</f>
        <v>0</v>
      </c>
      <c r="S18" s="64">
        <f>IF('User Input'!$I$8=1,'User Input'!Q32*'Administrator Input'!$F$43*S9,0)</f>
        <v>0</v>
      </c>
      <c r="T18" s="64">
        <f>IF('User Input'!$I$8=1,'User Input'!R32*'Administrator Input'!$F$43*T9,0)</f>
        <v>0</v>
      </c>
      <c r="U18" s="64">
        <f>IF('User Input'!$I$8=1,'User Input'!S32*'Administrator Input'!$F$43*U9,0)</f>
        <v>0</v>
      </c>
      <c r="V18" s="64">
        <f>IF('User Input'!$I$8=1,'User Input'!T32*'Administrator Input'!$F$43*V9,0)</f>
        <v>0</v>
      </c>
      <c r="W18" s="64">
        <f>IF('User Input'!$I$8=1,'User Input'!U32*'Administrator Input'!$F$43*W9,0)</f>
        <v>0</v>
      </c>
      <c r="X18" s="64">
        <f>IF('User Input'!$I$8=1,'User Input'!V32*'Administrator Input'!$F$43*X9,0)</f>
        <v>0</v>
      </c>
      <c r="Y18" s="64">
        <f>IF('User Input'!$I$8=1,'User Input'!W32*'Administrator Input'!$F$43*Y9,0)</f>
        <v>0</v>
      </c>
      <c r="Z18" s="151"/>
    </row>
    <row r="19" spans="2:26" ht="13.5" thickBot="1" x14ac:dyDescent="0.25">
      <c r="B19" s="13"/>
      <c r="C19" s="140" t="s">
        <v>131</v>
      </c>
      <c r="D19" s="67">
        <f t="shared" si="3"/>
        <v>0</v>
      </c>
      <c r="E19" s="259">
        <v>0</v>
      </c>
      <c r="F19" s="259">
        <v>0</v>
      </c>
      <c r="G19" s="697">
        <v>0</v>
      </c>
      <c r="H19" s="64">
        <f>IF('User Input'!$I$8=1,'User Input'!F33*'Administrator Input'!$F$44*H9,0)</f>
        <v>0</v>
      </c>
      <c r="I19" s="64">
        <f>IF('User Input'!$I$8=1,'User Input'!G33*'Administrator Input'!$F$44*I9,0)</f>
        <v>0</v>
      </c>
      <c r="J19" s="64">
        <f>IF('User Input'!$I$8=1,'User Input'!H33*'Administrator Input'!$F$44*J9,0)</f>
        <v>0</v>
      </c>
      <c r="K19" s="64">
        <f>IF('User Input'!$I$8=1,'User Input'!I33*'Administrator Input'!$F$44*K9,0)</f>
        <v>0</v>
      </c>
      <c r="L19" s="64">
        <f>IF('User Input'!$I$8=1,'User Input'!J33*'Administrator Input'!$F$44*L9,0)</f>
        <v>0</v>
      </c>
      <c r="M19" s="64">
        <f>IF('User Input'!$I$8=1,'User Input'!K33*'Administrator Input'!$F$44*M9,0)</f>
        <v>0</v>
      </c>
      <c r="N19" s="64">
        <f>IF('User Input'!$I$8=1,'User Input'!L33*'Administrator Input'!$F$44*N9,0)</f>
        <v>0</v>
      </c>
      <c r="O19" s="64">
        <f>IF('User Input'!$I$8=1,'User Input'!M33*'Administrator Input'!$F$44*O9,0)</f>
        <v>0</v>
      </c>
      <c r="P19" s="64">
        <f>IF('User Input'!$I$8=1,'User Input'!N33*'Administrator Input'!$F$44*P9,0)</f>
        <v>0</v>
      </c>
      <c r="Q19" s="64">
        <f>IF('User Input'!$I$8=1,'User Input'!O33*'Administrator Input'!$F$44*Q9,0)</f>
        <v>0</v>
      </c>
      <c r="R19" s="64">
        <f>IF('User Input'!$I$8=1,'User Input'!P33*'Administrator Input'!$F$44*R9,0)</f>
        <v>0</v>
      </c>
      <c r="S19" s="64">
        <f>IF('User Input'!$I$8=1,'User Input'!Q33*'Administrator Input'!$F$44*S9,0)</f>
        <v>0</v>
      </c>
      <c r="T19" s="64">
        <f>IF('User Input'!$I$8=1,'User Input'!R33*'Administrator Input'!$F$44*T9,0)</f>
        <v>0</v>
      </c>
      <c r="U19" s="64">
        <f>IF('User Input'!$I$8=1,'User Input'!S33*'Administrator Input'!$F$44*U9,0)</f>
        <v>0</v>
      </c>
      <c r="V19" s="64">
        <f>IF('User Input'!$I$8=1,'User Input'!T33*'Administrator Input'!$F$44*V9,0)</f>
        <v>0</v>
      </c>
      <c r="W19" s="64">
        <f>IF('User Input'!$I$8=1,'User Input'!U33*'Administrator Input'!$F$44*W9,0)</f>
        <v>0</v>
      </c>
      <c r="X19" s="64">
        <f>IF('User Input'!$I$8=1,'User Input'!V33*'Administrator Input'!$F$44*X9,0)</f>
        <v>0</v>
      </c>
      <c r="Y19" s="64">
        <f>IF('User Input'!$I$8=1,'User Input'!W33*'Administrator Input'!$F$44*Y9,0)</f>
        <v>0</v>
      </c>
      <c r="Z19" s="151"/>
    </row>
    <row r="20" spans="2:26" ht="13.5" thickBot="1" x14ac:dyDescent="0.25">
      <c r="B20" s="13"/>
      <c r="C20" s="137" t="str">
        <f>'User Input'!D35</f>
        <v>Network Outage Costs</v>
      </c>
      <c r="D20" s="67">
        <f t="shared" si="3"/>
        <v>0</v>
      </c>
      <c r="E20" s="697">
        <v>0</v>
      </c>
      <c r="F20" s="141">
        <f>'User Input'!F36*'Administrator Input'!$F$49*F9</f>
        <v>0</v>
      </c>
      <c r="G20" s="141">
        <f>'User Input'!G36*'Administrator Input'!$F$49*G9</f>
        <v>0</v>
      </c>
      <c r="H20" s="141">
        <f>'User Input'!H36*'Administrator Input'!$F$49*H9</f>
        <v>0</v>
      </c>
      <c r="I20" s="141">
        <f>'User Input'!I36*'Administrator Input'!$F$49*I9</f>
        <v>0</v>
      </c>
      <c r="J20" s="141">
        <f>'User Input'!J36*'Administrator Input'!$F$49*J9</f>
        <v>0</v>
      </c>
      <c r="K20" s="141">
        <f>'User Input'!K36*'Administrator Input'!$F$49*K9</f>
        <v>0</v>
      </c>
      <c r="L20" s="141">
        <f>'User Input'!L36*'Administrator Input'!$F$49*L9</f>
        <v>0</v>
      </c>
      <c r="M20" s="141">
        <f>'User Input'!M36*'Administrator Input'!$F$49*M9</f>
        <v>0</v>
      </c>
      <c r="N20" s="141">
        <f>'User Input'!N36*'Administrator Input'!$F$49*N9</f>
        <v>0</v>
      </c>
      <c r="O20" s="141">
        <f>'User Input'!O36*'Administrator Input'!$F$49*O9</f>
        <v>0</v>
      </c>
      <c r="P20" s="141">
        <f>'User Input'!P36*'Administrator Input'!$F$49*P9</f>
        <v>0</v>
      </c>
      <c r="Q20" s="141">
        <f>'User Input'!Q36*'Administrator Input'!$F$49*Q9</f>
        <v>0</v>
      </c>
      <c r="R20" s="141">
        <f>'User Input'!R36*'Administrator Input'!$F$49*R9</f>
        <v>0</v>
      </c>
      <c r="S20" s="141">
        <f>'User Input'!S36*'Administrator Input'!$F$49*S9</f>
        <v>0</v>
      </c>
      <c r="T20" s="141">
        <f>'User Input'!T36*'Administrator Input'!$F$49*T9</f>
        <v>0</v>
      </c>
      <c r="U20" s="141">
        <f>'User Input'!U36*'Administrator Input'!$F$49*U9</f>
        <v>0</v>
      </c>
      <c r="V20" s="141">
        <f>'User Input'!V36*'Administrator Input'!$F$49*V9</f>
        <v>0</v>
      </c>
      <c r="W20" s="141">
        <f>'User Input'!W36*'Administrator Input'!$F$49*W9</f>
        <v>0</v>
      </c>
      <c r="X20" s="141">
        <f>'User Input'!X36*'Administrator Input'!$F$49*X9</f>
        <v>0</v>
      </c>
      <c r="Y20" s="141">
        <f>'User Input'!Y36*'Administrator Input'!$F$49*Y9</f>
        <v>0</v>
      </c>
      <c r="Z20" s="151"/>
    </row>
    <row r="21" spans="2:26" ht="13.5" thickBot="1" x14ac:dyDescent="0.25">
      <c r="B21" s="13"/>
      <c r="C21" s="137" t="str">
        <f>'User Input'!D39</f>
        <v>Loss of F Factor Benefit</v>
      </c>
      <c r="D21" s="67">
        <f t="shared" si="3"/>
        <v>0</v>
      </c>
      <c r="E21" s="697">
        <v>0</v>
      </c>
      <c r="F21" s="141">
        <f>'User Input'!F39*'Administrator Input'!$F$54</f>
        <v>0</v>
      </c>
      <c r="G21" s="141">
        <f>'User Input'!G39*'Administrator Input'!$F$54</f>
        <v>0</v>
      </c>
      <c r="H21" s="141">
        <f>'User Input'!H39*'Administrator Input'!$F$54</f>
        <v>0</v>
      </c>
      <c r="I21" s="141">
        <f>'User Input'!I39*'Administrator Input'!$F$54</f>
        <v>0</v>
      </c>
      <c r="J21" s="141">
        <f>'User Input'!J39*'Administrator Input'!$F$54</f>
        <v>0</v>
      </c>
      <c r="K21" s="141">
        <f>'User Input'!K39*'Administrator Input'!$F$54</f>
        <v>0</v>
      </c>
      <c r="L21" s="141">
        <f>'User Input'!L39*'Administrator Input'!$F$54</f>
        <v>0</v>
      </c>
      <c r="M21" s="141">
        <f>'User Input'!M39*'Administrator Input'!$F$54</f>
        <v>0</v>
      </c>
      <c r="N21" s="141">
        <f>'User Input'!N39*'Administrator Input'!$F$54</f>
        <v>0</v>
      </c>
      <c r="O21" s="141">
        <f>'User Input'!O39*'Administrator Input'!$F$54</f>
        <v>0</v>
      </c>
      <c r="P21" s="141">
        <f>'User Input'!P39*'Administrator Input'!$F$54</f>
        <v>0</v>
      </c>
      <c r="Q21" s="141">
        <f>'User Input'!Q39*'Administrator Input'!$F$54</f>
        <v>0</v>
      </c>
      <c r="R21" s="141">
        <f>'User Input'!R39*'Administrator Input'!$F$54</f>
        <v>0</v>
      </c>
      <c r="S21" s="141">
        <f>'User Input'!S39*'Administrator Input'!$F$54</f>
        <v>0</v>
      </c>
      <c r="T21" s="141">
        <f>'User Input'!T39*'Administrator Input'!$F$54</f>
        <v>0</v>
      </c>
      <c r="U21" s="141">
        <f>'User Input'!U39*'Administrator Input'!$F$54</f>
        <v>0</v>
      </c>
      <c r="V21" s="141">
        <f>'User Input'!V39*'Administrator Input'!$F$54</f>
        <v>0</v>
      </c>
      <c r="W21" s="141">
        <f>'User Input'!W39*'Administrator Input'!$F$54</f>
        <v>0</v>
      </c>
      <c r="X21" s="141">
        <f>'User Input'!X39*'Administrator Input'!$F$54</f>
        <v>0</v>
      </c>
      <c r="Y21" s="141">
        <f>'User Input'!Y39*'Administrator Input'!$F$54</f>
        <v>0</v>
      </c>
      <c r="Z21" s="151"/>
    </row>
    <row r="22" spans="2:26" ht="13.5" thickBot="1" x14ac:dyDescent="0.25">
      <c r="B22" s="13"/>
      <c r="C22" s="22" t="str">
        <f>'User Input'!D42</f>
        <v>Cost 1</v>
      </c>
      <c r="D22" s="67">
        <f t="shared" si="3"/>
        <v>0</v>
      </c>
      <c r="E22" s="697">
        <v>0</v>
      </c>
      <c r="F22" s="64">
        <f>'User Input'!F42*F$9</f>
        <v>0</v>
      </c>
      <c r="G22" s="64">
        <f>'User Input'!G42*G$9</f>
        <v>0</v>
      </c>
      <c r="H22" s="64">
        <f>'User Input'!H42*H$9</f>
        <v>0</v>
      </c>
      <c r="I22" s="64">
        <f>'User Input'!I42*I$9</f>
        <v>0</v>
      </c>
      <c r="J22" s="64">
        <f>'User Input'!J42*J$9</f>
        <v>0</v>
      </c>
      <c r="K22" s="64">
        <f>'User Input'!K42*K$9</f>
        <v>0</v>
      </c>
      <c r="L22" s="64">
        <f>'User Input'!L42*L$9</f>
        <v>0</v>
      </c>
      <c r="M22" s="64">
        <f>'User Input'!M42*M$9</f>
        <v>0</v>
      </c>
      <c r="N22" s="64">
        <f>'User Input'!N42*N$9</f>
        <v>0</v>
      </c>
      <c r="O22" s="64">
        <f>'User Input'!O42*O$9</f>
        <v>0</v>
      </c>
      <c r="P22" s="64">
        <f>'User Input'!P42*P$9</f>
        <v>0</v>
      </c>
      <c r="Q22" s="64">
        <f>'User Input'!Q42*Q$9</f>
        <v>0</v>
      </c>
      <c r="R22" s="64">
        <f>'User Input'!R42*R$9</f>
        <v>0</v>
      </c>
      <c r="S22" s="64">
        <f>'User Input'!S42*S$9</f>
        <v>0</v>
      </c>
      <c r="T22" s="64">
        <f>'User Input'!T42*T$9</f>
        <v>0</v>
      </c>
      <c r="U22" s="64">
        <f>'User Input'!U42*U$9</f>
        <v>0</v>
      </c>
      <c r="V22" s="64">
        <f>'User Input'!V42*V$9</f>
        <v>0</v>
      </c>
      <c r="W22" s="64">
        <f>'User Input'!W42*W$9</f>
        <v>0</v>
      </c>
      <c r="X22" s="64">
        <f>'User Input'!X42*X$9</f>
        <v>0</v>
      </c>
      <c r="Y22" s="64">
        <f>'User Input'!Y42*Y$9</f>
        <v>0</v>
      </c>
      <c r="Z22" s="151"/>
    </row>
    <row r="23" spans="2:26" ht="13.5" thickBot="1" x14ac:dyDescent="0.25">
      <c r="B23" s="13"/>
      <c r="C23" s="22" t="str">
        <f>'User Input'!D43</f>
        <v>Cost 2</v>
      </c>
      <c r="D23" s="67">
        <f t="shared" si="3"/>
        <v>0</v>
      </c>
      <c r="E23" s="697">
        <v>0</v>
      </c>
      <c r="F23" s="64">
        <f>'User Input'!F43*F$9</f>
        <v>0</v>
      </c>
      <c r="G23" s="64">
        <f>'User Input'!G43*G$9</f>
        <v>0</v>
      </c>
      <c r="H23" s="64">
        <f>'User Input'!H43*H$9</f>
        <v>0</v>
      </c>
      <c r="I23" s="64">
        <f>'User Input'!I43*I$9</f>
        <v>0</v>
      </c>
      <c r="J23" s="64">
        <f>'User Input'!J43*J$9</f>
        <v>0</v>
      </c>
      <c r="K23" s="64">
        <f>'User Input'!K43*K$9</f>
        <v>0</v>
      </c>
      <c r="L23" s="64">
        <f>'User Input'!L43*L$9</f>
        <v>0</v>
      </c>
      <c r="M23" s="64">
        <f>'User Input'!M43*M$9</f>
        <v>0</v>
      </c>
      <c r="N23" s="64">
        <f>'User Input'!N43*N$9</f>
        <v>0</v>
      </c>
      <c r="O23" s="64">
        <f>'User Input'!O43*O$9</f>
        <v>0</v>
      </c>
      <c r="P23" s="64">
        <f>'User Input'!P43*P$9</f>
        <v>0</v>
      </c>
      <c r="Q23" s="64">
        <f>'User Input'!Q43*Q$9</f>
        <v>0</v>
      </c>
      <c r="R23" s="64">
        <f>'User Input'!R43*R$9</f>
        <v>0</v>
      </c>
      <c r="S23" s="64">
        <f>'User Input'!S43*S$9</f>
        <v>0</v>
      </c>
      <c r="T23" s="64">
        <f>'User Input'!T43*T$9</f>
        <v>0</v>
      </c>
      <c r="U23" s="64">
        <f>'User Input'!U43*U$9</f>
        <v>0</v>
      </c>
      <c r="V23" s="64">
        <f>'User Input'!V43*V$9</f>
        <v>0</v>
      </c>
      <c r="W23" s="64">
        <f>'User Input'!W43*W$9</f>
        <v>0</v>
      </c>
      <c r="X23" s="64">
        <f>'User Input'!X43*X$9</f>
        <v>0</v>
      </c>
      <c r="Y23" s="64">
        <f>'User Input'!Y43*Y$9</f>
        <v>0</v>
      </c>
      <c r="Z23" s="151"/>
    </row>
    <row r="24" spans="2:26" ht="13.5" thickBot="1" x14ac:dyDescent="0.25">
      <c r="B24" s="13"/>
      <c r="C24" s="22" t="str">
        <f>'User Input'!D44</f>
        <v>Cost 3</v>
      </c>
      <c r="D24" s="67">
        <f t="shared" si="3"/>
        <v>0</v>
      </c>
      <c r="E24" s="697">
        <v>0</v>
      </c>
      <c r="F24" s="64">
        <f>'User Input'!F44*F$9</f>
        <v>0</v>
      </c>
      <c r="G24" s="64">
        <f>'User Input'!G44*G$9</f>
        <v>0</v>
      </c>
      <c r="H24" s="64">
        <f>'User Input'!H44*H$9</f>
        <v>0</v>
      </c>
      <c r="I24" s="64">
        <f>'User Input'!I44*I$9</f>
        <v>0</v>
      </c>
      <c r="J24" s="64">
        <f>'User Input'!J44*J$9</f>
        <v>0</v>
      </c>
      <c r="K24" s="64">
        <f>'User Input'!K44*K$9</f>
        <v>0</v>
      </c>
      <c r="L24" s="64">
        <f>'User Input'!L44*L$9</f>
        <v>0</v>
      </c>
      <c r="M24" s="64">
        <f>'User Input'!M44*M$9</f>
        <v>0</v>
      </c>
      <c r="N24" s="64">
        <f>'User Input'!N44*N$9</f>
        <v>0</v>
      </c>
      <c r="O24" s="64">
        <f>'User Input'!O44*O$9</f>
        <v>0</v>
      </c>
      <c r="P24" s="64">
        <f>'User Input'!P44*P$9</f>
        <v>0</v>
      </c>
      <c r="Q24" s="64">
        <f>'User Input'!Q44*Q$9</f>
        <v>0</v>
      </c>
      <c r="R24" s="64">
        <f>'User Input'!R44*R$9</f>
        <v>0</v>
      </c>
      <c r="S24" s="64">
        <f>'User Input'!S44*S$9</f>
        <v>0</v>
      </c>
      <c r="T24" s="64">
        <f>'User Input'!T44*T$9</f>
        <v>0</v>
      </c>
      <c r="U24" s="64">
        <f>'User Input'!U44*U$9</f>
        <v>0</v>
      </c>
      <c r="V24" s="64">
        <f>'User Input'!V44*V$9</f>
        <v>0</v>
      </c>
      <c r="W24" s="64">
        <f>'User Input'!W44*W$9</f>
        <v>0</v>
      </c>
      <c r="X24" s="64">
        <f>'User Input'!X44*X$9</f>
        <v>0</v>
      </c>
      <c r="Y24" s="64">
        <f>'User Input'!Y44*Y$9</f>
        <v>0</v>
      </c>
      <c r="Z24" s="151"/>
    </row>
    <row r="25" spans="2:26" ht="13.5" thickBot="1" x14ac:dyDescent="0.25">
      <c r="B25" s="13"/>
      <c r="C25" s="22" t="str">
        <f>'User Input'!D45</f>
        <v>Cost 4</v>
      </c>
      <c r="D25" s="67">
        <f t="shared" si="3"/>
        <v>0</v>
      </c>
      <c r="E25" s="697">
        <v>0</v>
      </c>
      <c r="F25" s="64">
        <f>'User Input'!F45*F$9</f>
        <v>0</v>
      </c>
      <c r="G25" s="64">
        <f>'User Input'!G45*G$9</f>
        <v>0</v>
      </c>
      <c r="H25" s="64">
        <f>'User Input'!H45*H$9</f>
        <v>0</v>
      </c>
      <c r="I25" s="64">
        <f>'User Input'!I45*I$9</f>
        <v>0</v>
      </c>
      <c r="J25" s="64">
        <f>'User Input'!J45*J$9</f>
        <v>0</v>
      </c>
      <c r="K25" s="64">
        <f>'User Input'!K45*K$9</f>
        <v>0</v>
      </c>
      <c r="L25" s="64">
        <f>'User Input'!L45*L$9</f>
        <v>0</v>
      </c>
      <c r="M25" s="64">
        <f>'User Input'!M45*M$9</f>
        <v>0</v>
      </c>
      <c r="N25" s="64">
        <f>'User Input'!N45*N$9</f>
        <v>0</v>
      </c>
      <c r="O25" s="64">
        <f>'User Input'!O45*O$9</f>
        <v>0</v>
      </c>
      <c r="P25" s="64">
        <f>'User Input'!P45*P$9</f>
        <v>0</v>
      </c>
      <c r="Q25" s="64">
        <f>'User Input'!Q45*Q$9</f>
        <v>0</v>
      </c>
      <c r="R25" s="64">
        <f>'User Input'!R45*R$9</f>
        <v>0</v>
      </c>
      <c r="S25" s="64">
        <f>'User Input'!S45*S$9</f>
        <v>0</v>
      </c>
      <c r="T25" s="64">
        <f>'User Input'!T45*T$9</f>
        <v>0</v>
      </c>
      <c r="U25" s="64">
        <f>'User Input'!U45*U$9</f>
        <v>0</v>
      </c>
      <c r="V25" s="64">
        <f>'User Input'!V45*V$9</f>
        <v>0</v>
      </c>
      <c r="W25" s="64">
        <f>'User Input'!W45*W$9</f>
        <v>0</v>
      </c>
      <c r="X25" s="64">
        <f>'User Input'!X45*X$9</f>
        <v>0</v>
      </c>
      <c r="Y25" s="64">
        <f>'User Input'!Y45*Y$9</f>
        <v>0</v>
      </c>
      <c r="Z25" s="151"/>
    </row>
    <row r="26" spans="2:26" ht="13.5" thickBot="1" x14ac:dyDescent="0.25">
      <c r="B26" s="13"/>
      <c r="C26" s="22" t="str">
        <f>'User Input'!D46</f>
        <v>Cost 5</v>
      </c>
      <c r="D26" s="67">
        <f t="shared" si="3"/>
        <v>0</v>
      </c>
      <c r="E26" s="697">
        <v>0</v>
      </c>
      <c r="F26" s="64">
        <f>'User Input'!F46*F$9</f>
        <v>0</v>
      </c>
      <c r="G26" s="64">
        <f>'User Input'!G46*G$9</f>
        <v>0</v>
      </c>
      <c r="H26" s="64">
        <f>'User Input'!H46*H$9</f>
        <v>0</v>
      </c>
      <c r="I26" s="64">
        <f>'User Input'!I46*I$9</f>
        <v>0</v>
      </c>
      <c r="J26" s="64">
        <f>'User Input'!J46*J$9</f>
        <v>0</v>
      </c>
      <c r="K26" s="64">
        <f>'User Input'!K46*K$9</f>
        <v>0</v>
      </c>
      <c r="L26" s="64">
        <f>'User Input'!L46*L$9</f>
        <v>0</v>
      </c>
      <c r="M26" s="64">
        <f>'User Input'!M46*M$9</f>
        <v>0</v>
      </c>
      <c r="N26" s="64">
        <f>'User Input'!N46*N$9</f>
        <v>0</v>
      </c>
      <c r="O26" s="64">
        <f>'User Input'!O46*O$9</f>
        <v>0</v>
      </c>
      <c r="P26" s="64">
        <f>'User Input'!P46*P$9</f>
        <v>0</v>
      </c>
      <c r="Q26" s="64">
        <f>'User Input'!Q46*Q$9</f>
        <v>0</v>
      </c>
      <c r="R26" s="64">
        <f>'User Input'!R46*R$9</f>
        <v>0</v>
      </c>
      <c r="S26" s="64">
        <f>'User Input'!S46*S$9</f>
        <v>0</v>
      </c>
      <c r="T26" s="64">
        <f>'User Input'!T46*T$9</f>
        <v>0</v>
      </c>
      <c r="U26" s="64">
        <f>'User Input'!U46*U$9</f>
        <v>0</v>
      </c>
      <c r="V26" s="64">
        <f>'User Input'!V46*V$9</f>
        <v>0</v>
      </c>
      <c r="W26" s="64">
        <f>'User Input'!W46*W$9</f>
        <v>0</v>
      </c>
      <c r="X26" s="64">
        <f>'User Input'!X46*X$9</f>
        <v>0</v>
      </c>
      <c r="Y26" s="64">
        <f>'User Input'!Y46*Y$9</f>
        <v>0</v>
      </c>
      <c r="Z26" s="151"/>
    </row>
    <row r="27" spans="2:26" ht="13.5" thickBot="1" x14ac:dyDescent="0.25">
      <c r="B27" s="13"/>
      <c r="C27" s="22" t="str">
        <f>'User Input'!D47</f>
        <v>Risk 1</v>
      </c>
      <c r="D27" s="67">
        <f t="shared" si="3"/>
        <v>0</v>
      </c>
      <c r="E27" s="697">
        <v>0</v>
      </c>
      <c r="F27" s="64">
        <f>'User Input'!F47*F$9</f>
        <v>0</v>
      </c>
      <c r="G27" s="64">
        <f>'User Input'!G47*G$9</f>
        <v>0</v>
      </c>
      <c r="H27" s="64">
        <f>'User Input'!H47*H$9</f>
        <v>0</v>
      </c>
      <c r="I27" s="64">
        <f>'User Input'!I47*I$9</f>
        <v>0</v>
      </c>
      <c r="J27" s="64">
        <f>'User Input'!J47*J$9</f>
        <v>0</v>
      </c>
      <c r="K27" s="64">
        <f>'User Input'!K47*K$9</f>
        <v>0</v>
      </c>
      <c r="L27" s="64">
        <f>'User Input'!L47*L$9</f>
        <v>0</v>
      </c>
      <c r="M27" s="64">
        <f>'User Input'!M47*M$9</f>
        <v>0</v>
      </c>
      <c r="N27" s="64">
        <f>'User Input'!N47*N$9</f>
        <v>0</v>
      </c>
      <c r="O27" s="64">
        <f>'User Input'!O47*O$9</f>
        <v>0</v>
      </c>
      <c r="P27" s="64">
        <f>'User Input'!P47*P$9</f>
        <v>0</v>
      </c>
      <c r="Q27" s="64">
        <f>'User Input'!Q47*Q$9</f>
        <v>0</v>
      </c>
      <c r="R27" s="64">
        <f>'User Input'!R47*R$9</f>
        <v>0</v>
      </c>
      <c r="S27" s="64">
        <f>'User Input'!S47*S$9</f>
        <v>0</v>
      </c>
      <c r="T27" s="64">
        <f>'User Input'!T47*T$9</f>
        <v>0</v>
      </c>
      <c r="U27" s="64">
        <f>'User Input'!U47*U$9</f>
        <v>0</v>
      </c>
      <c r="V27" s="64">
        <f>'User Input'!V47*V$9</f>
        <v>0</v>
      </c>
      <c r="W27" s="64">
        <f>'User Input'!W47*W$9</f>
        <v>0</v>
      </c>
      <c r="X27" s="64">
        <f>'User Input'!X47*X$9</f>
        <v>0</v>
      </c>
      <c r="Y27" s="64">
        <f>'User Input'!Y47*Y$9</f>
        <v>0</v>
      </c>
      <c r="Z27" s="151"/>
    </row>
    <row r="28" spans="2:26" ht="13.5" thickBot="1" x14ac:dyDescent="0.25">
      <c r="B28" s="13"/>
      <c r="C28" s="22" t="str">
        <f>'User Input'!D48</f>
        <v>Risk 2</v>
      </c>
      <c r="D28" s="67">
        <f t="shared" si="3"/>
        <v>0</v>
      </c>
      <c r="E28" s="697">
        <v>0</v>
      </c>
      <c r="F28" s="64">
        <f>'User Input'!F48*F$9</f>
        <v>0</v>
      </c>
      <c r="G28" s="64">
        <f>'User Input'!G48*G$9</f>
        <v>0</v>
      </c>
      <c r="H28" s="64">
        <f>'User Input'!H48*H$9</f>
        <v>0</v>
      </c>
      <c r="I28" s="64">
        <f>'User Input'!I48*I$9</f>
        <v>0</v>
      </c>
      <c r="J28" s="64">
        <f>'User Input'!J48*J$9</f>
        <v>0</v>
      </c>
      <c r="K28" s="64">
        <f>'User Input'!K48*K$9</f>
        <v>0</v>
      </c>
      <c r="L28" s="64">
        <f>'User Input'!L48*L$9</f>
        <v>0</v>
      </c>
      <c r="M28" s="64">
        <f>'User Input'!M48*M$9</f>
        <v>0</v>
      </c>
      <c r="N28" s="64">
        <f>'User Input'!N48*N$9</f>
        <v>0</v>
      </c>
      <c r="O28" s="64">
        <f>'User Input'!O48*O$9</f>
        <v>0</v>
      </c>
      <c r="P28" s="64">
        <f>'User Input'!P48*P$9</f>
        <v>0</v>
      </c>
      <c r="Q28" s="64">
        <f>'User Input'!Q48*Q$9</f>
        <v>0</v>
      </c>
      <c r="R28" s="64">
        <f>'User Input'!R48*R$9</f>
        <v>0</v>
      </c>
      <c r="S28" s="64">
        <f>'User Input'!S48*S$9</f>
        <v>0</v>
      </c>
      <c r="T28" s="64">
        <f>'User Input'!T48*T$9</f>
        <v>0</v>
      </c>
      <c r="U28" s="64">
        <f>'User Input'!U48*U$9</f>
        <v>0</v>
      </c>
      <c r="V28" s="64">
        <f>'User Input'!V48*V$9</f>
        <v>0</v>
      </c>
      <c r="W28" s="64">
        <f>'User Input'!W48*W$9</f>
        <v>0</v>
      </c>
      <c r="X28" s="64">
        <f>'User Input'!X48*X$9</f>
        <v>0</v>
      </c>
      <c r="Y28" s="64">
        <f>'User Input'!Y48*Y$9</f>
        <v>0</v>
      </c>
      <c r="Z28" s="151"/>
    </row>
    <row r="29" spans="2:26" ht="13.5" thickBot="1" x14ac:dyDescent="0.25">
      <c r="B29" s="13"/>
      <c r="C29" s="22" t="str">
        <f>'User Input'!D49</f>
        <v>Risk 3</v>
      </c>
      <c r="D29" s="67">
        <f t="shared" si="3"/>
        <v>0</v>
      </c>
      <c r="E29" s="697">
        <v>0</v>
      </c>
      <c r="F29" s="64">
        <f>'User Input'!F49*F$9</f>
        <v>0</v>
      </c>
      <c r="G29" s="64">
        <f>'User Input'!G49*G$9</f>
        <v>0</v>
      </c>
      <c r="H29" s="64">
        <f>'User Input'!H49*H$9</f>
        <v>0</v>
      </c>
      <c r="I29" s="64">
        <f>'User Input'!I49*I$9</f>
        <v>0</v>
      </c>
      <c r="J29" s="64">
        <f>'User Input'!J49*J$9</f>
        <v>0</v>
      </c>
      <c r="K29" s="64">
        <f>'User Input'!K49*K$9</f>
        <v>0</v>
      </c>
      <c r="L29" s="64">
        <f>'User Input'!L49*L$9</f>
        <v>0</v>
      </c>
      <c r="M29" s="64">
        <f>'User Input'!M49*M$9</f>
        <v>0</v>
      </c>
      <c r="N29" s="64">
        <f>'User Input'!N49*N$9</f>
        <v>0</v>
      </c>
      <c r="O29" s="64">
        <f>'User Input'!O49*O$9</f>
        <v>0</v>
      </c>
      <c r="P29" s="64">
        <f>'User Input'!P49*P$9</f>
        <v>0</v>
      </c>
      <c r="Q29" s="64">
        <f>'User Input'!Q49*Q$9</f>
        <v>0</v>
      </c>
      <c r="R29" s="64">
        <f>'User Input'!R49*R$9</f>
        <v>0</v>
      </c>
      <c r="S29" s="64">
        <f>'User Input'!S49*S$9</f>
        <v>0</v>
      </c>
      <c r="T29" s="64">
        <f>'User Input'!T49*T$9</f>
        <v>0</v>
      </c>
      <c r="U29" s="64">
        <f>'User Input'!U49*U$9</f>
        <v>0</v>
      </c>
      <c r="V29" s="64">
        <f>'User Input'!V49*V$9</f>
        <v>0</v>
      </c>
      <c r="W29" s="64">
        <f>'User Input'!W49*W$9</f>
        <v>0</v>
      </c>
      <c r="X29" s="64">
        <f>'User Input'!X49*X$9</f>
        <v>0</v>
      </c>
      <c r="Y29" s="64">
        <f>'User Input'!Y49*Y$9</f>
        <v>0</v>
      </c>
      <c r="Z29" s="151"/>
    </row>
    <row r="30" spans="2:26" ht="13.5" thickBot="1" x14ac:dyDescent="0.25">
      <c r="B30" s="13"/>
      <c r="C30" s="22" t="str">
        <f>'User Input'!D50</f>
        <v>Risk 4</v>
      </c>
      <c r="D30" s="67">
        <f t="shared" si="3"/>
        <v>0</v>
      </c>
      <c r="E30" s="697">
        <v>0</v>
      </c>
      <c r="F30" s="64">
        <f>'User Input'!F50*F$9</f>
        <v>0</v>
      </c>
      <c r="G30" s="64">
        <f>'User Input'!G50*G$9</f>
        <v>0</v>
      </c>
      <c r="H30" s="64">
        <f>'User Input'!H50*H$9</f>
        <v>0</v>
      </c>
      <c r="I30" s="64">
        <f>'User Input'!I50*I$9</f>
        <v>0</v>
      </c>
      <c r="J30" s="64">
        <f>'User Input'!J50*J$9</f>
        <v>0</v>
      </c>
      <c r="K30" s="64">
        <f>'User Input'!K50*K$9</f>
        <v>0</v>
      </c>
      <c r="L30" s="64">
        <f>'User Input'!L50*L$9</f>
        <v>0</v>
      </c>
      <c r="M30" s="64">
        <f>'User Input'!M50*M$9</f>
        <v>0</v>
      </c>
      <c r="N30" s="64">
        <f>'User Input'!N50*N$9</f>
        <v>0</v>
      </c>
      <c r="O30" s="64">
        <f>'User Input'!O50*O$9</f>
        <v>0</v>
      </c>
      <c r="P30" s="64">
        <f>'User Input'!P50*P$9</f>
        <v>0</v>
      </c>
      <c r="Q30" s="64">
        <f>'User Input'!Q50*Q$9</f>
        <v>0</v>
      </c>
      <c r="R30" s="64">
        <f>'User Input'!R50*R$9</f>
        <v>0</v>
      </c>
      <c r="S30" s="64">
        <f>'User Input'!S50*S$9</f>
        <v>0</v>
      </c>
      <c r="T30" s="64">
        <f>'User Input'!T50*T$9</f>
        <v>0</v>
      </c>
      <c r="U30" s="64">
        <f>'User Input'!U50*U$9</f>
        <v>0</v>
      </c>
      <c r="V30" s="64">
        <f>'User Input'!V50*V$9</f>
        <v>0</v>
      </c>
      <c r="W30" s="64">
        <f>'User Input'!W50*W$9</f>
        <v>0</v>
      </c>
      <c r="X30" s="64">
        <f>'User Input'!X50*X$9</f>
        <v>0</v>
      </c>
      <c r="Y30" s="64">
        <f>'User Input'!Y50*Y$9</f>
        <v>0</v>
      </c>
      <c r="Z30" s="151"/>
    </row>
    <row r="31" spans="2:26" ht="13.5" thickBot="1" x14ac:dyDescent="0.25">
      <c r="B31" s="13"/>
      <c r="C31" s="22" t="str">
        <f>'User Input'!D51</f>
        <v>Risk 5</v>
      </c>
      <c r="D31" s="67">
        <f t="shared" si="3"/>
        <v>0</v>
      </c>
      <c r="E31" s="697">
        <v>0</v>
      </c>
      <c r="F31" s="64">
        <f>'User Input'!F51*F$9</f>
        <v>0</v>
      </c>
      <c r="G31" s="64">
        <f>'User Input'!G51*G$9</f>
        <v>0</v>
      </c>
      <c r="H31" s="64">
        <f>'User Input'!H51*H$9</f>
        <v>0</v>
      </c>
      <c r="I31" s="64">
        <f>'User Input'!I51*I$9</f>
        <v>0</v>
      </c>
      <c r="J31" s="64">
        <f>'User Input'!J51*J$9</f>
        <v>0</v>
      </c>
      <c r="K31" s="64">
        <f>'User Input'!K51*K$9</f>
        <v>0</v>
      </c>
      <c r="L31" s="64">
        <f>'User Input'!L51*L$9</f>
        <v>0</v>
      </c>
      <c r="M31" s="64">
        <f>'User Input'!M51*M$9</f>
        <v>0</v>
      </c>
      <c r="N31" s="64">
        <f>'User Input'!N51*N$9</f>
        <v>0</v>
      </c>
      <c r="O31" s="64">
        <f>'User Input'!O51*O$9</f>
        <v>0</v>
      </c>
      <c r="P31" s="64">
        <f>'User Input'!P51*P$9</f>
        <v>0</v>
      </c>
      <c r="Q31" s="64">
        <f>'User Input'!Q51*Q$9</f>
        <v>0</v>
      </c>
      <c r="R31" s="64">
        <f>'User Input'!R51*R$9</f>
        <v>0</v>
      </c>
      <c r="S31" s="64">
        <f>'User Input'!S51*S$9</f>
        <v>0</v>
      </c>
      <c r="T31" s="64">
        <f>'User Input'!T51*T$9</f>
        <v>0</v>
      </c>
      <c r="U31" s="64">
        <f>'User Input'!U51*U$9</f>
        <v>0</v>
      </c>
      <c r="V31" s="64">
        <f>'User Input'!V51*V$9</f>
        <v>0</v>
      </c>
      <c r="W31" s="64">
        <f>'User Input'!W51*W$9</f>
        <v>0</v>
      </c>
      <c r="X31" s="64">
        <f>'User Input'!X51*X$9</f>
        <v>0</v>
      </c>
      <c r="Y31" s="64">
        <f>'User Input'!Y51*Y$9</f>
        <v>0</v>
      </c>
      <c r="Z31" s="151"/>
    </row>
    <row r="32" spans="2:26" ht="13.5" thickBot="1" x14ac:dyDescent="0.25">
      <c r="B32" s="13"/>
      <c r="C32" s="53" t="s">
        <v>2</v>
      </c>
      <c r="D32" s="67">
        <f>SUM(E32:Y32)</f>
        <v>6027.8988712705177</v>
      </c>
      <c r="E32" s="65">
        <f>SUM(E13:E31)</f>
        <v>0</v>
      </c>
      <c r="F32" s="66">
        <f t="shared" ref="F32:Y32" si="4">SUM(F13:F31)</f>
        <v>127.42500000000001</v>
      </c>
      <c r="G32" s="66">
        <f t="shared" si="4"/>
        <v>259.79409000000004</v>
      </c>
      <c r="H32" s="66">
        <f t="shared" si="4"/>
        <v>264.83409534600003</v>
      </c>
      <c r="I32" s="66">
        <f t="shared" si="4"/>
        <v>269.97187679571243</v>
      </c>
      <c r="J32" s="66">
        <f t="shared" si="4"/>
        <v>275.20933120554923</v>
      </c>
      <c r="K32" s="66">
        <f t="shared" si="4"/>
        <v>280.54839223093694</v>
      </c>
      <c r="L32" s="66">
        <f t="shared" si="4"/>
        <v>285.99103104021714</v>
      </c>
      <c r="M32" s="66">
        <f t="shared" si="4"/>
        <v>291.53925704239731</v>
      </c>
      <c r="N32" s="66">
        <f t="shared" si="4"/>
        <v>297.19511862901982</v>
      </c>
      <c r="O32" s="66">
        <f t="shared" si="4"/>
        <v>302.96070393042277</v>
      </c>
      <c r="P32" s="66">
        <f t="shared" si="4"/>
        <v>308.83814158667298</v>
      </c>
      <c r="Q32" s="66">
        <f t="shared" si="4"/>
        <v>314.82960153345448</v>
      </c>
      <c r="R32" s="66">
        <f t="shared" si="4"/>
        <v>320.93729580320348</v>
      </c>
      <c r="S32" s="66">
        <f t="shared" si="4"/>
        <v>327.1634793417856</v>
      </c>
      <c r="T32" s="66">
        <f t="shared" si="4"/>
        <v>333.51045084101622</v>
      </c>
      <c r="U32" s="66">
        <f t="shared" si="4"/>
        <v>339.98055358733194</v>
      </c>
      <c r="V32" s="66">
        <f t="shared" si="4"/>
        <v>346.57617632692615</v>
      </c>
      <c r="W32" s="66">
        <f t="shared" si="4"/>
        <v>353.29975414766852</v>
      </c>
      <c r="X32" s="66">
        <f t="shared" si="4"/>
        <v>360.15376937813323</v>
      </c>
      <c r="Y32" s="148">
        <f t="shared" si="4"/>
        <v>367.14075250406904</v>
      </c>
      <c r="Z32" s="151"/>
    </row>
    <row r="33" spans="1:26" ht="13.5" thickBot="1" x14ac:dyDescent="0.25">
      <c r="B33" s="13"/>
      <c r="C33" s="54" t="s">
        <v>50</v>
      </c>
      <c r="D33" s="67">
        <f>SUM(E33:Y33)</f>
        <v>2615.2057645990126</v>
      </c>
      <c r="E33" s="77">
        <f>E32/(1+$D$4)^E$7</f>
        <v>0</v>
      </c>
      <c r="F33" s="77">
        <f t="shared" ref="F33:Y33" si="5">F32/(1+$D$4)^F$7</f>
        <v>117.25867304683906</v>
      </c>
      <c r="G33" s="77">
        <f t="shared" si="5"/>
        <v>219.99354247528802</v>
      </c>
      <c r="H33" s="77">
        <f t="shared" si="5"/>
        <v>206.36920695620557</v>
      </c>
      <c r="I33" s="77">
        <f t="shared" si="5"/>
        <v>193.58863492330539</v>
      </c>
      <c r="J33" s="77">
        <f t="shared" si="5"/>
        <v>181.59957158444604</v>
      </c>
      <c r="K33" s="77">
        <f t="shared" si="5"/>
        <v>170.35299831893283</v>
      </c>
      <c r="L33" s="77">
        <f t="shared" si="5"/>
        <v>159.80293225942776</v>
      </c>
      <c r="M33" s="77">
        <f t="shared" si="5"/>
        <v>149.90623828587525</v>
      </c>
      <c r="N33" s="77">
        <f t="shared" si="5"/>
        <v>140.62245266275994</v>
      </c>
      <c r="O33" s="77">
        <f t="shared" si="5"/>
        <v>131.91361759861735</v>
      </c>
      <c r="P33" s="77">
        <f t="shared" si="5"/>
        <v>123.7441260513762</v>
      </c>
      <c r="Q33" s="77">
        <f t="shared" si="5"/>
        <v>116.0805761450013</v>
      </c>
      <c r="R33" s="77">
        <f t="shared" si="5"/>
        <v>108.89163460220331</v>
      </c>
      <c r="S33" s="77">
        <f t="shared" si="5"/>
        <v>102.14790863484498</v>
      </c>
      <c r="T33" s="77">
        <f t="shared" si="5"/>
        <v>95.821825768253376</v>
      </c>
      <c r="U33" s="77">
        <f t="shared" si="5"/>
        <v>89.887521108086403</v>
      </c>
      <c r="V33" s="77">
        <f t="shared" si="5"/>
        <v>84.320731588831578</v>
      </c>
      <c r="W33" s="77">
        <f t="shared" si="5"/>
        <v>79.098696771560611</v>
      </c>
      <c r="X33" s="77">
        <f t="shared" si="5"/>
        <v>74.200065785339902</v>
      </c>
      <c r="Y33" s="149">
        <f t="shared" si="5"/>
        <v>69.604810031816967</v>
      </c>
      <c r="Z33" s="151"/>
    </row>
    <row r="34" spans="1:26" x14ac:dyDescent="0.2">
      <c r="B34" s="10"/>
      <c r="C34" s="55"/>
      <c r="D34" s="55"/>
      <c r="E34" s="1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157"/>
    </row>
    <row r="35" spans="1:26" x14ac:dyDescent="0.2">
      <c r="B35" s="371" t="str">
        <f>Calculations!D222</f>
        <v>Option 1: Provide In Meter Capabilities</v>
      </c>
      <c r="C35" s="367"/>
      <c r="D35" s="372"/>
      <c r="E35" s="369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0"/>
    </row>
    <row r="36" spans="1:26" ht="13.5" thickBot="1" x14ac:dyDescent="0.25">
      <c r="B36" s="20"/>
      <c r="C36" s="5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7"/>
      <c r="Z36" s="151"/>
    </row>
    <row r="37" spans="1:26" ht="13.5" thickBot="1" x14ac:dyDescent="0.25">
      <c r="B37" s="52"/>
      <c r="C37" s="4" t="s">
        <v>76</v>
      </c>
      <c r="D37" s="67">
        <f>SUM(E37:Y37)</f>
        <v>2411.7695382000002</v>
      </c>
      <c r="E37" s="64">
        <f>SUMIF('User Input'!$C$15:$C$20,$B$35,'User Input'!F15:F20)*E$9</f>
        <v>1340.6829</v>
      </c>
      <c r="F37" s="64">
        <f>SUMIF('User Input'!$C$15:$C$20,$B$35,'User Input'!G15:G20)*F$9</f>
        <v>1071.0866382000004</v>
      </c>
      <c r="G37" s="64">
        <f>SUMIF('User Input'!$C$15:$C$20,$B$35,'User Input'!H15:H20)*G$9</f>
        <v>0</v>
      </c>
      <c r="H37" s="64">
        <f>SUMIF('User Input'!$C$15:$C$20,$B$35,'User Input'!I15:I20)*H$9</f>
        <v>0</v>
      </c>
      <c r="I37" s="64">
        <f>SUMIF('User Input'!$C$15:$C$20,$B$35,'User Input'!J15:J20)*I$9</f>
        <v>0</v>
      </c>
      <c r="J37" s="64">
        <f>SUMIF('User Input'!$C$15:$C$20,$B$35,'User Input'!K15:K20)*J$9</f>
        <v>0</v>
      </c>
      <c r="K37" s="64">
        <f>SUMIF('User Input'!$C$15:$C$20,$B$35,'User Input'!L15:L20)*K$9</f>
        <v>0</v>
      </c>
      <c r="L37" s="64">
        <f>SUMIF('User Input'!$C$15:$C$20,$B$35,'User Input'!M15:M20)*L$9</f>
        <v>0</v>
      </c>
      <c r="M37" s="64">
        <f>SUMIF('User Input'!$C$15:$C$20,$B$35,'User Input'!N15:N20)*M$9</f>
        <v>0</v>
      </c>
      <c r="N37" s="64">
        <f>SUMIF('User Input'!$C$15:$C$20,$B$35,'User Input'!O15:O20)*N$9</f>
        <v>0</v>
      </c>
      <c r="O37" s="64">
        <f>SUMIF('User Input'!$C$15:$C$20,$B$35,'User Input'!P15:P20)*O$9</f>
        <v>0</v>
      </c>
      <c r="P37" s="64">
        <f>SUMIF('User Input'!$C$15:$C$20,$B$35,'User Input'!Q15:Q20)*P$9</f>
        <v>0</v>
      </c>
      <c r="Q37" s="64">
        <f>SUMIF('User Input'!$C$15:$C$20,$B$35,'User Input'!R15:R20)*Q$9</f>
        <v>0</v>
      </c>
      <c r="R37" s="64">
        <f>SUMIF('User Input'!$C$15:$C$20,$B$35,'User Input'!S15:S20)*R$9</f>
        <v>0</v>
      </c>
      <c r="S37" s="64">
        <f>SUMIF('User Input'!$C$15:$C$20,$B$35,'User Input'!T15:T20)*S$9</f>
        <v>0</v>
      </c>
      <c r="T37" s="64">
        <f>SUMIF('User Input'!$C$15:$C$20,$B$35,'User Input'!U15:U20)*T$9</f>
        <v>0</v>
      </c>
      <c r="U37" s="64">
        <f>SUMIF('User Input'!$C$15:$C$20,$B$35,'User Input'!V15:V20)*U$9</f>
        <v>0</v>
      </c>
      <c r="V37" s="64">
        <f>SUMIF('User Input'!$C$15:$C$20,$B$35,'User Input'!W15:W20)*V$9</f>
        <v>0</v>
      </c>
      <c r="W37" s="64">
        <f>SUMIF('User Input'!$C$15:$C$20,$B$35,'User Input'!X15:X20)*W$9</f>
        <v>0</v>
      </c>
      <c r="X37" s="64">
        <f>SUMIF('User Input'!$C$15:$C$20,$B$35,'User Input'!Y15:Y20)*X$9</f>
        <v>0</v>
      </c>
      <c r="Y37" s="64">
        <f>SUMIF('User Input'!$C$15:$C$20,$B$35,'User Input'!Z15:Z20)*Y$9</f>
        <v>0</v>
      </c>
      <c r="Z37" s="151"/>
    </row>
    <row r="38" spans="1:26" ht="13.5" thickBot="1" x14ac:dyDescent="0.25">
      <c r="B38" s="13"/>
      <c r="C38" s="22" t="str">
        <f>'User Input'!D56</f>
        <v>Maintenance Costs</v>
      </c>
      <c r="D38" s="67">
        <f t="shared" ref="D38:D55" si="6">SUM(E38:Y38)</f>
        <v>0</v>
      </c>
      <c r="E38" s="697">
        <v>0</v>
      </c>
      <c r="F38" s="64">
        <f>SUMPRODUCT(($B$35='User Input'!$C$56:$C$196)*($C38='User Input'!$D$56:$D$196)*'User Input'!F$56:F$196)*F$9</f>
        <v>0</v>
      </c>
      <c r="G38" s="64">
        <f>SUMPRODUCT(($B$35='User Input'!$C$56:$C$196)*($C38='User Input'!$D$56:$D$196)*'User Input'!G$56:G$196)*G$9</f>
        <v>0</v>
      </c>
      <c r="H38" s="64">
        <f>SUMPRODUCT(($B$35='User Input'!$C$56:$C$196)*($C38='User Input'!$D$56:$D$196)*'User Input'!H$56:H$196)*H$9</f>
        <v>0</v>
      </c>
      <c r="I38" s="64">
        <f>SUMPRODUCT(($B$35='User Input'!$C$56:$C$196)*($C38='User Input'!$D$56:$D$196)*'User Input'!I$56:I$196)*I$9</f>
        <v>0</v>
      </c>
      <c r="J38" s="64">
        <f>SUMPRODUCT(($B$35='User Input'!$C$56:$C$196)*($C38='User Input'!$D$56:$D$196)*'User Input'!J$56:J$196)*J$9</f>
        <v>0</v>
      </c>
      <c r="K38" s="64">
        <f>SUMPRODUCT(($B$35='User Input'!$C$56:$C$196)*($C38='User Input'!$D$56:$D$196)*'User Input'!K$56:K$196)*K$9</f>
        <v>0</v>
      </c>
      <c r="L38" s="64">
        <f>SUMPRODUCT(($B$35='User Input'!$C$56:$C$196)*($C38='User Input'!$D$56:$D$196)*'User Input'!L$56:L$196)*L$9</f>
        <v>0</v>
      </c>
      <c r="M38" s="64">
        <f>SUMPRODUCT(($B$35='User Input'!$C$56:$C$196)*($C38='User Input'!$D$56:$D$196)*'User Input'!M$56:M$196)*M$9</f>
        <v>0</v>
      </c>
      <c r="N38" s="64">
        <f>SUMPRODUCT(($B$35='User Input'!$C$56:$C$196)*($C38='User Input'!$D$56:$D$196)*'User Input'!N$56:N$196)*N$9</f>
        <v>0</v>
      </c>
      <c r="O38" s="64">
        <f>SUMPRODUCT(($B$35='User Input'!$C$56:$C$196)*($C38='User Input'!$D$56:$D$196)*'User Input'!O$56:O$196)*O$9</f>
        <v>0</v>
      </c>
      <c r="P38" s="64">
        <f>SUMPRODUCT(($B$35='User Input'!$C$56:$C$196)*($C38='User Input'!$D$56:$D$196)*'User Input'!P$56:P$196)*P$9</f>
        <v>0</v>
      </c>
      <c r="Q38" s="64">
        <f>SUMPRODUCT(($B$35='User Input'!$C$56:$C$196)*($C38='User Input'!$D$56:$D$196)*'User Input'!Q$56:Q$196)*Q$9</f>
        <v>0</v>
      </c>
      <c r="R38" s="64">
        <f>SUMPRODUCT(($B$35='User Input'!$C$56:$C$196)*($C38='User Input'!$D$56:$D$196)*'User Input'!R$56:R$196)*R$9</f>
        <v>0</v>
      </c>
      <c r="S38" s="64">
        <f>SUMPRODUCT(($B$35='User Input'!$C$56:$C$196)*($C38='User Input'!$D$56:$D$196)*'User Input'!S$56:S$196)*S$9</f>
        <v>0</v>
      </c>
      <c r="T38" s="64">
        <f>SUMPRODUCT(($B$35='User Input'!$C$56:$C$196)*($C38='User Input'!$D$56:$D$196)*'User Input'!T$56:T$196)*T$9</f>
        <v>0</v>
      </c>
      <c r="U38" s="64">
        <f>SUMPRODUCT(($B$35='User Input'!$C$56:$C$196)*($C38='User Input'!$D$56:$D$196)*'User Input'!U$56:U$196)*U$9</f>
        <v>0</v>
      </c>
      <c r="V38" s="64">
        <f>SUMPRODUCT(($B$35='User Input'!$C$56:$C$196)*($C38='User Input'!$D$56:$D$196)*'User Input'!V$56:V$196)*V$9</f>
        <v>0</v>
      </c>
      <c r="W38" s="64">
        <f>SUMPRODUCT(($B$35='User Input'!$C$56:$C$196)*($C38='User Input'!$D$56:$D$196)*'User Input'!W$56:W$196)*W$9</f>
        <v>0</v>
      </c>
      <c r="X38" s="64">
        <f>SUMPRODUCT(($B$35='User Input'!$C$56:$C$196)*($C38='User Input'!$D$56:$D$196)*'User Input'!X$56:X$196)*X$9</f>
        <v>0</v>
      </c>
      <c r="Y38" s="64">
        <f>SUMPRODUCT(($B$35='User Input'!$C$56:$C$196)*($C38='User Input'!$D$56:$D$196)*'User Input'!Y$56:Y$196)*Y$9</f>
        <v>0</v>
      </c>
      <c r="Z38" s="151"/>
    </row>
    <row r="39" spans="1:26" ht="13.5" thickBot="1" x14ac:dyDescent="0.25">
      <c r="B39" s="13"/>
      <c r="C39" s="137" t="str">
        <f>'User Input'!D58</f>
        <v>Negative Impact on Revenue (STPIS)</v>
      </c>
      <c r="D39" s="195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46"/>
      <c r="Z39" s="151"/>
    </row>
    <row r="40" spans="1:26" ht="13.5" thickBot="1" x14ac:dyDescent="0.25">
      <c r="B40" s="13"/>
      <c r="C40" s="136" t="str">
        <f>'User Input'!D59</f>
        <v>SAIFI sustained</v>
      </c>
      <c r="D40" s="67">
        <f t="shared" si="6"/>
        <v>0</v>
      </c>
      <c r="E40" s="259">
        <v>0</v>
      </c>
      <c r="F40" s="259">
        <v>0</v>
      </c>
      <c r="G40" s="697">
        <v>0</v>
      </c>
      <c r="H40" s="64">
        <f>IF('User Input'!$I$8=1,SUMPRODUCT(($B$35='User Input'!$C$56:$C$196)*($C40='User Input'!$D$56:$D$196)*'User Input'!F$56:F$196)*'Administrator Input'!$F$41*H$9,0)</f>
        <v>0</v>
      </c>
      <c r="I40" s="64">
        <f>IF('User Input'!$I$8=1,SUMPRODUCT(($B$35='User Input'!$C$56:$C$196)*($C40='User Input'!$D$56:$D$196)*'User Input'!G$56:G$196)*'Administrator Input'!$F$41*I$9,0)</f>
        <v>0</v>
      </c>
      <c r="J40" s="64">
        <f>IF('User Input'!$I$8=1,SUMPRODUCT(($B$35='User Input'!$C$56:$C$196)*($C40='User Input'!$D$56:$D$196)*'User Input'!H$56:H$196)*'Administrator Input'!$F$41*J$9,0)</f>
        <v>0</v>
      </c>
      <c r="K40" s="64">
        <f>IF('User Input'!$I$8=1,SUMPRODUCT(($B$35='User Input'!$C$56:$C$196)*($C40='User Input'!$D$56:$D$196)*'User Input'!I$56:I$196)*'Administrator Input'!$F$41*K$9,0)</f>
        <v>0</v>
      </c>
      <c r="L40" s="64">
        <f>IF('User Input'!$I$8=1,SUMPRODUCT(($B$35='User Input'!$C$56:$C$196)*($C40='User Input'!$D$56:$D$196)*'User Input'!J$56:J$196)*'Administrator Input'!$F$41*L$9,0)</f>
        <v>0</v>
      </c>
      <c r="M40" s="64">
        <f>IF('User Input'!$I$8=1,SUMPRODUCT(($B$35='User Input'!$C$56:$C$196)*($C40='User Input'!$D$56:$D$196)*'User Input'!K$56:K$196)*'Administrator Input'!$F$41*M$9,0)</f>
        <v>0</v>
      </c>
      <c r="N40" s="64">
        <f>IF('User Input'!$I$8=1,SUMPRODUCT(($B$35='User Input'!$C$56:$C$196)*($C40='User Input'!$D$56:$D$196)*'User Input'!L$56:L$196)*'Administrator Input'!$F$41*N$9,0)</f>
        <v>0</v>
      </c>
      <c r="O40" s="64">
        <f>IF('User Input'!$I$8=1,SUMPRODUCT(($B$35='User Input'!$C$56:$C$196)*($C40='User Input'!$D$56:$D$196)*'User Input'!M$56:M$196)*'Administrator Input'!$F$41*O$9,0)</f>
        <v>0</v>
      </c>
      <c r="P40" s="64">
        <f>IF('User Input'!$I$8=1,SUMPRODUCT(($B$35='User Input'!$C$56:$C$196)*($C40='User Input'!$D$56:$D$196)*'User Input'!N$56:N$196)*'Administrator Input'!$F$41*P$9,0)</f>
        <v>0</v>
      </c>
      <c r="Q40" s="64">
        <f>IF('User Input'!$I$8=1,SUMPRODUCT(($B$35='User Input'!$C$56:$C$196)*($C40='User Input'!$D$56:$D$196)*'User Input'!O$56:O$196)*'Administrator Input'!$F$41*Q$9,0)</f>
        <v>0</v>
      </c>
      <c r="R40" s="64">
        <f>IF('User Input'!$I$8=1,SUMPRODUCT(($B$35='User Input'!$C$56:$C$196)*($C40='User Input'!$D$56:$D$196)*'User Input'!P$56:P$196)*'Administrator Input'!$F$41*R$9,0)</f>
        <v>0</v>
      </c>
      <c r="S40" s="64">
        <f>IF('User Input'!$I$8=1,SUMPRODUCT(($B$35='User Input'!$C$56:$C$196)*($C40='User Input'!$D$56:$D$196)*'User Input'!Q$56:Q$196)*'Administrator Input'!$F$41*S$9,0)</f>
        <v>0</v>
      </c>
      <c r="T40" s="64">
        <f>IF('User Input'!$I$8=1,SUMPRODUCT(($B$35='User Input'!$C$56:$C$196)*($C40='User Input'!$D$56:$D$196)*'User Input'!R$56:R$196)*'Administrator Input'!$F$41*T$9,0)</f>
        <v>0</v>
      </c>
      <c r="U40" s="64">
        <f>IF('User Input'!$I$8=1,SUMPRODUCT(($B$35='User Input'!$C$56:$C$196)*($C40='User Input'!$D$56:$D$196)*'User Input'!S$56:S$196)*'Administrator Input'!$F$41*U$9,0)</f>
        <v>0</v>
      </c>
      <c r="V40" s="64">
        <f>IF('User Input'!$I$8=1,SUMPRODUCT(($B$35='User Input'!$C$56:$C$196)*($C40='User Input'!$D$56:$D$196)*'User Input'!T$56:T$196)*'Administrator Input'!$F$41*V$9,0)</f>
        <v>0</v>
      </c>
      <c r="W40" s="64">
        <f>IF('User Input'!$I$8=1,SUMPRODUCT(($B$35='User Input'!$C$56:$C$196)*($C40='User Input'!$D$56:$D$196)*'User Input'!U$56:U$196)*'Administrator Input'!$F$41*W$9,0)</f>
        <v>0</v>
      </c>
      <c r="X40" s="64">
        <f>IF('User Input'!$I$8=1,SUMPRODUCT(($B$35='User Input'!$C$56:$C$196)*($C40='User Input'!$D$56:$D$196)*'User Input'!V$56:V$196)*'Administrator Input'!$F$41*X$9,0)</f>
        <v>0</v>
      </c>
      <c r="Y40" s="64">
        <f>IF('User Input'!$I$8=1,SUMPRODUCT(($B$35='User Input'!$C$56:$C$196)*($C40='User Input'!$D$56:$D$196)*'User Input'!W$56:W$196)*'Administrator Input'!$F$41*Y$9,0)</f>
        <v>0</v>
      </c>
      <c r="Z40" s="151"/>
    </row>
    <row r="41" spans="1:26" ht="13.5" thickBot="1" x14ac:dyDescent="0.25">
      <c r="B41" s="13"/>
      <c r="C41" s="136" t="str">
        <f>'User Input'!D60</f>
        <v>SAIDI accidental</v>
      </c>
      <c r="D41" s="67">
        <f t="shared" si="6"/>
        <v>0</v>
      </c>
      <c r="E41" s="259">
        <v>0</v>
      </c>
      <c r="F41" s="259">
        <v>0</v>
      </c>
      <c r="G41" s="697">
        <v>0</v>
      </c>
      <c r="H41" s="64">
        <f>IF('User Input'!$I$8=1,SUMPRODUCT(($B$35='User Input'!$C$56:$C$196)*($C41='User Input'!$D$56:$D$196)*'User Input'!F$56:F$196)*'Administrator Input'!$F$42*H$9,0)</f>
        <v>0</v>
      </c>
      <c r="I41" s="64">
        <f>IF('User Input'!$I$8=1,SUMPRODUCT(($B$35='User Input'!$C$56:$C$196)*($C41='User Input'!$D$56:$D$196)*'User Input'!G$56:G$196)*'Administrator Input'!$F$42*I$9,0)</f>
        <v>0</v>
      </c>
      <c r="J41" s="64">
        <f>IF('User Input'!$I$8=1,SUMPRODUCT(($B$35='User Input'!$C$56:$C$196)*($C41='User Input'!$D$56:$D$196)*'User Input'!H$56:H$196)*'Administrator Input'!$F$42*J$9,0)</f>
        <v>0</v>
      </c>
      <c r="K41" s="64">
        <f>IF('User Input'!$I$8=1,SUMPRODUCT(($B$35='User Input'!$C$56:$C$196)*($C41='User Input'!$D$56:$D$196)*'User Input'!I$56:I$196)*'Administrator Input'!$F$42*K$9,0)</f>
        <v>0</v>
      </c>
      <c r="L41" s="64">
        <f>IF('User Input'!$I$8=1,SUMPRODUCT(($B$35='User Input'!$C$56:$C$196)*($C41='User Input'!$D$56:$D$196)*'User Input'!J$56:J$196)*'Administrator Input'!$F$42*L$9,0)</f>
        <v>0</v>
      </c>
      <c r="M41" s="64">
        <f>IF('User Input'!$I$8=1,SUMPRODUCT(($B$35='User Input'!$C$56:$C$196)*($C41='User Input'!$D$56:$D$196)*'User Input'!K$56:K$196)*'Administrator Input'!$F$42*M$9,0)</f>
        <v>0</v>
      </c>
      <c r="N41" s="64">
        <f>IF('User Input'!$I$8=1,SUMPRODUCT(($B$35='User Input'!$C$56:$C$196)*($C41='User Input'!$D$56:$D$196)*'User Input'!L$56:L$196)*'Administrator Input'!$F$42*N$9,0)</f>
        <v>0</v>
      </c>
      <c r="O41" s="64">
        <f>IF('User Input'!$I$8=1,SUMPRODUCT(($B$35='User Input'!$C$56:$C$196)*($C41='User Input'!$D$56:$D$196)*'User Input'!M$56:M$196)*'Administrator Input'!$F$42*O$9,0)</f>
        <v>0</v>
      </c>
      <c r="P41" s="64">
        <f>IF('User Input'!$I$8=1,SUMPRODUCT(($B$35='User Input'!$C$56:$C$196)*($C41='User Input'!$D$56:$D$196)*'User Input'!N$56:N$196)*'Administrator Input'!$F$42*P$9,0)</f>
        <v>0</v>
      </c>
      <c r="Q41" s="64">
        <f>IF('User Input'!$I$8=1,SUMPRODUCT(($B$35='User Input'!$C$56:$C$196)*($C41='User Input'!$D$56:$D$196)*'User Input'!O$56:O$196)*'Administrator Input'!$F$42*Q$9,0)</f>
        <v>0</v>
      </c>
      <c r="R41" s="64">
        <f>IF('User Input'!$I$8=1,SUMPRODUCT(($B$35='User Input'!$C$56:$C$196)*($C41='User Input'!$D$56:$D$196)*'User Input'!P$56:P$196)*'Administrator Input'!$F$42*R$9,0)</f>
        <v>0</v>
      </c>
      <c r="S41" s="64">
        <f>IF('User Input'!$I$8=1,SUMPRODUCT(($B$35='User Input'!$C$56:$C$196)*($C41='User Input'!$D$56:$D$196)*'User Input'!Q$56:Q$196)*'Administrator Input'!$F$42*S$9,0)</f>
        <v>0</v>
      </c>
      <c r="T41" s="64">
        <f>IF('User Input'!$I$8=1,SUMPRODUCT(($B$35='User Input'!$C$56:$C$196)*($C41='User Input'!$D$56:$D$196)*'User Input'!R$56:R$196)*'Administrator Input'!$F$42*T$9,0)</f>
        <v>0</v>
      </c>
      <c r="U41" s="64">
        <f>IF('User Input'!$I$8=1,SUMPRODUCT(($B$35='User Input'!$C$56:$C$196)*($C41='User Input'!$D$56:$D$196)*'User Input'!S$56:S$196)*'Administrator Input'!$F$42*U$9,0)</f>
        <v>0</v>
      </c>
      <c r="V41" s="64">
        <f>IF('User Input'!$I$8=1,SUMPRODUCT(($B$35='User Input'!$C$56:$C$196)*($C41='User Input'!$D$56:$D$196)*'User Input'!T$56:T$196)*'Administrator Input'!$F$42*V$9,0)</f>
        <v>0</v>
      </c>
      <c r="W41" s="64">
        <f>IF('User Input'!$I$8=1,SUMPRODUCT(($B$35='User Input'!$C$56:$C$196)*($C41='User Input'!$D$56:$D$196)*'User Input'!U$56:U$196)*'Administrator Input'!$F$42*W$9,0)</f>
        <v>0</v>
      </c>
      <c r="X41" s="64">
        <f>IF('User Input'!$I$8=1,SUMPRODUCT(($B$35='User Input'!$C$56:$C$196)*($C41='User Input'!$D$56:$D$196)*'User Input'!V$56:V$196)*'Administrator Input'!$F$42*X$9,0)</f>
        <v>0</v>
      </c>
      <c r="Y41" s="64">
        <f>IF('User Input'!$I$8=1,SUMPRODUCT(($B$35='User Input'!$C$56:$C$196)*($C41='User Input'!$D$56:$D$196)*'User Input'!W$56:W$196)*'Administrator Input'!$F$42*Y$9,0)</f>
        <v>0</v>
      </c>
      <c r="Z41" s="151"/>
    </row>
    <row r="42" spans="1:26" ht="13.5" thickBot="1" x14ac:dyDescent="0.25">
      <c r="B42" s="13"/>
      <c r="C42" s="136" t="str">
        <f>'User Input'!D61</f>
        <v>MAIFI momentary</v>
      </c>
      <c r="D42" s="67">
        <f t="shared" si="6"/>
        <v>0</v>
      </c>
      <c r="E42" s="259">
        <v>0</v>
      </c>
      <c r="F42" s="259">
        <v>0</v>
      </c>
      <c r="G42" s="697">
        <v>0</v>
      </c>
      <c r="H42" s="64">
        <f>IF('User Input'!$I$8=1,SUMPRODUCT(($B$35='User Input'!$C$56:$C$196)*($C42='User Input'!$D$56:$D$196)*'User Input'!F$56:F$196)*'Administrator Input'!$F$43*H$9,0)</f>
        <v>0</v>
      </c>
      <c r="I42" s="64">
        <f>IF('User Input'!$I$8=1,SUMPRODUCT(($B$35='User Input'!$C$56:$C$196)*($C42='User Input'!$D$56:$D$196)*'User Input'!G$56:G$196)*'Administrator Input'!$F$43*I$9,0)</f>
        <v>0</v>
      </c>
      <c r="J42" s="64">
        <f>IF('User Input'!$I$8=1,SUMPRODUCT(($B$35='User Input'!$C$56:$C$196)*($C42='User Input'!$D$56:$D$196)*'User Input'!H$56:H$196)*'Administrator Input'!$F$43*J$9,0)</f>
        <v>0</v>
      </c>
      <c r="K42" s="64">
        <f>IF('User Input'!$I$8=1,SUMPRODUCT(($B$35='User Input'!$C$56:$C$196)*($C42='User Input'!$D$56:$D$196)*'User Input'!I$56:I$196)*'Administrator Input'!$F$43*K$9,0)</f>
        <v>0</v>
      </c>
      <c r="L42" s="64">
        <f>IF('User Input'!$I$8=1,SUMPRODUCT(($B$35='User Input'!$C$56:$C$196)*($C42='User Input'!$D$56:$D$196)*'User Input'!J$56:J$196)*'Administrator Input'!$F$43*L$9,0)</f>
        <v>0</v>
      </c>
      <c r="M42" s="64">
        <f>IF('User Input'!$I$8=1,SUMPRODUCT(($B$35='User Input'!$C$56:$C$196)*($C42='User Input'!$D$56:$D$196)*'User Input'!K$56:K$196)*'Administrator Input'!$F$43*M$9,0)</f>
        <v>0</v>
      </c>
      <c r="N42" s="64">
        <f>IF('User Input'!$I$8=1,SUMPRODUCT(($B$35='User Input'!$C$56:$C$196)*($C42='User Input'!$D$56:$D$196)*'User Input'!L$56:L$196)*'Administrator Input'!$F$43*N$9,0)</f>
        <v>0</v>
      </c>
      <c r="O42" s="64">
        <f>IF('User Input'!$I$8=1,SUMPRODUCT(($B$35='User Input'!$C$56:$C$196)*($C42='User Input'!$D$56:$D$196)*'User Input'!M$56:M$196)*'Administrator Input'!$F$43*O$9,0)</f>
        <v>0</v>
      </c>
      <c r="P42" s="64">
        <f>IF('User Input'!$I$8=1,SUMPRODUCT(($B$35='User Input'!$C$56:$C$196)*($C42='User Input'!$D$56:$D$196)*'User Input'!N$56:N$196)*'Administrator Input'!$F$43*P$9,0)</f>
        <v>0</v>
      </c>
      <c r="Q42" s="64">
        <f>IF('User Input'!$I$8=1,SUMPRODUCT(($B$35='User Input'!$C$56:$C$196)*($C42='User Input'!$D$56:$D$196)*'User Input'!O$56:O$196)*'Administrator Input'!$F$43*Q$9,0)</f>
        <v>0</v>
      </c>
      <c r="R42" s="64">
        <f>IF('User Input'!$I$8=1,SUMPRODUCT(($B$35='User Input'!$C$56:$C$196)*($C42='User Input'!$D$56:$D$196)*'User Input'!P$56:P$196)*'Administrator Input'!$F$43*R$9,0)</f>
        <v>0</v>
      </c>
      <c r="S42" s="64">
        <f>IF('User Input'!$I$8=1,SUMPRODUCT(($B$35='User Input'!$C$56:$C$196)*($C42='User Input'!$D$56:$D$196)*'User Input'!Q$56:Q$196)*'Administrator Input'!$F$43*S$9,0)</f>
        <v>0</v>
      </c>
      <c r="T42" s="64">
        <f>IF('User Input'!$I$8=1,SUMPRODUCT(($B$35='User Input'!$C$56:$C$196)*($C42='User Input'!$D$56:$D$196)*'User Input'!R$56:R$196)*'Administrator Input'!$F$43*T$9,0)</f>
        <v>0</v>
      </c>
      <c r="U42" s="64">
        <f>IF('User Input'!$I$8=1,SUMPRODUCT(($B$35='User Input'!$C$56:$C$196)*($C42='User Input'!$D$56:$D$196)*'User Input'!S$56:S$196)*'Administrator Input'!$F$43*U$9,0)</f>
        <v>0</v>
      </c>
      <c r="V42" s="64">
        <f>IF('User Input'!$I$8=1,SUMPRODUCT(($B$35='User Input'!$C$56:$C$196)*($C42='User Input'!$D$56:$D$196)*'User Input'!T$56:T$196)*'Administrator Input'!$F$43*V$9,0)</f>
        <v>0</v>
      </c>
      <c r="W42" s="64">
        <f>IF('User Input'!$I$8=1,SUMPRODUCT(($B$35='User Input'!$C$56:$C$196)*($C42='User Input'!$D$56:$D$196)*'User Input'!U$56:U$196)*'Administrator Input'!$F$43*W$9,0)</f>
        <v>0</v>
      </c>
      <c r="X42" s="64">
        <f>IF('User Input'!$I$8=1,SUMPRODUCT(($B$35='User Input'!$C$56:$C$196)*($C42='User Input'!$D$56:$D$196)*'User Input'!V$56:V$196)*'Administrator Input'!$F$43*X$9,0)</f>
        <v>0</v>
      </c>
      <c r="Y42" s="64">
        <f>IF('User Input'!$I$8=1,SUMPRODUCT(($B$35='User Input'!$C$56:$C$196)*($C42='User Input'!$D$56:$D$196)*'User Input'!W$56:W$196)*'Administrator Input'!$F$43*Y$9,0)</f>
        <v>0</v>
      </c>
      <c r="Z42" s="151"/>
    </row>
    <row r="43" spans="1:26" ht="13.5" thickBot="1" x14ac:dyDescent="0.25">
      <c r="B43" s="13"/>
      <c r="C43" s="136" t="str">
        <f>'User Input'!D62</f>
        <v>Call centre response</v>
      </c>
      <c r="D43" s="67">
        <f t="shared" si="6"/>
        <v>0</v>
      </c>
      <c r="E43" s="259">
        <v>0</v>
      </c>
      <c r="F43" s="259">
        <v>0</v>
      </c>
      <c r="G43" s="697">
        <v>0</v>
      </c>
      <c r="H43" s="64">
        <f>IF('User Input'!$I$8=1,SUMPRODUCT(($B$35='User Input'!$C$56:$C$196)*($C43='User Input'!$D$56:$D$196)*'User Input'!F$56:F$196)*'Administrator Input'!$F$43*H$9,0)</f>
        <v>0</v>
      </c>
      <c r="I43" s="64">
        <f>IF('User Input'!$I$8=1,SUMPRODUCT(($B$35='User Input'!$C$56:$C$196)*($C43='User Input'!$D$56:$D$196)*'User Input'!G$56:G$196)*'Administrator Input'!$F$43*I$9,0)</f>
        <v>0</v>
      </c>
      <c r="J43" s="64">
        <f>IF('User Input'!$I$8=1,SUMPRODUCT(($B$35='User Input'!$C$56:$C$196)*($C43='User Input'!$D$56:$D$196)*'User Input'!H$56:H$196)*'Administrator Input'!$F$43*J$9,0)</f>
        <v>0</v>
      </c>
      <c r="K43" s="64">
        <f>IF('User Input'!$I$8=1,SUMPRODUCT(($B$35='User Input'!$C$56:$C$196)*($C43='User Input'!$D$56:$D$196)*'User Input'!I$56:I$196)*'Administrator Input'!$F$43*K$9,0)</f>
        <v>0</v>
      </c>
      <c r="L43" s="64">
        <f>IF('User Input'!$I$8=1,SUMPRODUCT(($B$35='User Input'!$C$56:$C$196)*($C43='User Input'!$D$56:$D$196)*'User Input'!J$56:J$196)*'Administrator Input'!$F$43*L$9,0)</f>
        <v>0</v>
      </c>
      <c r="M43" s="64">
        <f>IF('User Input'!$I$8=1,SUMPRODUCT(($B$35='User Input'!$C$56:$C$196)*($C43='User Input'!$D$56:$D$196)*'User Input'!K$56:K$196)*'Administrator Input'!$F$43*M$9,0)</f>
        <v>0</v>
      </c>
      <c r="N43" s="64">
        <f>IF('User Input'!$I$8=1,SUMPRODUCT(($B$35='User Input'!$C$56:$C$196)*($C43='User Input'!$D$56:$D$196)*'User Input'!L$56:L$196)*'Administrator Input'!$F$43*N$9,0)</f>
        <v>0</v>
      </c>
      <c r="O43" s="64">
        <f>IF('User Input'!$I$8=1,SUMPRODUCT(($B$35='User Input'!$C$56:$C$196)*($C43='User Input'!$D$56:$D$196)*'User Input'!M$56:M$196)*'Administrator Input'!$F$43*O$9,0)</f>
        <v>0</v>
      </c>
      <c r="P43" s="64">
        <f>IF('User Input'!$I$8=1,SUMPRODUCT(($B$35='User Input'!$C$56:$C$196)*($C43='User Input'!$D$56:$D$196)*'User Input'!N$56:N$196)*'Administrator Input'!$F$43*P$9,0)</f>
        <v>0</v>
      </c>
      <c r="Q43" s="64">
        <f>IF('User Input'!$I$8=1,SUMPRODUCT(($B$35='User Input'!$C$56:$C$196)*($C43='User Input'!$D$56:$D$196)*'User Input'!O$56:O$196)*'Administrator Input'!$F$43*Q$9,0)</f>
        <v>0</v>
      </c>
      <c r="R43" s="64">
        <f>IF('User Input'!$I$8=1,SUMPRODUCT(($B$35='User Input'!$C$56:$C$196)*($C43='User Input'!$D$56:$D$196)*'User Input'!P$56:P$196)*'Administrator Input'!$F$43*R$9,0)</f>
        <v>0</v>
      </c>
      <c r="S43" s="64">
        <f>IF('User Input'!$I$8=1,SUMPRODUCT(($B$35='User Input'!$C$56:$C$196)*($C43='User Input'!$D$56:$D$196)*'User Input'!Q$56:Q$196)*'Administrator Input'!$F$43*S$9,0)</f>
        <v>0</v>
      </c>
      <c r="T43" s="64">
        <f>IF('User Input'!$I$8=1,SUMPRODUCT(($B$35='User Input'!$C$56:$C$196)*($C43='User Input'!$D$56:$D$196)*'User Input'!R$56:R$196)*'Administrator Input'!$F$43*T$9,0)</f>
        <v>0</v>
      </c>
      <c r="U43" s="64">
        <f>IF('User Input'!$I$8=1,SUMPRODUCT(($B$35='User Input'!$C$56:$C$196)*($C43='User Input'!$D$56:$D$196)*'User Input'!S$56:S$196)*'Administrator Input'!$F$43*U$9,0)</f>
        <v>0</v>
      </c>
      <c r="V43" s="64">
        <f>IF('User Input'!$I$8=1,SUMPRODUCT(($B$35='User Input'!$C$56:$C$196)*($C43='User Input'!$D$56:$D$196)*'User Input'!T$56:T$196)*'Administrator Input'!$F$43*V$9,0)</f>
        <v>0</v>
      </c>
      <c r="W43" s="64">
        <f>IF('User Input'!$I$8=1,SUMPRODUCT(($B$35='User Input'!$C$56:$C$196)*($C43='User Input'!$D$56:$D$196)*'User Input'!U$56:U$196)*'Administrator Input'!$F$43*W$9,0)</f>
        <v>0</v>
      </c>
      <c r="X43" s="64">
        <f>IF('User Input'!$I$8=1,SUMPRODUCT(($B$35='User Input'!$C$56:$C$196)*($C43='User Input'!$D$56:$D$196)*'User Input'!V$56:V$196)*'Administrator Input'!$F$43*X$9,0)</f>
        <v>0</v>
      </c>
      <c r="Y43" s="64">
        <f>IF('User Input'!$I$8=1,SUMPRODUCT(($B$35='User Input'!$C$56:$C$196)*($C43='User Input'!$D$56:$D$196)*'User Input'!W$56:W$196)*'Administrator Input'!$F$43*Y$9,0)</f>
        <v>0</v>
      </c>
      <c r="Z43" s="151"/>
    </row>
    <row r="44" spans="1:26" ht="13.5" thickBot="1" x14ac:dyDescent="0.25">
      <c r="A44" s="138"/>
      <c r="B44" s="142"/>
      <c r="C44" s="137" t="s">
        <v>309</v>
      </c>
      <c r="D44" s="67">
        <f t="shared" si="6"/>
        <v>0</v>
      </c>
      <c r="E44" s="697">
        <v>0</v>
      </c>
      <c r="F44" s="64">
        <f>SUMPRODUCT(($B$35='User Input'!$C$56:$C$196)*($C44='User Input'!$D$56:$D$196)*'User Input'!F$56:F$196)*'Administrator Input'!$F$49*F$9</f>
        <v>0</v>
      </c>
      <c r="G44" s="64">
        <f>SUMPRODUCT(($B$35='User Input'!$C$56:$C$196)*($C44='User Input'!$D$56:$D$196)*'User Input'!G$56:G$196)*'Administrator Input'!$F$49*G$9</f>
        <v>0</v>
      </c>
      <c r="H44" s="64">
        <f>SUMPRODUCT(($B$35='User Input'!$C$56:$C$196)*($C44='User Input'!$D$56:$D$196)*'User Input'!H$56:H$196)*'Administrator Input'!$F$49*H$9</f>
        <v>0</v>
      </c>
      <c r="I44" s="64">
        <f>SUMPRODUCT(($B$35='User Input'!$C$56:$C$196)*($C44='User Input'!$D$56:$D$196)*'User Input'!I$56:I$196)*'Administrator Input'!$F$49*I$9</f>
        <v>0</v>
      </c>
      <c r="J44" s="64">
        <f>SUMPRODUCT(($B$35='User Input'!$C$56:$C$196)*($C44='User Input'!$D$56:$D$196)*'User Input'!J$56:J$196)*'Administrator Input'!$F$49*J$9</f>
        <v>0</v>
      </c>
      <c r="K44" s="64">
        <f>SUMPRODUCT(($B$35='User Input'!$C$56:$C$196)*($C44='User Input'!$D$56:$D$196)*'User Input'!K$56:K$196)*'Administrator Input'!$F$49*K$9</f>
        <v>0</v>
      </c>
      <c r="L44" s="64">
        <f>SUMPRODUCT(($B$35='User Input'!$C$56:$C$196)*($C44='User Input'!$D$56:$D$196)*'User Input'!L$56:L$196)*'Administrator Input'!$F$49*L$9</f>
        <v>0</v>
      </c>
      <c r="M44" s="64">
        <f>SUMPRODUCT(($B$35='User Input'!$C$56:$C$196)*($C44='User Input'!$D$56:$D$196)*'User Input'!M$56:M$196)*'Administrator Input'!$F$49*M$9</f>
        <v>0</v>
      </c>
      <c r="N44" s="64">
        <f>SUMPRODUCT(($B$35='User Input'!$C$56:$C$196)*($C44='User Input'!$D$56:$D$196)*'User Input'!N$56:N$196)*'Administrator Input'!$F$49*N$9</f>
        <v>0</v>
      </c>
      <c r="O44" s="64">
        <f>SUMPRODUCT(($B$35='User Input'!$C$56:$C$196)*($C44='User Input'!$D$56:$D$196)*'User Input'!O$56:O$196)*'Administrator Input'!$F$49*O$9</f>
        <v>0</v>
      </c>
      <c r="P44" s="64">
        <f>SUMPRODUCT(($B$35='User Input'!$C$56:$C$196)*($C44='User Input'!$D$56:$D$196)*'User Input'!P$56:P$196)*'Administrator Input'!$F$49*P$9</f>
        <v>0</v>
      </c>
      <c r="Q44" s="64">
        <f>SUMPRODUCT(($B$35='User Input'!$C$56:$C$196)*($C44='User Input'!$D$56:$D$196)*'User Input'!Q$56:Q$196)*'Administrator Input'!$F$49*Q$9</f>
        <v>0</v>
      </c>
      <c r="R44" s="64">
        <f>SUMPRODUCT(($B$35='User Input'!$C$56:$C$196)*($C44='User Input'!$D$56:$D$196)*'User Input'!R$56:R$196)*'Administrator Input'!$F$49*R$9</f>
        <v>0</v>
      </c>
      <c r="S44" s="64">
        <f>SUMPRODUCT(($B$35='User Input'!$C$56:$C$196)*($C44='User Input'!$D$56:$D$196)*'User Input'!S$56:S$196)*'Administrator Input'!$F$49*S$9</f>
        <v>0</v>
      </c>
      <c r="T44" s="64">
        <f>SUMPRODUCT(($B$35='User Input'!$C$56:$C$196)*($C44='User Input'!$D$56:$D$196)*'User Input'!T$56:T$196)*'Administrator Input'!$F$49*T$9</f>
        <v>0</v>
      </c>
      <c r="U44" s="64">
        <f>SUMPRODUCT(($B$35='User Input'!$C$56:$C$196)*($C44='User Input'!$D$56:$D$196)*'User Input'!U$56:U$196)*'Administrator Input'!$F$49*U$9</f>
        <v>0</v>
      </c>
      <c r="V44" s="64">
        <f>SUMPRODUCT(($B$35='User Input'!$C$56:$C$196)*($C44='User Input'!$D$56:$D$196)*'User Input'!V$56:V$196)*'Administrator Input'!$F$49*V$9</f>
        <v>0</v>
      </c>
      <c r="W44" s="64">
        <f>SUMPRODUCT(($B$35='User Input'!$C$56:$C$196)*($C44='User Input'!$D$56:$D$196)*'User Input'!W$56:W$196)*'Administrator Input'!$F$49*W$9</f>
        <v>0</v>
      </c>
      <c r="X44" s="64">
        <f>SUMPRODUCT(($B$35='User Input'!$C$56:$C$196)*($C44='User Input'!$D$56:$D$196)*'User Input'!X$56:X$196)*'Administrator Input'!$F$49*X$9</f>
        <v>0</v>
      </c>
      <c r="Y44" s="64">
        <f>SUMPRODUCT(($B$35='User Input'!$C$56:$C$196)*($C44='User Input'!$D$56:$D$196)*'User Input'!Y$56:Y$196)*'Administrator Input'!$F$49*Y$9</f>
        <v>0</v>
      </c>
      <c r="Z44" s="151"/>
    </row>
    <row r="45" spans="1:26" ht="13.5" thickBot="1" x14ac:dyDescent="0.25">
      <c r="A45" s="138"/>
      <c r="B45" s="142"/>
      <c r="C45" s="137" t="str">
        <f>'User Input'!D68</f>
        <v>Loss of F Factor Benefit</v>
      </c>
      <c r="D45" s="67">
        <f t="shared" si="6"/>
        <v>0</v>
      </c>
      <c r="E45" s="697">
        <v>0</v>
      </c>
      <c r="F45" s="64">
        <f>SUMPRODUCT(($B$35='User Input'!$C$56:$C$196)*($C45='User Input'!$D$56:$D$196)*'User Input'!F$56:F$196)*F$9</f>
        <v>0</v>
      </c>
      <c r="G45" s="64">
        <f>SUMPRODUCT(($B$35='User Input'!$C$56:$C$196)*($C45='User Input'!$D$56:$D$196)*'User Input'!G$56:G$196)*G$9</f>
        <v>0</v>
      </c>
      <c r="H45" s="64">
        <f>SUMPRODUCT(($B$35='User Input'!$C$56:$C$196)*($C45='User Input'!$D$56:$D$196)*'User Input'!H$56:H$196)*H$9</f>
        <v>0</v>
      </c>
      <c r="I45" s="64">
        <f>SUMPRODUCT(($B$35='User Input'!$C$56:$C$196)*($C45='User Input'!$D$56:$D$196)*'User Input'!I$56:I$196)*I$9</f>
        <v>0</v>
      </c>
      <c r="J45" s="64">
        <f>SUMPRODUCT(($B$35='User Input'!$C$56:$C$196)*($C45='User Input'!$D$56:$D$196)*'User Input'!J$56:J$196)*J$9</f>
        <v>0</v>
      </c>
      <c r="K45" s="64">
        <f>SUMPRODUCT(($B$35='User Input'!$C$56:$C$196)*($C45='User Input'!$D$56:$D$196)*'User Input'!K$56:K$196)*K$9</f>
        <v>0</v>
      </c>
      <c r="L45" s="64">
        <f>SUMPRODUCT(($B$35='User Input'!$C$56:$C$196)*($C45='User Input'!$D$56:$D$196)*'User Input'!L$56:L$196)*L$9</f>
        <v>0</v>
      </c>
      <c r="M45" s="64">
        <f>SUMPRODUCT(($B$35='User Input'!$C$56:$C$196)*($C45='User Input'!$D$56:$D$196)*'User Input'!M$56:M$196)*M$9</f>
        <v>0</v>
      </c>
      <c r="N45" s="64">
        <f>SUMPRODUCT(($B$35='User Input'!$C$56:$C$196)*($C45='User Input'!$D$56:$D$196)*'User Input'!N$56:N$196)*N$9</f>
        <v>0</v>
      </c>
      <c r="O45" s="64">
        <f>SUMPRODUCT(($B$35='User Input'!$C$56:$C$196)*($C45='User Input'!$D$56:$D$196)*'User Input'!O$56:O$196)*O$9</f>
        <v>0</v>
      </c>
      <c r="P45" s="64">
        <f>SUMPRODUCT(($B$35='User Input'!$C$56:$C$196)*($C45='User Input'!$D$56:$D$196)*'User Input'!P$56:P$196)*P$9</f>
        <v>0</v>
      </c>
      <c r="Q45" s="64">
        <f>SUMPRODUCT(($B$35='User Input'!$C$56:$C$196)*($C45='User Input'!$D$56:$D$196)*'User Input'!Q$56:Q$196)*Q$9</f>
        <v>0</v>
      </c>
      <c r="R45" s="64">
        <f>SUMPRODUCT(($B$35='User Input'!$C$56:$C$196)*($C45='User Input'!$D$56:$D$196)*'User Input'!R$56:R$196)*R$9</f>
        <v>0</v>
      </c>
      <c r="S45" s="64">
        <f>SUMPRODUCT(($B$35='User Input'!$C$56:$C$196)*($C45='User Input'!$D$56:$D$196)*'User Input'!S$56:S$196)*S$9</f>
        <v>0</v>
      </c>
      <c r="T45" s="64">
        <f>SUMPRODUCT(($B$35='User Input'!$C$56:$C$196)*($C45='User Input'!$D$56:$D$196)*'User Input'!T$56:T$196)*T$9</f>
        <v>0</v>
      </c>
      <c r="U45" s="64">
        <f>SUMPRODUCT(($B$35='User Input'!$C$56:$C$196)*($C45='User Input'!$D$56:$D$196)*'User Input'!U$56:U$196)*U$9</f>
        <v>0</v>
      </c>
      <c r="V45" s="64">
        <f>SUMPRODUCT(($B$35='User Input'!$C$56:$C$196)*($C45='User Input'!$D$56:$D$196)*'User Input'!V$56:V$196)*V$9</f>
        <v>0</v>
      </c>
      <c r="W45" s="64">
        <f>SUMPRODUCT(($B$35='User Input'!$C$56:$C$196)*($C45='User Input'!$D$56:$D$196)*'User Input'!W$56:W$196)*W$9</f>
        <v>0</v>
      </c>
      <c r="X45" s="64">
        <f>SUMPRODUCT(($B$35='User Input'!$C$56:$C$196)*($C45='User Input'!$D$56:$D$196)*'User Input'!X$56:X$196)*X$9</f>
        <v>0</v>
      </c>
      <c r="Y45" s="64">
        <f>SUMPRODUCT(($B$35='User Input'!$C$56:$C$196)*($C45='User Input'!$D$56:$D$196)*'User Input'!Y$56:Y$196)*Y$9</f>
        <v>0</v>
      </c>
      <c r="Z45" s="151"/>
    </row>
    <row r="46" spans="1:26" ht="13.5" thickBot="1" x14ac:dyDescent="0.25">
      <c r="B46" s="13"/>
      <c r="C46" s="22" t="str">
        <f>'User Input'!D71</f>
        <v>Cost 1</v>
      </c>
      <c r="D46" s="67">
        <f t="shared" si="6"/>
        <v>0</v>
      </c>
      <c r="E46" s="697">
        <v>0</v>
      </c>
      <c r="F46" s="64">
        <f>SUMPRODUCT(($B$35='User Input'!$C$56:$C$196)*($C46='User Input'!$D$56:$D$196)*'User Input'!F$56:F$196)*F$9</f>
        <v>0</v>
      </c>
      <c r="G46" s="64">
        <f>SUMPRODUCT(($B$35='User Input'!$C$56:$C$196)*($C46='User Input'!$D$56:$D$196)*'User Input'!G$56:G$196)*G$9</f>
        <v>0</v>
      </c>
      <c r="H46" s="64">
        <f>SUMPRODUCT(($B$35='User Input'!$C$56:$C$196)*($C46='User Input'!$D$56:$D$196)*'User Input'!H$56:H$196)*H$9</f>
        <v>0</v>
      </c>
      <c r="I46" s="64">
        <f>SUMPRODUCT(($B$35='User Input'!$C$56:$C$196)*($C46='User Input'!$D$56:$D$196)*'User Input'!I$56:I$196)*I$9</f>
        <v>0</v>
      </c>
      <c r="J46" s="64">
        <f>SUMPRODUCT(($B$35='User Input'!$C$56:$C$196)*($C46='User Input'!$D$56:$D$196)*'User Input'!J$56:J$196)*J$9</f>
        <v>0</v>
      </c>
      <c r="K46" s="64">
        <f>SUMPRODUCT(($B$35='User Input'!$C$56:$C$196)*($C46='User Input'!$D$56:$D$196)*'User Input'!K$56:K$196)*K$9</f>
        <v>0</v>
      </c>
      <c r="L46" s="64">
        <f>SUMPRODUCT(($B$35='User Input'!$C$56:$C$196)*($C46='User Input'!$D$56:$D$196)*'User Input'!L$56:L$196)*L$9</f>
        <v>0</v>
      </c>
      <c r="M46" s="64">
        <f>SUMPRODUCT(($B$35='User Input'!$C$56:$C$196)*($C46='User Input'!$D$56:$D$196)*'User Input'!M$56:M$196)*M$9</f>
        <v>0</v>
      </c>
      <c r="N46" s="64">
        <f>SUMPRODUCT(($B$35='User Input'!$C$56:$C$196)*($C46='User Input'!$D$56:$D$196)*'User Input'!N$56:N$196)*N$9</f>
        <v>0</v>
      </c>
      <c r="O46" s="64">
        <f>SUMPRODUCT(($B$35='User Input'!$C$56:$C$196)*($C46='User Input'!$D$56:$D$196)*'User Input'!O$56:O$196)*O$9</f>
        <v>0</v>
      </c>
      <c r="P46" s="64">
        <f>SUMPRODUCT(($B$35='User Input'!$C$56:$C$196)*($C46='User Input'!$D$56:$D$196)*'User Input'!P$56:P$196)*P$9</f>
        <v>0</v>
      </c>
      <c r="Q46" s="64">
        <f>SUMPRODUCT(($B$35='User Input'!$C$56:$C$196)*($C46='User Input'!$D$56:$D$196)*'User Input'!Q$56:Q$196)*Q$9</f>
        <v>0</v>
      </c>
      <c r="R46" s="64">
        <f>SUMPRODUCT(($B$35='User Input'!$C$56:$C$196)*($C46='User Input'!$D$56:$D$196)*'User Input'!R$56:R$196)*R$9</f>
        <v>0</v>
      </c>
      <c r="S46" s="64">
        <f>SUMPRODUCT(($B$35='User Input'!$C$56:$C$196)*($C46='User Input'!$D$56:$D$196)*'User Input'!S$56:S$196)*S$9</f>
        <v>0</v>
      </c>
      <c r="T46" s="64">
        <f>SUMPRODUCT(($B$35='User Input'!$C$56:$C$196)*($C46='User Input'!$D$56:$D$196)*'User Input'!T$56:T$196)*T$9</f>
        <v>0</v>
      </c>
      <c r="U46" s="64">
        <f>SUMPRODUCT(($B$35='User Input'!$C$56:$C$196)*($C46='User Input'!$D$56:$D$196)*'User Input'!U$56:U$196)*U$9</f>
        <v>0</v>
      </c>
      <c r="V46" s="64">
        <f>SUMPRODUCT(($B$35='User Input'!$C$56:$C$196)*($C46='User Input'!$D$56:$D$196)*'User Input'!V$56:V$196)*V$9</f>
        <v>0</v>
      </c>
      <c r="W46" s="64">
        <f>SUMPRODUCT(($B$35='User Input'!$C$56:$C$196)*($C46='User Input'!$D$56:$D$196)*'User Input'!W$56:W$196)*W$9</f>
        <v>0</v>
      </c>
      <c r="X46" s="64">
        <f>SUMPRODUCT(($B$35='User Input'!$C$56:$C$196)*($C46='User Input'!$D$56:$D$196)*'User Input'!X$56:X$196)*X$9</f>
        <v>0</v>
      </c>
      <c r="Y46" s="64">
        <f>SUMPRODUCT(($B$35='User Input'!$C$56:$C$196)*($C46='User Input'!$D$56:$D$196)*'User Input'!Y$56:Y$196)*Y$9</f>
        <v>0</v>
      </c>
      <c r="Z46" s="151"/>
    </row>
    <row r="47" spans="1:26" ht="13.5" thickBot="1" x14ac:dyDescent="0.25">
      <c r="B47" s="13"/>
      <c r="C47" s="22" t="str">
        <f>'User Input'!D72</f>
        <v>Cost 2</v>
      </c>
      <c r="D47" s="67">
        <f t="shared" si="6"/>
        <v>0</v>
      </c>
      <c r="E47" s="697">
        <v>0</v>
      </c>
      <c r="F47" s="64">
        <f>SUMPRODUCT(($B$35='User Input'!$C$56:$C$196)*($C47='User Input'!$D$56:$D$196)*'User Input'!F$56:F$196)*F$9</f>
        <v>0</v>
      </c>
      <c r="G47" s="64">
        <f>SUMPRODUCT(($B$35='User Input'!$C$56:$C$196)*($C47='User Input'!$D$56:$D$196)*'User Input'!G$56:G$196)*G$9</f>
        <v>0</v>
      </c>
      <c r="H47" s="64">
        <f>SUMPRODUCT(($B$35='User Input'!$C$56:$C$196)*($C47='User Input'!$D$56:$D$196)*'User Input'!H$56:H$196)*H$9</f>
        <v>0</v>
      </c>
      <c r="I47" s="64">
        <f>SUMPRODUCT(($B$35='User Input'!$C$56:$C$196)*($C47='User Input'!$D$56:$D$196)*'User Input'!I$56:I$196)*I$9</f>
        <v>0</v>
      </c>
      <c r="J47" s="64">
        <f>SUMPRODUCT(($B$35='User Input'!$C$56:$C$196)*($C47='User Input'!$D$56:$D$196)*'User Input'!J$56:J$196)*J$9</f>
        <v>0</v>
      </c>
      <c r="K47" s="64">
        <f>SUMPRODUCT(($B$35='User Input'!$C$56:$C$196)*($C47='User Input'!$D$56:$D$196)*'User Input'!K$56:K$196)*K$9</f>
        <v>0</v>
      </c>
      <c r="L47" s="64">
        <f>SUMPRODUCT(($B$35='User Input'!$C$56:$C$196)*($C47='User Input'!$D$56:$D$196)*'User Input'!L$56:L$196)*L$9</f>
        <v>0</v>
      </c>
      <c r="M47" s="64">
        <f>SUMPRODUCT(($B$35='User Input'!$C$56:$C$196)*($C47='User Input'!$D$56:$D$196)*'User Input'!M$56:M$196)*M$9</f>
        <v>0</v>
      </c>
      <c r="N47" s="64">
        <f>SUMPRODUCT(($B$35='User Input'!$C$56:$C$196)*($C47='User Input'!$D$56:$D$196)*'User Input'!N$56:N$196)*N$9</f>
        <v>0</v>
      </c>
      <c r="O47" s="64">
        <f>SUMPRODUCT(($B$35='User Input'!$C$56:$C$196)*($C47='User Input'!$D$56:$D$196)*'User Input'!O$56:O$196)*O$9</f>
        <v>0</v>
      </c>
      <c r="P47" s="64">
        <f>SUMPRODUCT(($B$35='User Input'!$C$56:$C$196)*($C47='User Input'!$D$56:$D$196)*'User Input'!P$56:P$196)*P$9</f>
        <v>0</v>
      </c>
      <c r="Q47" s="64">
        <f>SUMPRODUCT(($B$35='User Input'!$C$56:$C$196)*($C47='User Input'!$D$56:$D$196)*'User Input'!Q$56:Q$196)*Q$9</f>
        <v>0</v>
      </c>
      <c r="R47" s="64">
        <f>SUMPRODUCT(($B$35='User Input'!$C$56:$C$196)*($C47='User Input'!$D$56:$D$196)*'User Input'!R$56:R$196)*R$9</f>
        <v>0</v>
      </c>
      <c r="S47" s="64">
        <f>SUMPRODUCT(($B$35='User Input'!$C$56:$C$196)*($C47='User Input'!$D$56:$D$196)*'User Input'!S$56:S$196)*S$9</f>
        <v>0</v>
      </c>
      <c r="T47" s="64">
        <f>SUMPRODUCT(($B$35='User Input'!$C$56:$C$196)*($C47='User Input'!$D$56:$D$196)*'User Input'!T$56:T$196)*T$9</f>
        <v>0</v>
      </c>
      <c r="U47" s="64">
        <f>SUMPRODUCT(($B$35='User Input'!$C$56:$C$196)*($C47='User Input'!$D$56:$D$196)*'User Input'!U$56:U$196)*U$9</f>
        <v>0</v>
      </c>
      <c r="V47" s="64">
        <f>SUMPRODUCT(($B$35='User Input'!$C$56:$C$196)*($C47='User Input'!$D$56:$D$196)*'User Input'!V$56:V$196)*V$9</f>
        <v>0</v>
      </c>
      <c r="W47" s="64">
        <f>SUMPRODUCT(($B$35='User Input'!$C$56:$C$196)*($C47='User Input'!$D$56:$D$196)*'User Input'!W$56:W$196)*W$9</f>
        <v>0</v>
      </c>
      <c r="X47" s="64">
        <f>SUMPRODUCT(($B$35='User Input'!$C$56:$C$196)*($C47='User Input'!$D$56:$D$196)*'User Input'!X$56:X$196)*X$9</f>
        <v>0</v>
      </c>
      <c r="Y47" s="64">
        <f>SUMPRODUCT(($B$35='User Input'!$C$56:$C$196)*($C47='User Input'!$D$56:$D$196)*'User Input'!Y$56:Y$196)*Y$9</f>
        <v>0</v>
      </c>
      <c r="Z47" s="151"/>
    </row>
    <row r="48" spans="1:26" ht="13.5" thickBot="1" x14ac:dyDescent="0.25">
      <c r="B48" s="13"/>
      <c r="C48" s="22" t="str">
        <f>'User Input'!D73</f>
        <v>Cost 3</v>
      </c>
      <c r="D48" s="67">
        <f t="shared" si="6"/>
        <v>0</v>
      </c>
      <c r="E48" s="697">
        <v>0</v>
      </c>
      <c r="F48" s="64">
        <f>SUMPRODUCT(($B$35='User Input'!$C$56:$C$196)*($C48='User Input'!$D$56:$D$196)*'User Input'!F$56:F$196)*F$9</f>
        <v>0</v>
      </c>
      <c r="G48" s="64">
        <f>SUMPRODUCT(($B$35='User Input'!$C$56:$C$196)*($C48='User Input'!$D$56:$D$196)*'User Input'!G$56:G$196)*G$9</f>
        <v>0</v>
      </c>
      <c r="H48" s="64">
        <f>SUMPRODUCT(($B$35='User Input'!$C$56:$C$196)*($C48='User Input'!$D$56:$D$196)*'User Input'!H$56:H$196)*H$9</f>
        <v>0</v>
      </c>
      <c r="I48" s="64">
        <f>SUMPRODUCT(($B$35='User Input'!$C$56:$C$196)*($C48='User Input'!$D$56:$D$196)*'User Input'!I$56:I$196)*I$9</f>
        <v>0</v>
      </c>
      <c r="J48" s="64">
        <f>SUMPRODUCT(($B$35='User Input'!$C$56:$C$196)*($C48='User Input'!$D$56:$D$196)*'User Input'!J$56:J$196)*J$9</f>
        <v>0</v>
      </c>
      <c r="K48" s="64">
        <f>SUMPRODUCT(($B$35='User Input'!$C$56:$C$196)*($C48='User Input'!$D$56:$D$196)*'User Input'!K$56:K$196)*K$9</f>
        <v>0</v>
      </c>
      <c r="L48" s="64">
        <f>SUMPRODUCT(($B$35='User Input'!$C$56:$C$196)*($C48='User Input'!$D$56:$D$196)*'User Input'!L$56:L$196)*L$9</f>
        <v>0</v>
      </c>
      <c r="M48" s="64">
        <f>SUMPRODUCT(($B$35='User Input'!$C$56:$C$196)*($C48='User Input'!$D$56:$D$196)*'User Input'!M$56:M$196)*M$9</f>
        <v>0</v>
      </c>
      <c r="N48" s="64">
        <f>SUMPRODUCT(($B$35='User Input'!$C$56:$C$196)*($C48='User Input'!$D$56:$D$196)*'User Input'!N$56:N$196)*N$9</f>
        <v>0</v>
      </c>
      <c r="O48" s="64">
        <f>SUMPRODUCT(($B$35='User Input'!$C$56:$C$196)*($C48='User Input'!$D$56:$D$196)*'User Input'!O$56:O$196)*O$9</f>
        <v>0</v>
      </c>
      <c r="P48" s="64">
        <f>SUMPRODUCT(($B$35='User Input'!$C$56:$C$196)*($C48='User Input'!$D$56:$D$196)*'User Input'!P$56:P$196)*P$9</f>
        <v>0</v>
      </c>
      <c r="Q48" s="64">
        <f>SUMPRODUCT(($B$35='User Input'!$C$56:$C$196)*($C48='User Input'!$D$56:$D$196)*'User Input'!Q$56:Q$196)*Q$9</f>
        <v>0</v>
      </c>
      <c r="R48" s="64">
        <f>SUMPRODUCT(($B$35='User Input'!$C$56:$C$196)*($C48='User Input'!$D$56:$D$196)*'User Input'!R$56:R$196)*R$9</f>
        <v>0</v>
      </c>
      <c r="S48" s="64">
        <f>SUMPRODUCT(($B$35='User Input'!$C$56:$C$196)*($C48='User Input'!$D$56:$D$196)*'User Input'!S$56:S$196)*S$9</f>
        <v>0</v>
      </c>
      <c r="T48" s="64">
        <f>SUMPRODUCT(($B$35='User Input'!$C$56:$C$196)*($C48='User Input'!$D$56:$D$196)*'User Input'!T$56:T$196)*T$9</f>
        <v>0</v>
      </c>
      <c r="U48" s="64">
        <f>SUMPRODUCT(($B$35='User Input'!$C$56:$C$196)*($C48='User Input'!$D$56:$D$196)*'User Input'!U$56:U$196)*U$9</f>
        <v>0</v>
      </c>
      <c r="V48" s="64">
        <f>SUMPRODUCT(($B$35='User Input'!$C$56:$C$196)*($C48='User Input'!$D$56:$D$196)*'User Input'!V$56:V$196)*V$9</f>
        <v>0</v>
      </c>
      <c r="W48" s="64">
        <f>SUMPRODUCT(($B$35='User Input'!$C$56:$C$196)*($C48='User Input'!$D$56:$D$196)*'User Input'!W$56:W$196)*W$9</f>
        <v>0</v>
      </c>
      <c r="X48" s="64">
        <f>SUMPRODUCT(($B$35='User Input'!$C$56:$C$196)*($C48='User Input'!$D$56:$D$196)*'User Input'!X$56:X$196)*X$9</f>
        <v>0</v>
      </c>
      <c r="Y48" s="64">
        <f>SUMPRODUCT(($B$35='User Input'!$C$56:$C$196)*($C48='User Input'!$D$56:$D$196)*'User Input'!Y$56:Y$196)*Y$9</f>
        <v>0</v>
      </c>
      <c r="Z48" s="151"/>
    </row>
    <row r="49" spans="2:26" ht="13.5" thickBot="1" x14ac:dyDescent="0.25">
      <c r="B49" s="13"/>
      <c r="C49" s="22" t="str">
        <f>'User Input'!D74</f>
        <v>Cost 4</v>
      </c>
      <c r="D49" s="67">
        <f t="shared" si="6"/>
        <v>0</v>
      </c>
      <c r="E49" s="697">
        <v>0</v>
      </c>
      <c r="F49" s="64">
        <f>SUMPRODUCT(($B$35='User Input'!$C$56:$C$196)*($C49='User Input'!$D$56:$D$196)*'User Input'!F$56:F$196)*F$9</f>
        <v>0</v>
      </c>
      <c r="G49" s="64">
        <f>SUMPRODUCT(($B$35='User Input'!$C$56:$C$196)*($C49='User Input'!$D$56:$D$196)*'User Input'!G$56:G$196)*G$9</f>
        <v>0</v>
      </c>
      <c r="H49" s="64">
        <f>SUMPRODUCT(($B$35='User Input'!$C$56:$C$196)*($C49='User Input'!$D$56:$D$196)*'User Input'!H$56:H$196)*H$9</f>
        <v>0</v>
      </c>
      <c r="I49" s="64">
        <f>SUMPRODUCT(($B$35='User Input'!$C$56:$C$196)*($C49='User Input'!$D$56:$D$196)*'User Input'!I$56:I$196)*I$9</f>
        <v>0</v>
      </c>
      <c r="J49" s="64">
        <f>SUMPRODUCT(($B$35='User Input'!$C$56:$C$196)*($C49='User Input'!$D$56:$D$196)*'User Input'!J$56:J$196)*J$9</f>
        <v>0</v>
      </c>
      <c r="K49" s="64">
        <f>SUMPRODUCT(($B$35='User Input'!$C$56:$C$196)*($C49='User Input'!$D$56:$D$196)*'User Input'!K$56:K$196)*K$9</f>
        <v>0</v>
      </c>
      <c r="L49" s="64">
        <f>SUMPRODUCT(($B$35='User Input'!$C$56:$C$196)*($C49='User Input'!$D$56:$D$196)*'User Input'!L$56:L$196)*L$9</f>
        <v>0</v>
      </c>
      <c r="M49" s="64">
        <f>SUMPRODUCT(($B$35='User Input'!$C$56:$C$196)*($C49='User Input'!$D$56:$D$196)*'User Input'!M$56:M$196)*M$9</f>
        <v>0</v>
      </c>
      <c r="N49" s="64">
        <f>SUMPRODUCT(($B$35='User Input'!$C$56:$C$196)*($C49='User Input'!$D$56:$D$196)*'User Input'!N$56:N$196)*N$9</f>
        <v>0</v>
      </c>
      <c r="O49" s="64">
        <f>SUMPRODUCT(($B$35='User Input'!$C$56:$C$196)*($C49='User Input'!$D$56:$D$196)*'User Input'!O$56:O$196)*O$9</f>
        <v>0</v>
      </c>
      <c r="P49" s="64">
        <f>SUMPRODUCT(($B$35='User Input'!$C$56:$C$196)*($C49='User Input'!$D$56:$D$196)*'User Input'!P$56:P$196)*P$9</f>
        <v>0</v>
      </c>
      <c r="Q49" s="64">
        <f>SUMPRODUCT(($B$35='User Input'!$C$56:$C$196)*($C49='User Input'!$D$56:$D$196)*'User Input'!Q$56:Q$196)*Q$9</f>
        <v>0</v>
      </c>
      <c r="R49" s="64">
        <f>SUMPRODUCT(($B$35='User Input'!$C$56:$C$196)*($C49='User Input'!$D$56:$D$196)*'User Input'!R$56:R$196)*R$9</f>
        <v>0</v>
      </c>
      <c r="S49" s="64">
        <f>SUMPRODUCT(($B$35='User Input'!$C$56:$C$196)*($C49='User Input'!$D$56:$D$196)*'User Input'!S$56:S$196)*S$9</f>
        <v>0</v>
      </c>
      <c r="T49" s="64">
        <f>SUMPRODUCT(($B$35='User Input'!$C$56:$C$196)*($C49='User Input'!$D$56:$D$196)*'User Input'!T$56:T$196)*T$9</f>
        <v>0</v>
      </c>
      <c r="U49" s="64">
        <f>SUMPRODUCT(($B$35='User Input'!$C$56:$C$196)*($C49='User Input'!$D$56:$D$196)*'User Input'!U$56:U$196)*U$9</f>
        <v>0</v>
      </c>
      <c r="V49" s="64">
        <f>SUMPRODUCT(($B$35='User Input'!$C$56:$C$196)*($C49='User Input'!$D$56:$D$196)*'User Input'!V$56:V$196)*V$9</f>
        <v>0</v>
      </c>
      <c r="W49" s="64">
        <f>SUMPRODUCT(($B$35='User Input'!$C$56:$C$196)*($C49='User Input'!$D$56:$D$196)*'User Input'!W$56:W$196)*W$9</f>
        <v>0</v>
      </c>
      <c r="X49" s="64">
        <f>SUMPRODUCT(($B$35='User Input'!$C$56:$C$196)*($C49='User Input'!$D$56:$D$196)*'User Input'!X$56:X$196)*X$9</f>
        <v>0</v>
      </c>
      <c r="Y49" s="64">
        <f>SUMPRODUCT(($B$35='User Input'!$C$56:$C$196)*($C49='User Input'!$D$56:$D$196)*'User Input'!Y$56:Y$196)*Y$9</f>
        <v>0</v>
      </c>
      <c r="Z49" s="151"/>
    </row>
    <row r="50" spans="2:26" ht="13.5" thickBot="1" x14ac:dyDescent="0.25">
      <c r="B50" s="13"/>
      <c r="C50" s="22" t="str">
        <f>'User Input'!D75</f>
        <v>Cost 5</v>
      </c>
      <c r="D50" s="67">
        <f t="shared" si="6"/>
        <v>0</v>
      </c>
      <c r="E50" s="697">
        <v>0</v>
      </c>
      <c r="F50" s="64">
        <f>SUMPRODUCT(($B$35='User Input'!$C$56:$C$196)*($C50='User Input'!$D$56:$D$196)*'User Input'!F$56:F$196)*F$9</f>
        <v>0</v>
      </c>
      <c r="G50" s="64">
        <f>SUMPRODUCT(($B$35='User Input'!$C$56:$C$196)*($C50='User Input'!$D$56:$D$196)*'User Input'!G$56:G$196)*G$9</f>
        <v>0</v>
      </c>
      <c r="H50" s="64">
        <f>SUMPRODUCT(($B$35='User Input'!$C$56:$C$196)*($C50='User Input'!$D$56:$D$196)*'User Input'!H$56:H$196)*H$9</f>
        <v>0</v>
      </c>
      <c r="I50" s="64">
        <f>SUMPRODUCT(($B$35='User Input'!$C$56:$C$196)*($C50='User Input'!$D$56:$D$196)*'User Input'!I$56:I$196)*I$9</f>
        <v>0</v>
      </c>
      <c r="J50" s="64">
        <f>SUMPRODUCT(($B$35='User Input'!$C$56:$C$196)*($C50='User Input'!$D$56:$D$196)*'User Input'!J$56:J$196)*J$9</f>
        <v>0</v>
      </c>
      <c r="K50" s="64">
        <f>SUMPRODUCT(($B$35='User Input'!$C$56:$C$196)*($C50='User Input'!$D$56:$D$196)*'User Input'!K$56:K$196)*K$9</f>
        <v>0</v>
      </c>
      <c r="L50" s="64">
        <f>SUMPRODUCT(($B$35='User Input'!$C$56:$C$196)*($C50='User Input'!$D$56:$D$196)*'User Input'!L$56:L$196)*L$9</f>
        <v>0</v>
      </c>
      <c r="M50" s="64">
        <f>SUMPRODUCT(($B$35='User Input'!$C$56:$C$196)*($C50='User Input'!$D$56:$D$196)*'User Input'!M$56:M$196)*M$9</f>
        <v>0</v>
      </c>
      <c r="N50" s="64">
        <f>SUMPRODUCT(($B$35='User Input'!$C$56:$C$196)*($C50='User Input'!$D$56:$D$196)*'User Input'!N$56:N$196)*N$9</f>
        <v>0</v>
      </c>
      <c r="O50" s="64">
        <f>SUMPRODUCT(($B$35='User Input'!$C$56:$C$196)*($C50='User Input'!$D$56:$D$196)*'User Input'!O$56:O$196)*O$9</f>
        <v>0</v>
      </c>
      <c r="P50" s="64">
        <f>SUMPRODUCT(($B$35='User Input'!$C$56:$C$196)*($C50='User Input'!$D$56:$D$196)*'User Input'!P$56:P$196)*P$9</f>
        <v>0</v>
      </c>
      <c r="Q50" s="64">
        <f>SUMPRODUCT(($B$35='User Input'!$C$56:$C$196)*($C50='User Input'!$D$56:$D$196)*'User Input'!Q$56:Q$196)*Q$9</f>
        <v>0</v>
      </c>
      <c r="R50" s="64">
        <f>SUMPRODUCT(($B$35='User Input'!$C$56:$C$196)*($C50='User Input'!$D$56:$D$196)*'User Input'!R$56:R$196)*R$9</f>
        <v>0</v>
      </c>
      <c r="S50" s="64">
        <f>SUMPRODUCT(($B$35='User Input'!$C$56:$C$196)*($C50='User Input'!$D$56:$D$196)*'User Input'!S$56:S$196)*S$9</f>
        <v>0</v>
      </c>
      <c r="T50" s="64">
        <f>SUMPRODUCT(($B$35='User Input'!$C$56:$C$196)*($C50='User Input'!$D$56:$D$196)*'User Input'!T$56:T$196)*T$9</f>
        <v>0</v>
      </c>
      <c r="U50" s="64">
        <f>SUMPRODUCT(($B$35='User Input'!$C$56:$C$196)*($C50='User Input'!$D$56:$D$196)*'User Input'!U$56:U$196)*U$9</f>
        <v>0</v>
      </c>
      <c r="V50" s="64">
        <f>SUMPRODUCT(($B$35='User Input'!$C$56:$C$196)*($C50='User Input'!$D$56:$D$196)*'User Input'!V$56:V$196)*V$9</f>
        <v>0</v>
      </c>
      <c r="W50" s="64">
        <f>SUMPRODUCT(($B$35='User Input'!$C$56:$C$196)*($C50='User Input'!$D$56:$D$196)*'User Input'!W$56:W$196)*W$9</f>
        <v>0</v>
      </c>
      <c r="X50" s="64">
        <f>SUMPRODUCT(($B$35='User Input'!$C$56:$C$196)*($C50='User Input'!$D$56:$D$196)*'User Input'!X$56:X$196)*X$9</f>
        <v>0</v>
      </c>
      <c r="Y50" s="64">
        <f>SUMPRODUCT(($B$35='User Input'!$C$56:$C$196)*($C50='User Input'!$D$56:$D$196)*'User Input'!Y$56:Y$196)*Y$9</f>
        <v>0</v>
      </c>
      <c r="Z50" s="151"/>
    </row>
    <row r="51" spans="2:26" ht="13.5" thickBot="1" x14ac:dyDescent="0.25">
      <c r="B51" s="13"/>
      <c r="C51" s="22" t="str">
        <f>'User Input'!D76</f>
        <v>Risk 1</v>
      </c>
      <c r="D51" s="67">
        <f t="shared" si="6"/>
        <v>0</v>
      </c>
      <c r="E51" s="697">
        <v>0</v>
      </c>
      <c r="F51" s="64">
        <f>SUMPRODUCT(($B$35='User Input'!$C$56:$C$196)*($C51='User Input'!$D$56:$D$196)*'User Input'!F$56:F$196)*F$9</f>
        <v>0</v>
      </c>
      <c r="G51" s="64">
        <f>SUMPRODUCT(($B$35='User Input'!$C$56:$C$196)*($C51='User Input'!$D$56:$D$196)*'User Input'!G$56:G$196)*G$9</f>
        <v>0</v>
      </c>
      <c r="H51" s="64">
        <f>SUMPRODUCT(($B$35='User Input'!$C$56:$C$196)*($C51='User Input'!$D$56:$D$196)*'User Input'!H$56:H$196)*H$9</f>
        <v>0</v>
      </c>
      <c r="I51" s="64">
        <f>SUMPRODUCT(($B$35='User Input'!$C$56:$C$196)*($C51='User Input'!$D$56:$D$196)*'User Input'!I$56:I$196)*I$9</f>
        <v>0</v>
      </c>
      <c r="J51" s="64">
        <f>SUMPRODUCT(($B$35='User Input'!$C$56:$C$196)*($C51='User Input'!$D$56:$D$196)*'User Input'!J$56:J$196)*J$9</f>
        <v>0</v>
      </c>
      <c r="K51" s="64">
        <f>SUMPRODUCT(($B$35='User Input'!$C$56:$C$196)*($C51='User Input'!$D$56:$D$196)*'User Input'!K$56:K$196)*K$9</f>
        <v>0</v>
      </c>
      <c r="L51" s="64">
        <f>SUMPRODUCT(($B$35='User Input'!$C$56:$C$196)*($C51='User Input'!$D$56:$D$196)*'User Input'!L$56:L$196)*L$9</f>
        <v>0</v>
      </c>
      <c r="M51" s="64">
        <f>SUMPRODUCT(($B$35='User Input'!$C$56:$C$196)*($C51='User Input'!$D$56:$D$196)*'User Input'!M$56:M$196)*M$9</f>
        <v>0</v>
      </c>
      <c r="N51" s="64">
        <f>SUMPRODUCT(($B$35='User Input'!$C$56:$C$196)*($C51='User Input'!$D$56:$D$196)*'User Input'!N$56:N$196)*N$9</f>
        <v>0</v>
      </c>
      <c r="O51" s="64">
        <f>SUMPRODUCT(($B$35='User Input'!$C$56:$C$196)*($C51='User Input'!$D$56:$D$196)*'User Input'!O$56:O$196)*O$9</f>
        <v>0</v>
      </c>
      <c r="P51" s="64">
        <f>SUMPRODUCT(($B$35='User Input'!$C$56:$C$196)*($C51='User Input'!$D$56:$D$196)*'User Input'!P$56:P$196)*P$9</f>
        <v>0</v>
      </c>
      <c r="Q51" s="64">
        <f>SUMPRODUCT(($B$35='User Input'!$C$56:$C$196)*($C51='User Input'!$D$56:$D$196)*'User Input'!Q$56:Q$196)*Q$9</f>
        <v>0</v>
      </c>
      <c r="R51" s="64">
        <f>SUMPRODUCT(($B$35='User Input'!$C$56:$C$196)*($C51='User Input'!$D$56:$D$196)*'User Input'!R$56:R$196)*R$9</f>
        <v>0</v>
      </c>
      <c r="S51" s="64">
        <f>SUMPRODUCT(($B$35='User Input'!$C$56:$C$196)*($C51='User Input'!$D$56:$D$196)*'User Input'!S$56:S$196)*S$9</f>
        <v>0</v>
      </c>
      <c r="T51" s="64">
        <f>SUMPRODUCT(($B$35='User Input'!$C$56:$C$196)*($C51='User Input'!$D$56:$D$196)*'User Input'!T$56:T$196)*T$9</f>
        <v>0</v>
      </c>
      <c r="U51" s="64">
        <f>SUMPRODUCT(($B$35='User Input'!$C$56:$C$196)*($C51='User Input'!$D$56:$D$196)*'User Input'!U$56:U$196)*U$9</f>
        <v>0</v>
      </c>
      <c r="V51" s="64">
        <f>SUMPRODUCT(($B$35='User Input'!$C$56:$C$196)*($C51='User Input'!$D$56:$D$196)*'User Input'!V$56:V$196)*V$9</f>
        <v>0</v>
      </c>
      <c r="W51" s="64">
        <f>SUMPRODUCT(($B$35='User Input'!$C$56:$C$196)*($C51='User Input'!$D$56:$D$196)*'User Input'!W$56:W$196)*W$9</f>
        <v>0</v>
      </c>
      <c r="X51" s="64">
        <f>SUMPRODUCT(($B$35='User Input'!$C$56:$C$196)*($C51='User Input'!$D$56:$D$196)*'User Input'!X$56:X$196)*X$9</f>
        <v>0</v>
      </c>
      <c r="Y51" s="64">
        <f>SUMPRODUCT(($B$35='User Input'!$C$56:$C$196)*($C51='User Input'!$D$56:$D$196)*'User Input'!Y$56:Y$196)*Y$9</f>
        <v>0</v>
      </c>
      <c r="Z51" s="151"/>
    </row>
    <row r="52" spans="2:26" ht="13.5" thickBot="1" x14ac:dyDescent="0.25">
      <c r="B52" s="13"/>
      <c r="C52" s="22" t="str">
        <f>'User Input'!D77</f>
        <v>Risk 2</v>
      </c>
      <c r="D52" s="67">
        <f t="shared" si="6"/>
        <v>0</v>
      </c>
      <c r="E52" s="697">
        <v>0</v>
      </c>
      <c r="F52" s="64">
        <f>SUMPRODUCT(($B$35='User Input'!$C$56:$C$196)*($C52='User Input'!$D$56:$D$196)*'User Input'!F$56:F$196)*F$9</f>
        <v>0</v>
      </c>
      <c r="G52" s="64">
        <f>SUMPRODUCT(($B$35='User Input'!$C$56:$C$196)*($C52='User Input'!$D$56:$D$196)*'User Input'!G$56:G$196)*G$9</f>
        <v>0</v>
      </c>
      <c r="H52" s="64">
        <f>SUMPRODUCT(($B$35='User Input'!$C$56:$C$196)*($C52='User Input'!$D$56:$D$196)*'User Input'!H$56:H$196)*H$9</f>
        <v>0</v>
      </c>
      <c r="I52" s="64">
        <f>SUMPRODUCT(($B$35='User Input'!$C$56:$C$196)*($C52='User Input'!$D$56:$D$196)*'User Input'!I$56:I$196)*I$9</f>
        <v>0</v>
      </c>
      <c r="J52" s="64">
        <f>SUMPRODUCT(($B$35='User Input'!$C$56:$C$196)*($C52='User Input'!$D$56:$D$196)*'User Input'!J$56:J$196)*J$9</f>
        <v>0</v>
      </c>
      <c r="K52" s="64">
        <f>SUMPRODUCT(($B$35='User Input'!$C$56:$C$196)*($C52='User Input'!$D$56:$D$196)*'User Input'!K$56:K$196)*K$9</f>
        <v>0</v>
      </c>
      <c r="L52" s="64">
        <f>SUMPRODUCT(($B$35='User Input'!$C$56:$C$196)*($C52='User Input'!$D$56:$D$196)*'User Input'!L$56:L$196)*L$9</f>
        <v>0</v>
      </c>
      <c r="M52" s="64">
        <f>SUMPRODUCT(($B$35='User Input'!$C$56:$C$196)*($C52='User Input'!$D$56:$D$196)*'User Input'!M$56:M$196)*M$9</f>
        <v>0</v>
      </c>
      <c r="N52" s="64">
        <f>SUMPRODUCT(($B$35='User Input'!$C$56:$C$196)*($C52='User Input'!$D$56:$D$196)*'User Input'!N$56:N$196)*N$9</f>
        <v>0</v>
      </c>
      <c r="O52" s="64">
        <f>SUMPRODUCT(($B$35='User Input'!$C$56:$C$196)*($C52='User Input'!$D$56:$D$196)*'User Input'!O$56:O$196)*O$9</f>
        <v>0</v>
      </c>
      <c r="P52" s="64">
        <f>SUMPRODUCT(($B$35='User Input'!$C$56:$C$196)*($C52='User Input'!$D$56:$D$196)*'User Input'!P$56:P$196)*P$9</f>
        <v>0</v>
      </c>
      <c r="Q52" s="64">
        <f>SUMPRODUCT(($B$35='User Input'!$C$56:$C$196)*($C52='User Input'!$D$56:$D$196)*'User Input'!Q$56:Q$196)*Q$9</f>
        <v>0</v>
      </c>
      <c r="R52" s="64">
        <f>SUMPRODUCT(($B$35='User Input'!$C$56:$C$196)*($C52='User Input'!$D$56:$D$196)*'User Input'!R$56:R$196)*R$9</f>
        <v>0</v>
      </c>
      <c r="S52" s="64">
        <f>SUMPRODUCT(($B$35='User Input'!$C$56:$C$196)*($C52='User Input'!$D$56:$D$196)*'User Input'!S$56:S$196)*S$9</f>
        <v>0</v>
      </c>
      <c r="T52" s="64">
        <f>SUMPRODUCT(($B$35='User Input'!$C$56:$C$196)*($C52='User Input'!$D$56:$D$196)*'User Input'!T$56:T$196)*T$9</f>
        <v>0</v>
      </c>
      <c r="U52" s="64">
        <f>SUMPRODUCT(($B$35='User Input'!$C$56:$C$196)*($C52='User Input'!$D$56:$D$196)*'User Input'!U$56:U$196)*U$9</f>
        <v>0</v>
      </c>
      <c r="V52" s="64">
        <f>SUMPRODUCT(($B$35='User Input'!$C$56:$C$196)*($C52='User Input'!$D$56:$D$196)*'User Input'!V$56:V$196)*V$9</f>
        <v>0</v>
      </c>
      <c r="W52" s="64">
        <f>SUMPRODUCT(($B$35='User Input'!$C$56:$C$196)*($C52='User Input'!$D$56:$D$196)*'User Input'!W$56:W$196)*W$9</f>
        <v>0</v>
      </c>
      <c r="X52" s="64">
        <f>SUMPRODUCT(($B$35='User Input'!$C$56:$C$196)*($C52='User Input'!$D$56:$D$196)*'User Input'!X$56:X$196)*X$9</f>
        <v>0</v>
      </c>
      <c r="Y52" s="64">
        <f>SUMPRODUCT(($B$35='User Input'!$C$56:$C$196)*($C52='User Input'!$D$56:$D$196)*'User Input'!Y$56:Y$196)*Y$9</f>
        <v>0</v>
      </c>
      <c r="Z52" s="151"/>
    </row>
    <row r="53" spans="2:26" ht="13.5" thickBot="1" x14ac:dyDescent="0.25">
      <c r="B53" s="13"/>
      <c r="C53" s="22" t="str">
        <f>'User Input'!D78</f>
        <v>Risk 3</v>
      </c>
      <c r="D53" s="67">
        <f t="shared" si="6"/>
        <v>0</v>
      </c>
      <c r="E53" s="697">
        <v>0</v>
      </c>
      <c r="F53" s="64">
        <f>SUMPRODUCT(($B$35='User Input'!$C$56:$C$196)*($C53='User Input'!$D$56:$D$196)*'User Input'!F$56:F$196)*F$9</f>
        <v>0</v>
      </c>
      <c r="G53" s="64">
        <f>SUMPRODUCT(($B$35='User Input'!$C$56:$C$196)*($C53='User Input'!$D$56:$D$196)*'User Input'!G$56:G$196)*G$9</f>
        <v>0</v>
      </c>
      <c r="H53" s="64">
        <f>SUMPRODUCT(($B$35='User Input'!$C$56:$C$196)*($C53='User Input'!$D$56:$D$196)*'User Input'!H$56:H$196)*H$9</f>
        <v>0</v>
      </c>
      <c r="I53" s="64">
        <f>SUMPRODUCT(($B$35='User Input'!$C$56:$C$196)*($C53='User Input'!$D$56:$D$196)*'User Input'!I$56:I$196)*I$9</f>
        <v>0</v>
      </c>
      <c r="J53" s="64">
        <f>SUMPRODUCT(($B$35='User Input'!$C$56:$C$196)*($C53='User Input'!$D$56:$D$196)*'User Input'!J$56:J$196)*J$9</f>
        <v>0</v>
      </c>
      <c r="K53" s="64">
        <f>SUMPRODUCT(($B$35='User Input'!$C$56:$C$196)*($C53='User Input'!$D$56:$D$196)*'User Input'!K$56:K$196)*K$9</f>
        <v>0</v>
      </c>
      <c r="L53" s="64">
        <f>SUMPRODUCT(($B$35='User Input'!$C$56:$C$196)*($C53='User Input'!$D$56:$D$196)*'User Input'!L$56:L$196)*L$9</f>
        <v>0</v>
      </c>
      <c r="M53" s="64">
        <f>SUMPRODUCT(($B$35='User Input'!$C$56:$C$196)*($C53='User Input'!$D$56:$D$196)*'User Input'!M$56:M$196)*M$9</f>
        <v>0</v>
      </c>
      <c r="N53" s="64">
        <f>SUMPRODUCT(($B$35='User Input'!$C$56:$C$196)*($C53='User Input'!$D$56:$D$196)*'User Input'!N$56:N$196)*N$9</f>
        <v>0</v>
      </c>
      <c r="O53" s="64">
        <f>SUMPRODUCT(($B$35='User Input'!$C$56:$C$196)*($C53='User Input'!$D$56:$D$196)*'User Input'!O$56:O$196)*O$9</f>
        <v>0</v>
      </c>
      <c r="P53" s="64">
        <f>SUMPRODUCT(($B$35='User Input'!$C$56:$C$196)*($C53='User Input'!$D$56:$D$196)*'User Input'!P$56:P$196)*P$9</f>
        <v>0</v>
      </c>
      <c r="Q53" s="64">
        <f>SUMPRODUCT(($B$35='User Input'!$C$56:$C$196)*($C53='User Input'!$D$56:$D$196)*'User Input'!Q$56:Q$196)*Q$9</f>
        <v>0</v>
      </c>
      <c r="R53" s="64">
        <f>SUMPRODUCT(($B$35='User Input'!$C$56:$C$196)*($C53='User Input'!$D$56:$D$196)*'User Input'!R$56:R$196)*R$9</f>
        <v>0</v>
      </c>
      <c r="S53" s="64">
        <f>SUMPRODUCT(($B$35='User Input'!$C$56:$C$196)*($C53='User Input'!$D$56:$D$196)*'User Input'!S$56:S$196)*S$9</f>
        <v>0</v>
      </c>
      <c r="T53" s="64">
        <f>SUMPRODUCT(($B$35='User Input'!$C$56:$C$196)*($C53='User Input'!$D$56:$D$196)*'User Input'!T$56:T$196)*T$9</f>
        <v>0</v>
      </c>
      <c r="U53" s="64">
        <f>SUMPRODUCT(($B$35='User Input'!$C$56:$C$196)*($C53='User Input'!$D$56:$D$196)*'User Input'!U$56:U$196)*U$9</f>
        <v>0</v>
      </c>
      <c r="V53" s="64">
        <f>SUMPRODUCT(($B$35='User Input'!$C$56:$C$196)*($C53='User Input'!$D$56:$D$196)*'User Input'!V$56:V$196)*V$9</f>
        <v>0</v>
      </c>
      <c r="W53" s="64">
        <f>SUMPRODUCT(($B$35='User Input'!$C$56:$C$196)*($C53='User Input'!$D$56:$D$196)*'User Input'!W$56:W$196)*W$9</f>
        <v>0</v>
      </c>
      <c r="X53" s="64">
        <f>SUMPRODUCT(($B$35='User Input'!$C$56:$C$196)*($C53='User Input'!$D$56:$D$196)*'User Input'!X$56:X$196)*X$9</f>
        <v>0</v>
      </c>
      <c r="Y53" s="64">
        <f>SUMPRODUCT(($B$35='User Input'!$C$56:$C$196)*($C53='User Input'!$D$56:$D$196)*'User Input'!Y$56:Y$196)*Y$9</f>
        <v>0</v>
      </c>
      <c r="Z53" s="151"/>
    </row>
    <row r="54" spans="2:26" ht="13.5" thickBot="1" x14ac:dyDescent="0.25">
      <c r="B54" s="13"/>
      <c r="C54" s="22" t="str">
        <f>'User Input'!D79</f>
        <v>Risk 4</v>
      </c>
      <c r="D54" s="67">
        <f t="shared" si="6"/>
        <v>0</v>
      </c>
      <c r="E54" s="697">
        <v>0</v>
      </c>
      <c r="F54" s="64">
        <f>SUMPRODUCT(($B$35='User Input'!$C$56:$C$196)*($C54='User Input'!$D$56:$D$196)*'User Input'!F$56:F$196)*F$9</f>
        <v>0</v>
      </c>
      <c r="G54" s="64">
        <f>SUMPRODUCT(($B$35='User Input'!$C$56:$C$196)*($C54='User Input'!$D$56:$D$196)*'User Input'!G$56:G$196)*G$9</f>
        <v>0</v>
      </c>
      <c r="H54" s="64">
        <f>SUMPRODUCT(($B$35='User Input'!$C$56:$C$196)*($C54='User Input'!$D$56:$D$196)*'User Input'!H$56:H$196)*H$9</f>
        <v>0</v>
      </c>
      <c r="I54" s="64">
        <f>SUMPRODUCT(($B$35='User Input'!$C$56:$C$196)*($C54='User Input'!$D$56:$D$196)*'User Input'!I$56:I$196)*I$9</f>
        <v>0</v>
      </c>
      <c r="J54" s="64">
        <f>SUMPRODUCT(($B$35='User Input'!$C$56:$C$196)*($C54='User Input'!$D$56:$D$196)*'User Input'!J$56:J$196)*J$9</f>
        <v>0</v>
      </c>
      <c r="K54" s="64">
        <f>SUMPRODUCT(($B$35='User Input'!$C$56:$C$196)*($C54='User Input'!$D$56:$D$196)*'User Input'!K$56:K$196)*K$9</f>
        <v>0</v>
      </c>
      <c r="L54" s="64">
        <f>SUMPRODUCT(($B$35='User Input'!$C$56:$C$196)*($C54='User Input'!$D$56:$D$196)*'User Input'!L$56:L$196)*L$9</f>
        <v>0</v>
      </c>
      <c r="M54" s="64">
        <f>SUMPRODUCT(($B$35='User Input'!$C$56:$C$196)*($C54='User Input'!$D$56:$D$196)*'User Input'!M$56:M$196)*M$9</f>
        <v>0</v>
      </c>
      <c r="N54" s="64">
        <f>SUMPRODUCT(($B$35='User Input'!$C$56:$C$196)*($C54='User Input'!$D$56:$D$196)*'User Input'!N$56:N$196)*N$9</f>
        <v>0</v>
      </c>
      <c r="O54" s="64">
        <f>SUMPRODUCT(($B$35='User Input'!$C$56:$C$196)*($C54='User Input'!$D$56:$D$196)*'User Input'!O$56:O$196)*O$9</f>
        <v>0</v>
      </c>
      <c r="P54" s="64">
        <f>SUMPRODUCT(($B$35='User Input'!$C$56:$C$196)*($C54='User Input'!$D$56:$D$196)*'User Input'!P$56:P$196)*P$9</f>
        <v>0</v>
      </c>
      <c r="Q54" s="64">
        <f>SUMPRODUCT(($B$35='User Input'!$C$56:$C$196)*($C54='User Input'!$D$56:$D$196)*'User Input'!Q$56:Q$196)*Q$9</f>
        <v>0</v>
      </c>
      <c r="R54" s="64">
        <f>SUMPRODUCT(($B$35='User Input'!$C$56:$C$196)*($C54='User Input'!$D$56:$D$196)*'User Input'!R$56:R$196)*R$9</f>
        <v>0</v>
      </c>
      <c r="S54" s="64">
        <f>SUMPRODUCT(($B$35='User Input'!$C$56:$C$196)*($C54='User Input'!$D$56:$D$196)*'User Input'!S$56:S$196)*S$9</f>
        <v>0</v>
      </c>
      <c r="T54" s="64">
        <f>SUMPRODUCT(($B$35='User Input'!$C$56:$C$196)*($C54='User Input'!$D$56:$D$196)*'User Input'!T$56:T$196)*T$9</f>
        <v>0</v>
      </c>
      <c r="U54" s="64">
        <f>SUMPRODUCT(($B$35='User Input'!$C$56:$C$196)*($C54='User Input'!$D$56:$D$196)*'User Input'!U$56:U$196)*U$9</f>
        <v>0</v>
      </c>
      <c r="V54" s="64">
        <f>SUMPRODUCT(($B$35='User Input'!$C$56:$C$196)*($C54='User Input'!$D$56:$D$196)*'User Input'!V$56:V$196)*V$9</f>
        <v>0</v>
      </c>
      <c r="W54" s="64">
        <f>SUMPRODUCT(($B$35='User Input'!$C$56:$C$196)*($C54='User Input'!$D$56:$D$196)*'User Input'!W$56:W$196)*W$9</f>
        <v>0</v>
      </c>
      <c r="X54" s="64">
        <f>SUMPRODUCT(($B$35='User Input'!$C$56:$C$196)*($C54='User Input'!$D$56:$D$196)*'User Input'!X$56:X$196)*X$9</f>
        <v>0</v>
      </c>
      <c r="Y54" s="64">
        <f>SUMPRODUCT(($B$35='User Input'!$C$56:$C$196)*($C54='User Input'!$D$56:$D$196)*'User Input'!Y$56:Y$196)*Y$9</f>
        <v>0</v>
      </c>
      <c r="Z54" s="151"/>
    </row>
    <row r="55" spans="2:26" ht="13.5" thickBot="1" x14ac:dyDescent="0.25">
      <c r="B55" s="13"/>
      <c r="C55" s="22" t="str">
        <f>'User Input'!D80</f>
        <v>Risk 5</v>
      </c>
      <c r="D55" s="67">
        <f t="shared" si="6"/>
        <v>0</v>
      </c>
      <c r="E55" s="697">
        <v>0</v>
      </c>
      <c r="F55" s="64">
        <f>SUMPRODUCT(($B$35='User Input'!$C$56:$C$196)*($C55='User Input'!$D$56:$D$196)*'User Input'!F$56:F$196)*F$9</f>
        <v>0</v>
      </c>
      <c r="G55" s="64">
        <f>SUMPRODUCT(($B$35='User Input'!$C$56:$C$196)*($C55='User Input'!$D$56:$D$196)*'User Input'!G$56:G$196)*G$9</f>
        <v>0</v>
      </c>
      <c r="H55" s="64">
        <f>SUMPRODUCT(($B$35='User Input'!$C$56:$C$196)*($C55='User Input'!$D$56:$D$196)*'User Input'!H$56:H$196)*H$9</f>
        <v>0</v>
      </c>
      <c r="I55" s="64">
        <f>SUMPRODUCT(($B$35='User Input'!$C$56:$C$196)*($C55='User Input'!$D$56:$D$196)*'User Input'!I$56:I$196)*I$9</f>
        <v>0</v>
      </c>
      <c r="J55" s="64">
        <f>SUMPRODUCT(($B$35='User Input'!$C$56:$C$196)*($C55='User Input'!$D$56:$D$196)*'User Input'!J$56:J$196)*J$9</f>
        <v>0</v>
      </c>
      <c r="K55" s="64">
        <f>SUMPRODUCT(($B$35='User Input'!$C$56:$C$196)*($C55='User Input'!$D$56:$D$196)*'User Input'!K$56:K$196)*K$9</f>
        <v>0</v>
      </c>
      <c r="L55" s="64">
        <f>SUMPRODUCT(($B$35='User Input'!$C$56:$C$196)*($C55='User Input'!$D$56:$D$196)*'User Input'!L$56:L$196)*L$9</f>
        <v>0</v>
      </c>
      <c r="M55" s="64">
        <f>SUMPRODUCT(($B$35='User Input'!$C$56:$C$196)*($C55='User Input'!$D$56:$D$196)*'User Input'!M$56:M$196)*M$9</f>
        <v>0</v>
      </c>
      <c r="N55" s="64">
        <f>SUMPRODUCT(($B$35='User Input'!$C$56:$C$196)*($C55='User Input'!$D$56:$D$196)*'User Input'!N$56:N$196)*N$9</f>
        <v>0</v>
      </c>
      <c r="O55" s="64">
        <f>SUMPRODUCT(($B$35='User Input'!$C$56:$C$196)*($C55='User Input'!$D$56:$D$196)*'User Input'!O$56:O$196)*O$9</f>
        <v>0</v>
      </c>
      <c r="P55" s="64">
        <f>SUMPRODUCT(($B$35='User Input'!$C$56:$C$196)*($C55='User Input'!$D$56:$D$196)*'User Input'!P$56:P$196)*P$9</f>
        <v>0</v>
      </c>
      <c r="Q55" s="64">
        <f>SUMPRODUCT(($B$35='User Input'!$C$56:$C$196)*($C55='User Input'!$D$56:$D$196)*'User Input'!Q$56:Q$196)*Q$9</f>
        <v>0</v>
      </c>
      <c r="R55" s="64">
        <f>SUMPRODUCT(($B$35='User Input'!$C$56:$C$196)*($C55='User Input'!$D$56:$D$196)*'User Input'!R$56:R$196)*R$9</f>
        <v>0</v>
      </c>
      <c r="S55" s="64">
        <f>SUMPRODUCT(($B$35='User Input'!$C$56:$C$196)*($C55='User Input'!$D$56:$D$196)*'User Input'!S$56:S$196)*S$9</f>
        <v>0</v>
      </c>
      <c r="T55" s="64">
        <f>SUMPRODUCT(($B$35='User Input'!$C$56:$C$196)*($C55='User Input'!$D$56:$D$196)*'User Input'!T$56:T$196)*T$9</f>
        <v>0</v>
      </c>
      <c r="U55" s="64">
        <f>SUMPRODUCT(($B$35='User Input'!$C$56:$C$196)*($C55='User Input'!$D$56:$D$196)*'User Input'!U$56:U$196)*U$9</f>
        <v>0</v>
      </c>
      <c r="V55" s="64">
        <f>SUMPRODUCT(($B$35='User Input'!$C$56:$C$196)*($C55='User Input'!$D$56:$D$196)*'User Input'!V$56:V$196)*V$9</f>
        <v>0</v>
      </c>
      <c r="W55" s="64">
        <f>SUMPRODUCT(($B$35='User Input'!$C$56:$C$196)*($C55='User Input'!$D$56:$D$196)*'User Input'!W$56:W$196)*W$9</f>
        <v>0</v>
      </c>
      <c r="X55" s="64">
        <f>SUMPRODUCT(($B$35='User Input'!$C$56:$C$196)*($C55='User Input'!$D$56:$D$196)*'User Input'!X$56:X$196)*X$9</f>
        <v>0</v>
      </c>
      <c r="Y55" s="64">
        <f>SUMPRODUCT(($B$35='User Input'!$C$56:$C$196)*($C55='User Input'!$D$56:$D$196)*'User Input'!Y$56:Y$196)*Y$9</f>
        <v>0</v>
      </c>
      <c r="Z55" s="151"/>
    </row>
    <row r="56" spans="2:26" ht="13.5" thickBot="1" x14ac:dyDescent="0.25">
      <c r="B56" s="13"/>
      <c r="C56" s="53" t="s">
        <v>2</v>
      </c>
      <c r="D56" s="67">
        <f>SUM(E56:Y56)</f>
        <v>2411.7695382000002</v>
      </c>
      <c r="E56" s="68">
        <f>SUM(E37:E55)</f>
        <v>1340.6829</v>
      </c>
      <c r="F56" s="69">
        <f t="shared" ref="F56:Y56" si="7">SUM(F37:F55)</f>
        <v>1071.0866382000004</v>
      </c>
      <c r="G56" s="69">
        <f t="shared" si="7"/>
        <v>0</v>
      </c>
      <c r="H56" s="69">
        <f t="shared" si="7"/>
        <v>0</v>
      </c>
      <c r="I56" s="69">
        <f t="shared" si="7"/>
        <v>0</v>
      </c>
      <c r="J56" s="69">
        <f t="shared" si="7"/>
        <v>0</v>
      </c>
      <c r="K56" s="69">
        <f t="shared" si="7"/>
        <v>0</v>
      </c>
      <c r="L56" s="69">
        <f t="shared" si="7"/>
        <v>0</v>
      </c>
      <c r="M56" s="69">
        <f t="shared" si="7"/>
        <v>0</v>
      </c>
      <c r="N56" s="69">
        <f t="shared" si="7"/>
        <v>0</v>
      </c>
      <c r="O56" s="69">
        <f t="shared" si="7"/>
        <v>0</v>
      </c>
      <c r="P56" s="69">
        <f t="shared" si="7"/>
        <v>0</v>
      </c>
      <c r="Q56" s="69">
        <f t="shared" si="7"/>
        <v>0</v>
      </c>
      <c r="R56" s="69">
        <f t="shared" si="7"/>
        <v>0</v>
      </c>
      <c r="S56" s="69">
        <f t="shared" si="7"/>
        <v>0</v>
      </c>
      <c r="T56" s="69">
        <f t="shared" si="7"/>
        <v>0</v>
      </c>
      <c r="U56" s="69">
        <f t="shared" si="7"/>
        <v>0</v>
      </c>
      <c r="V56" s="69">
        <f t="shared" si="7"/>
        <v>0</v>
      </c>
      <c r="W56" s="69">
        <f t="shared" si="7"/>
        <v>0</v>
      </c>
      <c r="X56" s="69">
        <f t="shared" si="7"/>
        <v>0</v>
      </c>
      <c r="Y56" s="150">
        <f t="shared" si="7"/>
        <v>0</v>
      </c>
      <c r="Z56" s="151"/>
    </row>
    <row r="57" spans="2:26" ht="13.5" thickBot="1" x14ac:dyDescent="0.25">
      <c r="B57" s="13"/>
      <c r="C57" s="54" t="s">
        <v>50</v>
      </c>
      <c r="D57" s="67">
        <f>SUM(E57:Y57)</f>
        <v>2326.3152163706636</v>
      </c>
      <c r="E57" s="77">
        <f t="shared" ref="E57:Y57" si="8">E56/(1+$D$4)^E$7</f>
        <v>1340.6829</v>
      </c>
      <c r="F57" s="77">
        <f t="shared" si="8"/>
        <v>985.63231637066383</v>
      </c>
      <c r="G57" s="77">
        <f t="shared" si="8"/>
        <v>0</v>
      </c>
      <c r="H57" s="77">
        <f t="shared" si="8"/>
        <v>0</v>
      </c>
      <c r="I57" s="77">
        <f t="shared" si="8"/>
        <v>0</v>
      </c>
      <c r="J57" s="77">
        <f t="shared" si="8"/>
        <v>0</v>
      </c>
      <c r="K57" s="77">
        <f t="shared" si="8"/>
        <v>0</v>
      </c>
      <c r="L57" s="77">
        <f t="shared" si="8"/>
        <v>0</v>
      </c>
      <c r="M57" s="77">
        <f t="shared" si="8"/>
        <v>0</v>
      </c>
      <c r="N57" s="77">
        <f t="shared" si="8"/>
        <v>0</v>
      </c>
      <c r="O57" s="77">
        <f t="shared" si="8"/>
        <v>0</v>
      </c>
      <c r="P57" s="77">
        <f t="shared" si="8"/>
        <v>0</v>
      </c>
      <c r="Q57" s="77">
        <f t="shared" si="8"/>
        <v>0</v>
      </c>
      <c r="R57" s="77">
        <f t="shared" si="8"/>
        <v>0</v>
      </c>
      <c r="S57" s="77">
        <f t="shared" si="8"/>
        <v>0</v>
      </c>
      <c r="T57" s="77">
        <f t="shared" si="8"/>
        <v>0</v>
      </c>
      <c r="U57" s="77">
        <f t="shared" si="8"/>
        <v>0</v>
      </c>
      <c r="V57" s="77">
        <f t="shared" si="8"/>
        <v>0</v>
      </c>
      <c r="W57" s="77">
        <f t="shared" si="8"/>
        <v>0</v>
      </c>
      <c r="X57" s="77">
        <f t="shared" si="8"/>
        <v>0</v>
      </c>
      <c r="Y57" s="149">
        <f t="shared" si="8"/>
        <v>0</v>
      </c>
      <c r="Z57" s="151"/>
    </row>
    <row r="58" spans="2:26" x14ac:dyDescent="0.2">
      <c r="B58" s="10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6"/>
      <c r="Z58" s="157"/>
    </row>
    <row r="59" spans="2:26" x14ac:dyDescent="0.2">
      <c r="B59" s="371" t="str">
        <f>CONCATENATE($B$35," + 1yr")</f>
        <v>Option 1: Provide In Meter Capabilities + 1yr</v>
      </c>
      <c r="C59" s="367"/>
      <c r="D59" s="372"/>
      <c r="E59" s="369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0"/>
    </row>
    <row r="60" spans="2:26" ht="13.5" thickBot="1" x14ac:dyDescent="0.25">
      <c r="B60" s="20"/>
      <c r="C60" s="5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7"/>
      <c r="Z60" s="151"/>
    </row>
    <row r="61" spans="2:26" ht="13.5" thickBot="1" x14ac:dyDescent="0.25">
      <c r="B61" s="52"/>
      <c r="C61" s="4" t="s">
        <v>76</v>
      </c>
      <c r="D61" s="67">
        <f>SUM(E61:Y61)</f>
        <v>2458.5578672410802</v>
      </c>
      <c r="E61" s="141">
        <f>E13</f>
        <v>0</v>
      </c>
      <c r="F61" s="141">
        <f>E37/E9*F9</f>
        <v>1366.6921482600001</v>
      </c>
      <c r="G61" s="141">
        <f>F37/F9*G9</f>
        <v>1091.8657189810804</v>
      </c>
      <c r="H61" s="141">
        <f t="shared" ref="H61:Y61" si="9">G37/G9*H9</f>
        <v>0</v>
      </c>
      <c r="I61" s="141">
        <f t="shared" si="9"/>
        <v>0</v>
      </c>
      <c r="J61" s="141">
        <f t="shared" si="9"/>
        <v>0</v>
      </c>
      <c r="K61" s="141">
        <f t="shared" si="9"/>
        <v>0</v>
      </c>
      <c r="L61" s="141">
        <f t="shared" si="9"/>
        <v>0</v>
      </c>
      <c r="M61" s="141">
        <f t="shared" si="9"/>
        <v>0</v>
      </c>
      <c r="N61" s="141">
        <f t="shared" si="9"/>
        <v>0</v>
      </c>
      <c r="O61" s="141">
        <f t="shared" si="9"/>
        <v>0</v>
      </c>
      <c r="P61" s="141">
        <f t="shared" si="9"/>
        <v>0</v>
      </c>
      <c r="Q61" s="141">
        <f t="shared" si="9"/>
        <v>0</v>
      </c>
      <c r="R61" s="141">
        <f t="shared" si="9"/>
        <v>0</v>
      </c>
      <c r="S61" s="141">
        <f t="shared" si="9"/>
        <v>0</v>
      </c>
      <c r="T61" s="141">
        <f t="shared" si="9"/>
        <v>0</v>
      </c>
      <c r="U61" s="141">
        <f t="shared" si="9"/>
        <v>0</v>
      </c>
      <c r="V61" s="141">
        <f t="shared" si="9"/>
        <v>0</v>
      </c>
      <c r="W61" s="141">
        <f t="shared" si="9"/>
        <v>0</v>
      </c>
      <c r="X61" s="141">
        <f t="shared" si="9"/>
        <v>0</v>
      </c>
      <c r="Y61" s="141">
        <f t="shared" si="9"/>
        <v>0</v>
      </c>
      <c r="Z61" s="151"/>
    </row>
    <row r="62" spans="2:26" ht="13.5" thickBot="1" x14ac:dyDescent="0.25">
      <c r="B62" s="13"/>
      <c r="C62" s="22" t="str">
        <f>'User Input'!D85</f>
        <v>Maintenance Costs</v>
      </c>
      <c r="D62" s="67">
        <f t="shared" ref="D62:D79" si="10">SUM(E62:Y62)</f>
        <v>0</v>
      </c>
      <c r="E62" s="697">
        <v>0</v>
      </c>
      <c r="F62" s="141">
        <f>E14</f>
        <v>0</v>
      </c>
      <c r="G62" s="141">
        <f>F38</f>
        <v>0</v>
      </c>
      <c r="H62" s="141">
        <f t="shared" ref="H62:Y62" si="11">G38</f>
        <v>0</v>
      </c>
      <c r="I62" s="141">
        <f t="shared" si="11"/>
        <v>0</v>
      </c>
      <c r="J62" s="141">
        <f t="shared" si="11"/>
        <v>0</v>
      </c>
      <c r="K62" s="141">
        <f t="shared" si="11"/>
        <v>0</v>
      </c>
      <c r="L62" s="141">
        <f t="shared" si="11"/>
        <v>0</v>
      </c>
      <c r="M62" s="141">
        <f t="shared" si="11"/>
        <v>0</v>
      </c>
      <c r="N62" s="141">
        <f t="shared" si="11"/>
        <v>0</v>
      </c>
      <c r="O62" s="141">
        <f t="shared" si="11"/>
        <v>0</v>
      </c>
      <c r="P62" s="141">
        <f t="shared" si="11"/>
        <v>0</v>
      </c>
      <c r="Q62" s="141">
        <f t="shared" si="11"/>
        <v>0</v>
      </c>
      <c r="R62" s="141">
        <f t="shared" si="11"/>
        <v>0</v>
      </c>
      <c r="S62" s="141">
        <f t="shared" si="11"/>
        <v>0</v>
      </c>
      <c r="T62" s="141">
        <f t="shared" si="11"/>
        <v>0</v>
      </c>
      <c r="U62" s="141">
        <f t="shared" si="11"/>
        <v>0</v>
      </c>
      <c r="V62" s="141">
        <f t="shared" si="11"/>
        <v>0</v>
      </c>
      <c r="W62" s="141">
        <f t="shared" si="11"/>
        <v>0</v>
      </c>
      <c r="X62" s="141">
        <f t="shared" si="11"/>
        <v>0</v>
      </c>
      <c r="Y62" s="141">
        <f t="shared" si="11"/>
        <v>0</v>
      </c>
      <c r="Z62" s="151"/>
    </row>
    <row r="63" spans="2:26" ht="13.5" thickBot="1" x14ac:dyDescent="0.25">
      <c r="B63" s="13"/>
      <c r="C63" s="137" t="str">
        <f>'User Input'!D87</f>
        <v>Negative Impact on Revenue (STPIS)</v>
      </c>
      <c r="D63" s="195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46"/>
      <c r="Z63" s="151"/>
    </row>
    <row r="64" spans="2:26" ht="13.5" thickBot="1" x14ac:dyDescent="0.25">
      <c r="B64" s="13"/>
      <c r="C64" s="140" t="str">
        <f>'User Input'!D88</f>
        <v>SAIFI sustained</v>
      </c>
      <c r="D64" s="67">
        <f t="shared" si="10"/>
        <v>0</v>
      </c>
      <c r="E64" s="259">
        <v>0</v>
      </c>
      <c r="F64" s="259">
        <v>0</v>
      </c>
      <c r="G64" s="697">
        <v>0</v>
      </c>
      <c r="H64" s="141">
        <f>F16</f>
        <v>0</v>
      </c>
      <c r="I64" s="141">
        <f>H40</f>
        <v>0</v>
      </c>
      <c r="J64" s="141">
        <f t="shared" ref="J64:Y67" si="12">I40</f>
        <v>0</v>
      </c>
      <c r="K64" s="141">
        <f t="shared" si="12"/>
        <v>0</v>
      </c>
      <c r="L64" s="141">
        <f t="shared" si="12"/>
        <v>0</v>
      </c>
      <c r="M64" s="141">
        <f t="shared" si="12"/>
        <v>0</v>
      </c>
      <c r="N64" s="141">
        <f t="shared" si="12"/>
        <v>0</v>
      </c>
      <c r="O64" s="141">
        <f t="shared" si="12"/>
        <v>0</v>
      </c>
      <c r="P64" s="141">
        <f t="shared" si="12"/>
        <v>0</v>
      </c>
      <c r="Q64" s="141">
        <f t="shared" si="12"/>
        <v>0</v>
      </c>
      <c r="R64" s="141">
        <f t="shared" si="12"/>
        <v>0</v>
      </c>
      <c r="S64" s="141">
        <f t="shared" si="12"/>
        <v>0</v>
      </c>
      <c r="T64" s="141">
        <f t="shared" si="12"/>
        <v>0</v>
      </c>
      <c r="U64" s="141">
        <f t="shared" si="12"/>
        <v>0</v>
      </c>
      <c r="V64" s="141">
        <f t="shared" si="12"/>
        <v>0</v>
      </c>
      <c r="W64" s="141">
        <f t="shared" si="12"/>
        <v>0</v>
      </c>
      <c r="X64" s="141">
        <f t="shared" si="12"/>
        <v>0</v>
      </c>
      <c r="Y64" s="141">
        <f t="shared" si="12"/>
        <v>0</v>
      </c>
      <c r="Z64" s="151"/>
    </row>
    <row r="65" spans="1:26" ht="13.5" thickBot="1" x14ac:dyDescent="0.25">
      <c r="B65" s="13"/>
      <c r="C65" s="140" t="str">
        <f>'User Input'!D89</f>
        <v>SAIDI accidental</v>
      </c>
      <c r="D65" s="67">
        <f t="shared" si="10"/>
        <v>0</v>
      </c>
      <c r="E65" s="259">
        <v>0</v>
      </c>
      <c r="F65" s="259">
        <v>0</v>
      </c>
      <c r="G65" s="697">
        <v>0</v>
      </c>
      <c r="H65" s="141">
        <f t="shared" ref="H65:H67" si="13">F17</f>
        <v>0</v>
      </c>
      <c r="I65" s="141">
        <f t="shared" ref="I65:X67" si="14">H41</f>
        <v>0</v>
      </c>
      <c r="J65" s="141">
        <f t="shared" si="14"/>
        <v>0</v>
      </c>
      <c r="K65" s="141">
        <f t="shared" si="14"/>
        <v>0</v>
      </c>
      <c r="L65" s="141">
        <f t="shared" si="14"/>
        <v>0</v>
      </c>
      <c r="M65" s="141">
        <f t="shared" si="14"/>
        <v>0</v>
      </c>
      <c r="N65" s="141">
        <f t="shared" si="14"/>
        <v>0</v>
      </c>
      <c r="O65" s="141">
        <f t="shared" si="14"/>
        <v>0</v>
      </c>
      <c r="P65" s="141">
        <f t="shared" si="14"/>
        <v>0</v>
      </c>
      <c r="Q65" s="141">
        <f t="shared" si="14"/>
        <v>0</v>
      </c>
      <c r="R65" s="141">
        <f t="shared" si="14"/>
        <v>0</v>
      </c>
      <c r="S65" s="141">
        <f t="shared" si="14"/>
        <v>0</v>
      </c>
      <c r="T65" s="141">
        <f t="shared" si="14"/>
        <v>0</v>
      </c>
      <c r="U65" s="141">
        <f t="shared" si="14"/>
        <v>0</v>
      </c>
      <c r="V65" s="141">
        <f t="shared" si="14"/>
        <v>0</v>
      </c>
      <c r="W65" s="141">
        <f t="shared" si="14"/>
        <v>0</v>
      </c>
      <c r="X65" s="141">
        <f t="shared" si="14"/>
        <v>0</v>
      </c>
      <c r="Y65" s="141">
        <f t="shared" si="12"/>
        <v>0</v>
      </c>
      <c r="Z65" s="151"/>
    </row>
    <row r="66" spans="1:26" ht="13.5" thickBot="1" x14ac:dyDescent="0.25">
      <c r="B66" s="13"/>
      <c r="C66" s="140" t="str">
        <f>'User Input'!D90</f>
        <v>MAIFI momentary</v>
      </c>
      <c r="D66" s="67">
        <f t="shared" si="10"/>
        <v>0</v>
      </c>
      <c r="E66" s="259">
        <v>0</v>
      </c>
      <c r="F66" s="259">
        <v>0</v>
      </c>
      <c r="G66" s="697">
        <v>0</v>
      </c>
      <c r="H66" s="141">
        <f t="shared" si="13"/>
        <v>0</v>
      </c>
      <c r="I66" s="141">
        <f t="shared" si="14"/>
        <v>0</v>
      </c>
      <c r="J66" s="141">
        <f t="shared" si="12"/>
        <v>0</v>
      </c>
      <c r="K66" s="141">
        <f t="shared" si="12"/>
        <v>0</v>
      </c>
      <c r="L66" s="141">
        <f t="shared" si="12"/>
        <v>0</v>
      </c>
      <c r="M66" s="141">
        <f t="shared" si="12"/>
        <v>0</v>
      </c>
      <c r="N66" s="141">
        <f t="shared" si="12"/>
        <v>0</v>
      </c>
      <c r="O66" s="141">
        <f t="shared" si="12"/>
        <v>0</v>
      </c>
      <c r="P66" s="141">
        <f t="shared" si="12"/>
        <v>0</v>
      </c>
      <c r="Q66" s="141">
        <f t="shared" si="12"/>
        <v>0</v>
      </c>
      <c r="R66" s="141">
        <f t="shared" si="12"/>
        <v>0</v>
      </c>
      <c r="S66" s="141">
        <f t="shared" si="12"/>
        <v>0</v>
      </c>
      <c r="T66" s="141">
        <f t="shared" si="12"/>
        <v>0</v>
      </c>
      <c r="U66" s="141">
        <f t="shared" si="12"/>
        <v>0</v>
      </c>
      <c r="V66" s="141">
        <f t="shared" si="12"/>
        <v>0</v>
      </c>
      <c r="W66" s="141">
        <f t="shared" si="12"/>
        <v>0</v>
      </c>
      <c r="X66" s="141">
        <f t="shared" si="12"/>
        <v>0</v>
      </c>
      <c r="Y66" s="141">
        <f t="shared" si="12"/>
        <v>0</v>
      </c>
      <c r="Z66" s="151"/>
    </row>
    <row r="67" spans="1:26" ht="13.5" thickBot="1" x14ac:dyDescent="0.25">
      <c r="B67" s="13"/>
      <c r="C67" s="140" t="str">
        <f>'User Input'!D91</f>
        <v>Call centre response</v>
      </c>
      <c r="D67" s="67">
        <f t="shared" si="10"/>
        <v>0</v>
      </c>
      <c r="E67" s="259">
        <v>0</v>
      </c>
      <c r="F67" s="259">
        <v>0</v>
      </c>
      <c r="G67" s="697">
        <v>0</v>
      </c>
      <c r="H67" s="141">
        <f t="shared" si="13"/>
        <v>0</v>
      </c>
      <c r="I67" s="141">
        <f t="shared" si="14"/>
        <v>0</v>
      </c>
      <c r="J67" s="141">
        <f t="shared" si="12"/>
        <v>0</v>
      </c>
      <c r="K67" s="141">
        <f t="shared" si="12"/>
        <v>0</v>
      </c>
      <c r="L67" s="141">
        <f t="shared" si="12"/>
        <v>0</v>
      </c>
      <c r="M67" s="141">
        <f t="shared" si="12"/>
        <v>0</v>
      </c>
      <c r="N67" s="141">
        <f t="shared" si="12"/>
        <v>0</v>
      </c>
      <c r="O67" s="141">
        <f t="shared" si="12"/>
        <v>0</v>
      </c>
      <c r="P67" s="141">
        <f t="shared" si="12"/>
        <v>0</v>
      </c>
      <c r="Q67" s="141">
        <f t="shared" si="12"/>
        <v>0</v>
      </c>
      <c r="R67" s="141">
        <f t="shared" si="12"/>
        <v>0</v>
      </c>
      <c r="S67" s="141">
        <f t="shared" si="12"/>
        <v>0</v>
      </c>
      <c r="T67" s="141">
        <f t="shared" si="12"/>
        <v>0</v>
      </c>
      <c r="U67" s="141">
        <f t="shared" si="12"/>
        <v>0</v>
      </c>
      <c r="V67" s="141">
        <f t="shared" si="12"/>
        <v>0</v>
      </c>
      <c r="W67" s="141">
        <f t="shared" si="12"/>
        <v>0</v>
      </c>
      <c r="X67" s="141">
        <f t="shared" si="12"/>
        <v>0</v>
      </c>
      <c r="Y67" s="141">
        <f t="shared" si="12"/>
        <v>0</v>
      </c>
      <c r="Z67" s="151"/>
    </row>
    <row r="68" spans="1:26" ht="13.5" thickBot="1" x14ac:dyDescent="0.25">
      <c r="A68" s="138"/>
      <c r="B68" s="142"/>
      <c r="C68" s="137" t="str">
        <f>'User Input'!D93</f>
        <v>Network Outage Costs</v>
      </c>
      <c r="D68" s="67">
        <f t="shared" si="10"/>
        <v>0</v>
      </c>
      <c r="E68" s="697">
        <v>0</v>
      </c>
      <c r="F68" s="141">
        <f t="shared" ref="F68:F79" si="15">E20</f>
        <v>0</v>
      </c>
      <c r="G68" s="141">
        <f t="shared" ref="G68:G79" si="16">F44</f>
        <v>0</v>
      </c>
      <c r="H68" s="141">
        <f t="shared" ref="H68:Y79" si="17">G44</f>
        <v>0</v>
      </c>
      <c r="I68" s="141">
        <f t="shared" si="17"/>
        <v>0</v>
      </c>
      <c r="J68" s="141">
        <f t="shared" si="17"/>
        <v>0</v>
      </c>
      <c r="K68" s="141">
        <f t="shared" si="17"/>
        <v>0</v>
      </c>
      <c r="L68" s="141">
        <f t="shared" si="17"/>
        <v>0</v>
      </c>
      <c r="M68" s="141">
        <f t="shared" si="17"/>
        <v>0</v>
      </c>
      <c r="N68" s="141">
        <f t="shared" si="17"/>
        <v>0</v>
      </c>
      <c r="O68" s="141">
        <f t="shared" si="17"/>
        <v>0</v>
      </c>
      <c r="P68" s="141">
        <f t="shared" si="17"/>
        <v>0</v>
      </c>
      <c r="Q68" s="141">
        <f t="shared" si="17"/>
        <v>0</v>
      </c>
      <c r="R68" s="141">
        <f t="shared" si="17"/>
        <v>0</v>
      </c>
      <c r="S68" s="141">
        <f t="shared" si="17"/>
        <v>0</v>
      </c>
      <c r="T68" s="141">
        <f t="shared" si="17"/>
        <v>0</v>
      </c>
      <c r="U68" s="141">
        <f t="shared" si="17"/>
        <v>0</v>
      </c>
      <c r="V68" s="141">
        <f t="shared" si="17"/>
        <v>0</v>
      </c>
      <c r="W68" s="141">
        <f t="shared" si="17"/>
        <v>0</v>
      </c>
      <c r="X68" s="141">
        <f t="shared" si="17"/>
        <v>0</v>
      </c>
      <c r="Y68" s="141">
        <f t="shared" si="17"/>
        <v>0</v>
      </c>
      <c r="Z68" s="151"/>
    </row>
    <row r="69" spans="1:26" ht="13.5" thickBot="1" x14ac:dyDescent="0.25">
      <c r="A69" s="138"/>
      <c r="B69" s="142"/>
      <c r="C69" s="137" t="str">
        <f>'User Input'!D97</f>
        <v>Loss of F Factor Benefit</v>
      </c>
      <c r="D69" s="67">
        <f t="shared" si="10"/>
        <v>0</v>
      </c>
      <c r="E69" s="697">
        <v>0</v>
      </c>
      <c r="F69" s="141">
        <f t="shared" si="15"/>
        <v>0</v>
      </c>
      <c r="G69" s="141">
        <f t="shared" si="16"/>
        <v>0</v>
      </c>
      <c r="H69" s="141">
        <f t="shared" si="17"/>
        <v>0</v>
      </c>
      <c r="I69" s="141">
        <f t="shared" si="17"/>
        <v>0</v>
      </c>
      <c r="J69" s="141">
        <f t="shared" si="17"/>
        <v>0</v>
      </c>
      <c r="K69" s="141">
        <f t="shared" si="17"/>
        <v>0</v>
      </c>
      <c r="L69" s="141">
        <f t="shared" si="17"/>
        <v>0</v>
      </c>
      <c r="M69" s="141">
        <f t="shared" si="17"/>
        <v>0</v>
      </c>
      <c r="N69" s="141">
        <f t="shared" si="17"/>
        <v>0</v>
      </c>
      <c r="O69" s="141">
        <f t="shared" si="17"/>
        <v>0</v>
      </c>
      <c r="P69" s="141">
        <f t="shared" si="17"/>
        <v>0</v>
      </c>
      <c r="Q69" s="141">
        <f t="shared" si="17"/>
        <v>0</v>
      </c>
      <c r="R69" s="141">
        <f t="shared" si="17"/>
        <v>0</v>
      </c>
      <c r="S69" s="141">
        <f t="shared" si="17"/>
        <v>0</v>
      </c>
      <c r="T69" s="141">
        <f t="shared" si="17"/>
        <v>0</v>
      </c>
      <c r="U69" s="141">
        <f t="shared" si="17"/>
        <v>0</v>
      </c>
      <c r="V69" s="141">
        <f t="shared" si="17"/>
        <v>0</v>
      </c>
      <c r="W69" s="141">
        <f t="shared" si="17"/>
        <v>0</v>
      </c>
      <c r="X69" s="141">
        <f t="shared" si="17"/>
        <v>0</v>
      </c>
      <c r="Y69" s="141">
        <f t="shared" si="17"/>
        <v>0</v>
      </c>
      <c r="Z69" s="151"/>
    </row>
    <row r="70" spans="1:26" ht="13.5" thickBot="1" x14ac:dyDescent="0.25">
      <c r="B70" s="13"/>
      <c r="C70" s="22" t="str">
        <f>'User Input'!D100</f>
        <v>Cost 1</v>
      </c>
      <c r="D70" s="67">
        <f t="shared" si="10"/>
        <v>0</v>
      </c>
      <c r="E70" s="697">
        <v>0</v>
      </c>
      <c r="F70" s="141">
        <f t="shared" si="15"/>
        <v>0</v>
      </c>
      <c r="G70" s="141">
        <f t="shared" si="16"/>
        <v>0</v>
      </c>
      <c r="H70" s="141">
        <f t="shared" si="17"/>
        <v>0</v>
      </c>
      <c r="I70" s="141">
        <f t="shared" si="17"/>
        <v>0</v>
      </c>
      <c r="J70" s="141">
        <f t="shared" si="17"/>
        <v>0</v>
      </c>
      <c r="K70" s="141">
        <f t="shared" si="17"/>
        <v>0</v>
      </c>
      <c r="L70" s="141">
        <f t="shared" si="17"/>
        <v>0</v>
      </c>
      <c r="M70" s="141">
        <f t="shared" si="17"/>
        <v>0</v>
      </c>
      <c r="N70" s="141">
        <f t="shared" si="17"/>
        <v>0</v>
      </c>
      <c r="O70" s="141">
        <f t="shared" si="17"/>
        <v>0</v>
      </c>
      <c r="P70" s="141">
        <f t="shared" si="17"/>
        <v>0</v>
      </c>
      <c r="Q70" s="141">
        <f t="shared" si="17"/>
        <v>0</v>
      </c>
      <c r="R70" s="141">
        <f t="shared" si="17"/>
        <v>0</v>
      </c>
      <c r="S70" s="141">
        <f t="shared" si="17"/>
        <v>0</v>
      </c>
      <c r="T70" s="141">
        <f t="shared" si="17"/>
        <v>0</v>
      </c>
      <c r="U70" s="141">
        <f t="shared" si="17"/>
        <v>0</v>
      </c>
      <c r="V70" s="141">
        <f t="shared" si="17"/>
        <v>0</v>
      </c>
      <c r="W70" s="141">
        <f t="shared" si="17"/>
        <v>0</v>
      </c>
      <c r="X70" s="141">
        <f t="shared" si="17"/>
        <v>0</v>
      </c>
      <c r="Y70" s="141">
        <f t="shared" si="17"/>
        <v>0</v>
      </c>
      <c r="Z70" s="151"/>
    </row>
    <row r="71" spans="1:26" ht="13.5" thickBot="1" x14ac:dyDescent="0.25">
      <c r="B71" s="13"/>
      <c r="C71" s="22" t="str">
        <f>'User Input'!D101</f>
        <v>Cost 2</v>
      </c>
      <c r="D71" s="67">
        <f t="shared" si="10"/>
        <v>0</v>
      </c>
      <c r="E71" s="697">
        <v>0</v>
      </c>
      <c r="F71" s="141">
        <f t="shared" si="15"/>
        <v>0</v>
      </c>
      <c r="G71" s="141">
        <f t="shared" si="16"/>
        <v>0</v>
      </c>
      <c r="H71" s="141">
        <f t="shared" si="17"/>
        <v>0</v>
      </c>
      <c r="I71" s="141">
        <f t="shared" si="17"/>
        <v>0</v>
      </c>
      <c r="J71" s="141">
        <f t="shared" si="17"/>
        <v>0</v>
      </c>
      <c r="K71" s="141">
        <f t="shared" si="17"/>
        <v>0</v>
      </c>
      <c r="L71" s="141">
        <f t="shared" si="17"/>
        <v>0</v>
      </c>
      <c r="M71" s="141">
        <f t="shared" si="17"/>
        <v>0</v>
      </c>
      <c r="N71" s="141">
        <f t="shared" si="17"/>
        <v>0</v>
      </c>
      <c r="O71" s="141">
        <f t="shared" si="17"/>
        <v>0</v>
      </c>
      <c r="P71" s="141">
        <f t="shared" si="17"/>
        <v>0</v>
      </c>
      <c r="Q71" s="141">
        <f t="shared" si="17"/>
        <v>0</v>
      </c>
      <c r="R71" s="141">
        <f t="shared" si="17"/>
        <v>0</v>
      </c>
      <c r="S71" s="141">
        <f t="shared" si="17"/>
        <v>0</v>
      </c>
      <c r="T71" s="141">
        <f t="shared" si="17"/>
        <v>0</v>
      </c>
      <c r="U71" s="141">
        <f t="shared" si="17"/>
        <v>0</v>
      </c>
      <c r="V71" s="141">
        <f t="shared" si="17"/>
        <v>0</v>
      </c>
      <c r="W71" s="141">
        <f t="shared" si="17"/>
        <v>0</v>
      </c>
      <c r="X71" s="141">
        <f t="shared" si="17"/>
        <v>0</v>
      </c>
      <c r="Y71" s="141">
        <f t="shared" si="17"/>
        <v>0</v>
      </c>
      <c r="Z71" s="151"/>
    </row>
    <row r="72" spans="1:26" ht="13.5" thickBot="1" x14ac:dyDescent="0.25">
      <c r="B72" s="13"/>
      <c r="C72" s="22" t="str">
        <f>'User Input'!D102</f>
        <v>Cost 3</v>
      </c>
      <c r="D72" s="67">
        <f t="shared" si="10"/>
        <v>0</v>
      </c>
      <c r="E72" s="697">
        <v>0</v>
      </c>
      <c r="F72" s="141">
        <f t="shared" si="15"/>
        <v>0</v>
      </c>
      <c r="G72" s="141">
        <f t="shared" si="16"/>
        <v>0</v>
      </c>
      <c r="H72" s="141">
        <f t="shared" si="17"/>
        <v>0</v>
      </c>
      <c r="I72" s="141">
        <f t="shared" si="17"/>
        <v>0</v>
      </c>
      <c r="J72" s="141">
        <f t="shared" si="17"/>
        <v>0</v>
      </c>
      <c r="K72" s="141">
        <f t="shared" si="17"/>
        <v>0</v>
      </c>
      <c r="L72" s="141">
        <f t="shared" si="17"/>
        <v>0</v>
      </c>
      <c r="M72" s="141">
        <f t="shared" si="17"/>
        <v>0</v>
      </c>
      <c r="N72" s="141">
        <f t="shared" si="17"/>
        <v>0</v>
      </c>
      <c r="O72" s="141">
        <f t="shared" si="17"/>
        <v>0</v>
      </c>
      <c r="P72" s="141">
        <f t="shared" si="17"/>
        <v>0</v>
      </c>
      <c r="Q72" s="141">
        <f t="shared" si="17"/>
        <v>0</v>
      </c>
      <c r="R72" s="141">
        <f t="shared" si="17"/>
        <v>0</v>
      </c>
      <c r="S72" s="141">
        <f t="shared" si="17"/>
        <v>0</v>
      </c>
      <c r="T72" s="141">
        <f t="shared" si="17"/>
        <v>0</v>
      </c>
      <c r="U72" s="141">
        <f t="shared" si="17"/>
        <v>0</v>
      </c>
      <c r="V72" s="141">
        <f t="shared" si="17"/>
        <v>0</v>
      </c>
      <c r="W72" s="141">
        <f t="shared" si="17"/>
        <v>0</v>
      </c>
      <c r="X72" s="141">
        <f t="shared" si="17"/>
        <v>0</v>
      </c>
      <c r="Y72" s="141">
        <f t="shared" si="17"/>
        <v>0</v>
      </c>
      <c r="Z72" s="151"/>
    </row>
    <row r="73" spans="1:26" ht="13.5" thickBot="1" x14ac:dyDescent="0.25">
      <c r="B73" s="13"/>
      <c r="C73" s="22" t="str">
        <f>'User Input'!D103</f>
        <v>Cost 4</v>
      </c>
      <c r="D73" s="67">
        <f t="shared" si="10"/>
        <v>0</v>
      </c>
      <c r="E73" s="697">
        <v>0</v>
      </c>
      <c r="F73" s="141">
        <f t="shared" si="15"/>
        <v>0</v>
      </c>
      <c r="G73" s="141">
        <f t="shared" si="16"/>
        <v>0</v>
      </c>
      <c r="H73" s="141">
        <f t="shared" si="17"/>
        <v>0</v>
      </c>
      <c r="I73" s="141">
        <f t="shared" si="17"/>
        <v>0</v>
      </c>
      <c r="J73" s="141">
        <f t="shared" si="17"/>
        <v>0</v>
      </c>
      <c r="K73" s="141">
        <f t="shared" si="17"/>
        <v>0</v>
      </c>
      <c r="L73" s="141">
        <f t="shared" si="17"/>
        <v>0</v>
      </c>
      <c r="M73" s="141">
        <f t="shared" si="17"/>
        <v>0</v>
      </c>
      <c r="N73" s="141">
        <f t="shared" si="17"/>
        <v>0</v>
      </c>
      <c r="O73" s="141">
        <f t="shared" si="17"/>
        <v>0</v>
      </c>
      <c r="P73" s="141">
        <f t="shared" si="17"/>
        <v>0</v>
      </c>
      <c r="Q73" s="141">
        <f t="shared" si="17"/>
        <v>0</v>
      </c>
      <c r="R73" s="141">
        <f t="shared" si="17"/>
        <v>0</v>
      </c>
      <c r="S73" s="141">
        <f t="shared" si="17"/>
        <v>0</v>
      </c>
      <c r="T73" s="141">
        <f t="shared" si="17"/>
        <v>0</v>
      </c>
      <c r="U73" s="141">
        <f t="shared" si="17"/>
        <v>0</v>
      </c>
      <c r="V73" s="141">
        <f t="shared" si="17"/>
        <v>0</v>
      </c>
      <c r="W73" s="141">
        <f t="shared" si="17"/>
        <v>0</v>
      </c>
      <c r="X73" s="141">
        <f t="shared" si="17"/>
        <v>0</v>
      </c>
      <c r="Y73" s="141">
        <f t="shared" si="17"/>
        <v>0</v>
      </c>
      <c r="Z73" s="151"/>
    </row>
    <row r="74" spans="1:26" ht="13.5" thickBot="1" x14ac:dyDescent="0.25">
      <c r="B74" s="13"/>
      <c r="C74" s="22" t="str">
        <f>'User Input'!D104</f>
        <v>Cost 5</v>
      </c>
      <c r="D74" s="67">
        <f t="shared" si="10"/>
        <v>0</v>
      </c>
      <c r="E74" s="697">
        <v>0</v>
      </c>
      <c r="F74" s="141">
        <f t="shared" si="15"/>
        <v>0</v>
      </c>
      <c r="G74" s="141">
        <f t="shared" si="16"/>
        <v>0</v>
      </c>
      <c r="H74" s="141">
        <f t="shared" si="17"/>
        <v>0</v>
      </c>
      <c r="I74" s="141">
        <f t="shared" si="17"/>
        <v>0</v>
      </c>
      <c r="J74" s="141">
        <f t="shared" si="17"/>
        <v>0</v>
      </c>
      <c r="K74" s="141">
        <f t="shared" si="17"/>
        <v>0</v>
      </c>
      <c r="L74" s="141">
        <f t="shared" si="17"/>
        <v>0</v>
      </c>
      <c r="M74" s="141">
        <f t="shared" si="17"/>
        <v>0</v>
      </c>
      <c r="N74" s="141">
        <f t="shared" si="17"/>
        <v>0</v>
      </c>
      <c r="O74" s="141">
        <f t="shared" si="17"/>
        <v>0</v>
      </c>
      <c r="P74" s="141">
        <f t="shared" si="17"/>
        <v>0</v>
      </c>
      <c r="Q74" s="141">
        <f t="shared" si="17"/>
        <v>0</v>
      </c>
      <c r="R74" s="141">
        <f t="shared" si="17"/>
        <v>0</v>
      </c>
      <c r="S74" s="141">
        <f t="shared" si="17"/>
        <v>0</v>
      </c>
      <c r="T74" s="141">
        <f t="shared" si="17"/>
        <v>0</v>
      </c>
      <c r="U74" s="141">
        <f t="shared" si="17"/>
        <v>0</v>
      </c>
      <c r="V74" s="141">
        <f t="shared" si="17"/>
        <v>0</v>
      </c>
      <c r="W74" s="141">
        <f t="shared" si="17"/>
        <v>0</v>
      </c>
      <c r="X74" s="141">
        <f t="shared" si="17"/>
        <v>0</v>
      </c>
      <c r="Y74" s="141">
        <f t="shared" si="17"/>
        <v>0</v>
      </c>
      <c r="Z74" s="151"/>
    </row>
    <row r="75" spans="1:26" ht="13.5" thickBot="1" x14ac:dyDescent="0.25">
      <c r="B75" s="13"/>
      <c r="C75" s="22" t="str">
        <f>'User Input'!D105</f>
        <v>Risk 1</v>
      </c>
      <c r="D75" s="67">
        <f t="shared" si="10"/>
        <v>0</v>
      </c>
      <c r="E75" s="697">
        <v>0</v>
      </c>
      <c r="F75" s="141">
        <f t="shared" si="15"/>
        <v>0</v>
      </c>
      <c r="G75" s="141">
        <f t="shared" si="16"/>
        <v>0</v>
      </c>
      <c r="H75" s="141">
        <f t="shared" si="17"/>
        <v>0</v>
      </c>
      <c r="I75" s="141">
        <f t="shared" si="17"/>
        <v>0</v>
      </c>
      <c r="J75" s="141">
        <f t="shared" si="17"/>
        <v>0</v>
      </c>
      <c r="K75" s="141">
        <f t="shared" si="17"/>
        <v>0</v>
      </c>
      <c r="L75" s="141">
        <f t="shared" si="17"/>
        <v>0</v>
      </c>
      <c r="M75" s="141">
        <f t="shared" si="17"/>
        <v>0</v>
      </c>
      <c r="N75" s="141">
        <f t="shared" si="17"/>
        <v>0</v>
      </c>
      <c r="O75" s="141">
        <f t="shared" si="17"/>
        <v>0</v>
      </c>
      <c r="P75" s="141">
        <f t="shared" si="17"/>
        <v>0</v>
      </c>
      <c r="Q75" s="141">
        <f t="shared" si="17"/>
        <v>0</v>
      </c>
      <c r="R75" s="141">
        <f t="shared" si="17"/>
        <v>0</v>
      </c>
      <c r="S75" s="141">
        <f t="shared" si="17"/>
        <v>0</v>
      </c>
      <c r="T75" s="141">
        <f t="shared" si="17"/>
        <v>0</v>
      </c>
      <c r="U75" s="141">
        <f t="shared" si="17"/>
        <v>0</v>
      </c>
      <c r="V75" s="141">
        <f t="shared" si="17"/>
        <v>0</v>
      </c>
      <c r="W75" s="141">
        <f t="shared" si="17"/>
        <v>0</v>
      </c>
      <c r="X75" s="141">
        <f t="shared" si="17"/>
        <v>0</v>
      </c>
      <c r="Y75" s="141">
        <f t="shared" si="17"/>
        <v>0</v>
      </c>
      <c r="Z75" s="151"/>
    </row>
    <row r="76" spans="1:26" ht="13.5" thickBot="1" x14ac:dyDescent="0.25">
      <c r="B76" s="13"/>
      <c r="C76" s="22" t="str">
        <f>'User Input'!D106</f>
        <v>Risk 2</v>
      </c>
      <c r="D76" s="67">
        <f t="shared" si="10"/>
        <v>0</v>
      </c>
      <c r="E76" s="697">
        <v>0</v>
      </c>
      <c r="F76" s="141">
        <f t="shared" si="15"/>
        <v>0</v>
      </c>
      <c r="G76" s="141">
        <f t="shared" si="16"/>
        <v>0</v>
      </c>
      <c r="H76" s="141">
        <f t="shared" si="17"/>
        <v>0</v>
      </c>
      <c r="I76" s="141">
        <f t="shared" si="17"/>
        <v>0</v>
      </c>
      <c r="J76" s="141">
        <f t="shared" si="17"/>
        <v>0</v>
      </c>
      <c r="K76" s="141">
        <f t="shared" si="17"/>
        <v>0</v>
      </c>
      <c r="L76" s="141">
        <f t="shared" si="17"/>
        <v>0</v>
      </c>
      <c r="M76" s="141">
        <f t="shared" si="17"/>
        <v>0</v>
      </c>
      <c r="N76" s="141">
        <f t="shared" si="17"/>
        <v>0</v>
      </c>
      <c r="O76" s="141">
        <f t="shared" si="17"/>
        <v>0</v>
      </c>
      <c r="P76" s="141">
        <f t="shared" si="17"/>
        <v>0</v>
      </c>
      <c r="Q76" s="141">
        <f t="shared" si="17"/>
        <v>0</v>
      </c>
      <c r="R76" s="141">
        <f t="shared" si="17"/>
        <v>0</v>
      </c>
      <c r="S76" s="141">
        <f t="shared" si="17"/>
        <v>0</v>
      </c>
      <c r="T76" s="141">
        <f t="shared" si="17"/>
        <v>0</v>
      </c>
      <c r="U76" s="141">
        <f t="shared" si="17"/>
        <v>0</v>
      </c>
      <c r="V76" s="141">
        <f t="shared" si="17"/>
        <v>0</v>
      </c>
      <c r="W76" s="141">
        <f t="shared" si="17"/>
        <v>0</v>
      </c>
      <c r="X76" s="141">
        <f t="shared" si="17"/>
        <v>0</v>
      </c>
      <c r="Y76" s="141">
        <f t="shared" si="17"/>
        <v>0</v>
      </c>
      <c r="Z76" s="151"/>
    </row>
    <row r="77" spans="1:26" ht="13.5" thickBot="1" x14ac:dyDescent="0.25">
      <c r="B77" s="13"/>
      <c r="C77" s="22" t="str">
        <f>'User Input'!D107</f>
        <v>Risk 3</v>
      </c>
      <c r="D77" s="67">
        <f t="shared" si="10"/>
        <v>0</v>
      </c>
      <c r="E77" s="697">
        <v>0</v>
      </c>
      <c r="F77" s="141">
        <f t="shared" si="15"/>
        <v>0</v>
      </c>
      <c r="G77" s="141">
        <f t="shared" si="16"/>
        <v>0</v>
      </c>
      <c r="H77" s="141">
        <f t="shared" si="17"/>
        <v>0</v>
      </c>
      <c r="I77" s="141">
        <f t="shared" si="17"/>
        <v>0</v>
      </c>
      <c r="J77" s="141">
        <f t="shared" si="17"/>
        <v>0</v>
      </c>
      <c r="K77" s="141">
        <f t="shared" si="17"/>
        <v>0</v>
      </c>
      <c r="L77" s="141">
        <f t="shared" si="17"/>
        <v>0</v>
      </c>
      <c r="M77" s="141">
        <f t="shared" si="17"/>
        <v>0</v>
      </c>
      <c r="N77" s="141">
        <f t="shared" si="17"/>
        <v>0</v>
      </c>
      <c r="O77" s="141">
        <f t="shared" si="17"/>
        <v>0</v>
      </c>
      <c r="P77" s="141">
        <f t="shared" si="17"/>
        <v>0</v>
      </c>
      <c r="Q77" s="141">
        <f t="shared" si="17"/>
        <v>0</v>
      </c>
      <c r="R77" s="141">
        <f t="shared" si="17"/>
        <v>0</v>
      </c>
      <c r="S77" s="141">
        <f t="shared" si="17"/>
        <v>0</v>
      </c>
      <c r="T77" s="141">
        <f t="shared" si="17"/>
        <v>0</v>
      </c>
      <c r="U77" s="141">
        <f t="shared" si="17"/>
        <v>0</v>
      </c>
      <c r="V77" s="141">
        <f t="shared" si="17"/>
        <v>0</v>
      </c>
      <c r="W77" s="141">
        <f t="shared" si="17"/>
        <v>0</v>
      </c>
      <c r="X77" s="141">
        <f t="shared" si="17"/>
        <v>0</v>
      </c>
      <c r="Y77" s="141">
        <f t="shared" si="17"/>
        <v>0</v>
      </c>
      <c r="Z77" s="151"/>
    </row>
    <row r="78" spans="1:26" ht="13.5" thickBot="1" x14ac:dyDescent="0.25">
      <c r="B78" s="13"/>
      <c r="C78" s="22" t="str">
        <f>'User Input'!D108</f>
        <v>Risk 4</v>
      </c>
      <c r="D78" s="67">
        <f t="shared" si="10"/>
        <v>0</v>
      </c>
      <c r="E78" s="697">
        <v>0</v>
      </c>
      <c r="F78" s="141">
        <f t="shared" si="15"/>
        <v>0</v>
      </c>
      <c r="G78" s="141">
        <f t="shared" si="16"/>
        <v>0</v>
      </c>
      <c r="H78" s="141">
        <f t="shared" si="17"/>
        <v>0</v>
      </c>
      <c r="I78" s="141">
        <f t="shared" si="17"/>
        <v>0</v>
      </c>
      <c r="J78" s="141">
        <f t="shared" si="17"/>
        <v>0</v>
      </c>
      <c r="K78" s="141">
        <f t="shared" si="17"/>
        <v>0</v>
      </c>
      <c r="L78" s="141">
        <f t="shared" si="17"/>
        <v>0</v>
      </c>
      <c r="M78" s="141">
        <f t="shared" si="17"/>
        <v>0</v>
      </c>
      <c r="N78" s="141">
        <f t="shared" si="17"/>
        <v>0</v>
      </c>
      <c r="O78" s="141">
        <f t="shared" si="17"/>
        <v>0</v>
      </c>
      <c r="P78" s="141">
        <f t="shared" si="17"/>
        <v>0</v>
      </c>
      <c r="Q78" s="141">
        <f t="shared" si="17"/>
        <v>0</v>
      </c>
      <c r="R78" s="141">
        <f t="shared" si="17"/>
        <v>0</v>
      </c>
      <c r="S78" s="141">
        <f t="shared" si="17"/>
        <v>0</v>
      </c>
      <c r="T78" s="141">
        <f t="shared" si="17"/>
        <v>0</v>
      </c>
      <c r="U78" s="141">
        <f t="shared" si="17"/>
        <v>0</v>
      </c>
      <c r="V78" s="141">
        <f t="shared" si="17"/>
        <v>0</v>
      </c>
      <c r="W78" s="141">
        <f t="shared" si="17"/>
        <v>0</v>
      </c>
      <c r="X78" s="141">
        <f t="shared" si="17"/>
        <v>0</v>
      </c>
      <c r="Y78" s="141">
        <f t="shared" si="17"/>
        <v>0</v>
      </c>
      <c r="Z78" s="151"/>
    </row>
    <row r="79" spans="1:26" ht="13.5" thickBot="1" x14ac:dyDescent="0.25">
      <c r="B79" s="13"/>
      <c r="C79" s="22" t="str">
        <f>'User Input'!D109</f>
        <v>Risk 5</v>
      </c>
      <c r="D79" s="67">
        <f t="shared" si="10"/>
        <v>0</v>
      </c>
      <c r="E79" s="697">
        <v>0</v>
      </c>
      <c r="F79" s="141">
        <f t="shared" si="15"/>
        <v>0</v>
      </c>
      <c r="G79" s="141">
        <f t="shared" si="16"/>
        <v>0</v>
      </c>
      <c r="H79" s="141">
        <f t="shared" si="17"/>
        <v>0</v>
      </c>
      <c r="I79" s="141">
        <f t="shared" si="17"/>
        <v>0</v>
      </c>
      <c r="J79" s="141">
        <f t="shared" si="17"/>
        <v>0</v>
      </c>
      <c r="K79" s="141">
        <f t="shared" si="17"/>
        <v>0</v>
      </c>
      <c r="L79" s="141">
        <f t="shared" si="17"/>
        <v>0</v>
      </c>
      <c r="M79" s="141">
        <f t="shared" si="17"/>
        <v>0</v>
      </c>
      <c r="N79" s="141">
        <f t="shared" si="17"/>
        <v>0</v>
      </c>
      <c r="O79" s="141">
        <f t="shared" si="17"/>
        <v>0</v>
      </c>
      <c r="P79" s="141">
        <f t="shared" si="17"/>
        <v>0</v>
      </c>
      <c r="Q79" s="141">
        <f t="shared" si="17"/>
        <v>0</v>
      </c>
      <c r="R79" s="141">
        <f t="shared" si="17"/>
        <v>0</v>
      </c>
      <c r="S79" s="141">
        <f t="shared" si="17"/>
        <v>0</v>
      </c>
      <c r="T79" s="141">
        <f t="shared" si="17"/>
        <v>0</v>
      </c>
      <c r="U79" s="141">
        <f t="shared" si="17"/>
        <v>0</v>
      </c>
      <c r="V79" s="141">
        <f t="shared" si="17"/>
        <v>0</v>
      </c>
      <c r="W79" s="141">
        <f t="shared" si="17"/>
        <v>0</v>
      </c>
      <c r="X79" s="141">
        <f t="shared" si="17"/>
        <v>0</v>
      </c>
      <c r="Y79" s="141">
        <f t="shared" si="17"/>
        <v>0</v>
      </c>
      <c r="Z79" s="151"/>
    </row>
    <row r="80" spans="1:26" ht="13.5" thickBot="1" x14ac:dyDescent="0.25">
      <c r="B80" s="13"/>
      <c r="C80" s="53" t="s">
        <v>2</v>
      </c>
      <c r="D80" s="67">
        <f>SUM(E80:Y80)</f>
        <v>2458.5578672410802</v>
      </c>
      <c r="E80" s="68">
        <f>SUM(E61:E79)</f>
        <v>0</v>
      </c>
      <c r="F80" s="69">
        <f t="shared" ref="F80:Y80" si="18">SUM(F61:F79)</f>
        <v>1366.6921482600001</v>
      </c>
      <c r="G80" s="69">
        <f t="shared" si="18"/>
        <v>1091.8657189810804</v>
      </c>
      <c r="H80" s="69">
        <f t="shared" si="18"/>
        <v>0</v>
      </c>
      <c r="I80" s="69">
        <f t="shared" si="18"/>
        <v>0</v>
      </c>
      <c r="J80" s="69">
        <f t="shared" si="18"/>
        <v>0</v>
      </c>
      <c r="K80" s="69">
        <f t="shared" si="18"/>
        <v>0</v>
      </c>
      <c r="L80" s="69">
        <f t="shared" si="18"/>
        <v>0</v>
      </c>
      <c r="M80" s="69">
        <f t="shared" si="18"/>
        <v>0</v>
      </c>
      <c r="N80" s="69">
        <f t="shared" si="18"/>
        <v>0</v>
      </c>
      <c r="O80" s="69">
        <f t="shared" si="18"/>
        <v>0</v>
      </c>
      <c r="P80" s="69">
        <f t="shared" si="18"/>
        <v>0</v>
      </c>
      <c r="Q80" s="69">
        <f t="shared" si="18"/>
        <v>0</v>
      </c>
      <c r="R80" s="69">
        <f t="shared" si="18"/>
        <v>0</v>
      </c>
      <c r="S80" s="69">
        <f t="shared" si="18"/>
        <v>0</v>
      </c>
      <c r="T80" s="69">
        <f t="shared" si="18"/>
        <v>0</v>
      </c>
      <c r="U80" s="69">
        <f t="shared" si="18"/>
        <v>0</v>
      </c>
      <c r="V80" s="69">
        <f t="shared" si="18"/>
        <v>0</v>
      </c>
      <c r="W80" s="69">
        <f t="shared" si="18"/>
        <v>0</v>
      </c>
      <c r="X80" s="69">
        <f t="shared" si="18"/>
        <v>0</v>
      </c>
      <c r="Y80" s="150">
        <f t="shared" si="18"/>
        <v>0</v>
      </c>
      <c r="Z80" s="151"/>
    </row>
    <row r="81" spans="1:26" ht="13.5" thickBot="1" x14ac:dyDescent="0.25">
      <c r="B81" s="13"/>
      <c r="C81" s="54" t="s">
        <v>50</v>
      </c>
      <c r="D81" s="67">
        <f>SUM(E81:Y81)</f>
        <v>2182.2450828823544</v>
      </c>
      <c r="E81" s="77">
        <f t="shared" ref="E81:Y81" si="19">E80/(1+$D$4)^E$7</f>
        <v>0</v>
      </c>
      <c r="F81" s="77">
        <f t="shared" si="19"/>
        <v>1257.6535826447041</v>
      </c>
      <c r="G81" s="77">
        <f t="shared" si="19"/>
        <v>924.59150023765039</v>
      </c>
      <c r="H81" s="77">
        <f t="shared" si="19"/>
        <v>0</v>
      </c>
      <c r="I81" s="77">
        <f t="shared" si="19"/>
        <v>0</v>
      </c>
      <c r="J81" s="77">
        <f t="shared" si="19"/>
        <v>0</v>
      </c>
      <c r="K81" s="77">
        <f t="shared" si="19"/>
        <v>0</v>
      </c>
      <c r="L81" s="77">
        <f t="shared" si="19"/>
        <v>0</v>
      </c>
      <c r="M81" s="77">
        <f t="shared" si="19"/>
        <v>0</v>
      </c>
      <c r="N81" s="77">
        <f t="shared" si="19"/>
        <v>0</v>
      </c>
      <c r="O81" s="77">
        <f t="shared" si="19"/>
        <v>0</v>
      </c>
      <c r="P81" s="77">
        <f t="shared" si="19"/>
        <v>0</v>
      </c>
      <c r="Q81" s="77">
        <f t="shared" si="19"/>
        <v>0</v>
      </c>
      <c r="R81" s="77">
        <f t="shared" si="19"/>
        <v>0</v>
      </c>
      <c r="S81" s="77">
        <f t="shared" si="19"/>
        <v>0</v>
      </c>
      <c r="T81" s="77">
        <f t="shared" si="19"/>
        <v>0</v>
      </c>
      <c r="U81" s="77">
        <f t="shared" si="19"/>
        <v>0</v>
      </c>
      <c r="V81" s="77">
        <f t="shared" si="19"/>
        <v>0</v>
      </c>
      <c r="W81" s="77">
        <f t="shared" si="19"/>
        <v>0</v>
      </c>
      <c r="X81" s="77">
        <f t="shared" si="19"/>
        <v>0</v>
      </c>
      <c r="Y81" s="149">
        <f t="shared" si="19"/>
        <v>0</v>
      </c>
      <c r="Z81" s="151"/>
    </row>
    <row r="82" spans="1:26" x14ac:dyDescent="0.2">
      <c r="B82" s="21"/>
      <c r="C82" s="11"/>
      <c r="D82" s="11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6"/>
      <c r="Z82" s="184"/>
    </row>
    <row r="83" spans="1:26" x14ac:dyDescent="0.2">
      <c r="B83" s="371" t="str">
        <f>CONCATENATE($B$35," + 2yrs")</f>
        <v>Option 1: Provide In Meter Capabilities + 2yrs</v>
      </c>
      <c r="C83" s="367"/>
      <c r="D83" s="372"/>
      <c r="E83" s="369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0"/>
    </row>
    <row r="84" spans="1:26" ht="13.5" thickBot="1" x14ac:dyDescent="0.25">
      <c r="B84" s="20"/>
      <c r="C84" s="5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7"/>
      <c r="Z84" s="151"/>
    </row>
    <row r="85" spans="1:26" ht="13.5" thickBot="1" x14ac:dyDescent="0.25">
      <c r="B85" s="52"/>
      <c r="C85" s="4" t="s">
        <v>76</v>
      </c>
      <c r="D85" s="67">
        <f>SUM(E85:Y85)</f>
        <v>2633.6788898655577</v>
      </c>
      <c r="E85" s="141">
        <f>E13</f>
        <v>0</v>
      </c>
      <c r="F85" s="141">
        <f>F13</f>
        <v>127.42500000000001</v>
      </c>
      <c r="G85" s="141">
        <f>E37/E9*G9</f>
        <v>1393.2059759362442</v>
      </c>
      <c r="H85" s="141">
        <f t="shared" ref="H85:Y85" si="20">F37/F9*H9</f>
        <v>1113.0479139293134</v>
      </c>
      <c r="I85" s="141">
        <f t="shared" si="20"/>
        <v>0</v>
      </c>
      <c r="J85" s="141">
        <f t="shared" si="20"/>
        <v>0</v>
      </c>
      <c r="K85" s="141">
        <f t="shared" si="20"/>
        <v>0</v>
      </c>
      <c r="L85" s="141">
        <f t="shared" si="20"/>
        <v>0</v>
      </c>
      <c r="M85" s="141">
        <f t="shared" si="20"/>
        <v>0</v>
      </c>
      <c r="N85" s="141">
        <f t="shared" si="20"/>
        <v>0</v>
      </c>
      <c r="O85" s="141">
        <f t="shared" si="20"/>
        <v>0</v>
      </c>
      <c r="P85" s="141">
        <f t="shared" si="20"/>
        <v>0</v>
      </c>
      <c r="Q85" s="141">
        <f t="shared" si="20"/>
        <v>0</v>
      </c>
      <c r="R85" s="141">
        <f t="shared" si="20"/>
        <v>0</v>
      </c>
      <c r="S85" s="141">
        <f t="shared" si="20"/>
        <v>0</v>
      </c>
      <c r="T85" s="141">
        <f t="shared" si="20"/>
        <v>0</v>
      </c>
      <c r="U85" s="141">
        <f t="shared" si="20"/>
        <v>0</v>
      </c>
      <c r="V85" s="141">
        <f t="shared" si="20"/>
        <v>0</v>
      </c>
      <c r="W85" s="141">
        <f t="shared" si="20"/>
        <v>0</v>
      </c>
      <c r="X85" s="141">
        <f t="shared" si="20"/>
        <v>0</v>
      </c>
      <c r="Y85" s="141">
        <f t="shared" si="20"/>
        <v>0</v>
      </c>
      <c r="Z85" s="151"/>
    </row>
    <row r="86" spans="1:26" ht="13.5" thickBot="1" x14ac:dyDescent="0.25">
      <c r="B86" s="13"/>
      <c r="C86" s="22" t="str">
        <f>'User Input'!D114</f>
        <v>Maintenance Costs</v>
      </c>
      <c r="D86" s="67">
        <f t="shared" ref="D86:D103" si="21">SUM(E86:Y86)</f>
        <v>0</v>
      </c>
      <c r="E86" s="697">
        <v>0</v>
      </c>
      <c r="F86" s="141">
        <f>E38</f>
        <v>0</v>
      </c>
      <c r="G86" s="141">
        <f>F62</f>
        <v>0</v>
      </c>
      <c r="H86" s="141">
        <f t="shared" ref="H86:Y86" si="22">G62</f>
        <v>0</v>
      </c>
      <c r="I86" s="141">
        <f t="shared" si="22"/>
        <v>0</v>
      </c>
      <c r="J86" s="141">
        <f t="shared" si="22"/>
        <v>0</v>
      </c>
      <c r="K86" s="141">
        <f t="shared" si="22"/>
        <v>0</v>
      </c>
      <c r="L86" s="141">
        <f t="shared" si="22"/>
        <v>0</v>
      </c>
      <c r="M86" s="141">
        <f t="shared" si="22"/>
        <v>0</v>
      </c>
      <c r="N86" s="141">
        <f t="shared" si="22"/>
        <v>0</v>
      </c>
      <c r="O86" s="141">
        <f t="shared" si="22"/>
        <v>0</v>
      </c>
      <c r="P86" s="141">
        <f t="shared" si="22"/>
        <v>0</v>
      </c>
      <c r="Q86" s="141">
        <f t="shared" si="22"/>
        <v>0</v>
      </c>
      <c r="R86" s="141">
        <f t="shared" si="22"/>
        <v>0</v>
      </c>
      <c r="S86" s="141">
        <f t="shared" si="22"/>
        <v>0</v>
      </c>
      <c r="T86" s="141">
        <f t="shared" si="22"/>
        <v>0</v>
      </c>
      <c r="U86" s="141">
        <f t="shared" si="22"/>
        <v>0</v>
      </c>
      <c r="V86" s="141">
        <f t="shared" si="22"/>
        <v>0</v>
      </c>
      <c r="W86" s="141">
        <f t="shared" si="22"/>
        <v>0</v>
      </c>
      <c r="X86" s="141">
        <f t="shared" si="22"/>
        <v>0</v>
      </c>
      <c r="Y86" s="141">
        <f t="shared" si="22"/>
        <v>0</v>
      </c>
      <c r="Z86" s="151"/>
    </row>
    <row r="87" spans="1:26" ht="13.5" thickBot="1" x14ac:dyDescent="0.25">
      <c r="B87" s="13"/>
      <c r="C87" s="137" t="str">
        <f>'User Input'!D116</f>
        <v>Negative Impact on Revenue (STPIS)</v>
      </c>
      <c r="D87" s="195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46"/>
      <c r="Z87" s="151"/>
    </row>
    <row r="88" spans="1:26" ht="13.5" thickBot="1" x14ac:dyDescent="0.25">
      <c r="B88" s="13"/>
      <c r="C88" s="140" t="str">
        <f>'User Input'!D117</f>
        <v>SAIFI sustained</v>
      </c>
      <c r="D88" s="67">
        <f t="shared" si="21"/>
        <v>0</v>
      </c>
      <c r="E88" s="259">
        <v>0</v>
      </c>
      <c r="F88" s="259">
        <v>0</v>
      </c>
      <c r="G88" s="697">
        <v>0</v>
      </c>
      <c r="H88" s="697">
        <v>0</v>
      </c>
      <c r="I88" s="141">
        <f>H64</f>
        <v>0</v>
      </c>
      <c r="J88" s="141">
        <f t="shared" ref="J88:J91" si="23">H64</f>
        <v>0</v>
      </c>
      <c r="K88" s="141">
        <f t="shared" ref="K88:K91" si="24">I64</f>
        <v>0</v>
      </c>
      <c r="L88" s="141">
        <f t="shared" ref="L88:L91" si="25">J64</f>
        <v>0</v>
      </c>
      <c r="M88" s="141">
        <f t="shared" ref="M88:M91" si="26">K64</f>
        <v>0</v>
      </c>
      <c r="N88" s="141">
        <f t="shared" ref="N88:N91" si="27">L64</f>
        <v>0</v>
      </c>
      <c r="O88" s="141">
        <f t="shared" ref="O88:O91" si="28">M64</f>
        <v>0</v>
      </c>
      <c r="P88" s="141">
        <f t="shared" ref="P88:P91" si="29">N64</f>
        <v>0</v>
      </c>
      <c r="Q88" s="141">
        <f t="shared" ref="Q88:Q91" si="30">O64</f>
        <v>0</v>
      </c>
      <c r="R88" s="141">
        <f t="shared" ref="R88:R91" si="31">P64</f>
        <v>0</v>
      </c>
      <c r="S88" s="141">
        <f t="shared" ref="S88:S91" si="32">Q64</f>
        <v>0</v>
      </c>
      <c r="T88" s="141">
        <f t="shared" ref="T88:T91" si="33">R64</f>
        <v>0</v>
      </c>
      <c r="U88" s="141">
        <f t="shared" ref="U88:U91" si="34">S64</f>
        <v>0</v>
      </c>
      <c r="V88" s="141">
        <f t="shared" ref="V88:V91" si="35">T64</f>
        <v>0</v>
      </c>
      <c r="W88" s="141">
        <f t="shared" ref="W88:W91" si="36">U64</f>
        <v>0</v>
      </c>
      <c r="X88" s="141">
        <f t="shared" ref="X88:X91" si="37">V64</f>
        <v>0</v>
      </c>
      <c r="Y88" s="141">
        <f t="shared" ref="Y88:Y91" si="38">W64</f>
        <v>0</v>
      </c>
      <c r="Z88" s="151"/>
    </row>
    <row r="89" spans="1:26" ht="13.5" thickBot="1" x14ac:dyDescent="0.25">
      <c r="B89" s="13"/>
      <c r="C89" s="140" t="str">
        <f>'User Input'!D118</f>
        <v>SAIDI accidental</v>
      </c>
      <c r="D89" s="67">
        <f t="shared" si="21"/>
        <v>0</v>
      </c>
      <c r="E89" s="259">
        <v>0</v>
      </c>
      <c r="F89" s="259">
        <v>0</v>
      </c>
      <c r="G89" s="697">
        <v>0</v>
      </c>
      <c r="H89" s="697">
        <v>0</v>
      </c>
      <c r="I89" s="141">
        <f t="shared" ref="I89:I91" si="39">H65</f>
        <v>0</v>
      </c>
      <c r="J89" s="141">
        <f t="shared" si="23"/>
        <v>0</v>
      </c>
      <c r="K89" s="141">
        <f t="shared" si="24"/>
        <v>0</v>
      </c>
      <c r="L89" s="141">
        <f t="shared" si="25"/>
        <v>0</v>
      </c>
      <c r="M89" s="141">
        <f t="shared" si="26"/>
        <v>0</v>
      </c>
      <c r="N89" s="141">
        <f t="shared" si="27"/>
        <v>0</v>
      </c>
      <c r="O89" s="141">
        <f t="shared" si="28"/>
        <v>0</v>
      </c>
      <c r="P89" s="141">
        <f t="shared" si="29"/>
        <v>0</v>
      </c>
      <c r="Q89" s="141">
        <f t="shared" si="30"/>
        <v>0</v>
      </c>
      <c r="R89" s="141">
        <f t="shared" si="31"/>
        <v>0</v>
      </c>
      <c r="S89" s="141">
        <f t="shared" si="32"/>
        <v>0</v>
      </c>
      <c r="T89" s="141">
        <f t="shared" si="33"/>
        <v>0</v>
      </c>
      <c r="U89" s="141">
        <f t="shared" si="34"/>
        <v>0</v>
      </c>
      <c r="V89" s="141">
        <f t="shared" si="35"/>
        <v>0</v>
      </c>
      <c r="W89" s="141">
        <f t="shared" si="36"/>
        <v>0</v>
      </c>
      <c r="X89" s="141">
        <f t="shared" si="37"/>
        <v>0</v>
      </c>
      <c r="Y89" s="141">
        <f t="shared" si="38"/>
        <v>0</v>
      </c>
      <c r="Z89" s="151"/>
    </row>
    <row r="90" spans="1:26" ht="13.5" thickBot="1" x14ac:dyDescent="0.25">
      <c r="B90" s="13"/>
      <c r="C90" s="140" t="str">
        <f>'User Input'!D119</f>
        <v>MAIFI momentary</v>
      </c>
      <c r="D90" s="67">
        <f t="shared" si="21"/>
        <v>0</v>
      </c>
      <c r="E90" s="259">
        <v>0</v>
      </c>
      <c r="F90" s="259">
        <v>0</v>
      </c>
      <c r="G90" s="697">
        <v>0</v>
      </c>
      <c r="H90" s="697">
        <v>0</v>
      </c>
      <c r="I90" s="141">
        <f t="shared" si="39"/>
        <v>0</v>
      </c>
      <c r="J90" s="141">
        <f t="shared" si="23"/>
        <v>0</v>
      </c>
      <c r="K90" s="141">
        <f t="shared" si="24"/>
        <v>0</v>
      </c>
      <c r="L90" s="141">
        <f t="shared" si="25"/>
        <v>0</v>
      </c>
      <c r="M90" s="141">
        <f t="shared" si="26"/>
        <v>0</v>
      </c>
      <c r="N90" s="141">
        <f t="shared" si="27"/>
        <v>0</v>
      </c>
      <c r="O90" s="141">
        <f t="shared" si="28"/>
        <v>0</v>
      </c>
      <c r="P90" s="141">
        <f t="shared" si="29"/>
        <v>0</v>
      </c>
      <c r="Q90" s="141">
        <f t="shared" si="30"/>
        <v>0</v>
      </c>
      <c r="R90" s="141">
        <f t="shared" si="31"/>
        <v>0</v>
      </c>
      <c r="S90" s="141">
        <f t="shared" si="32"/>
        <v>0</v>
      </c>
      <c r="T90" s="141">
        <f t="shared" si="33"/>
        <v>0</v>
      </c>
      <c r="U90" s="141">
        <f t="shared" si="34"/>
        <v>0</v>
      </c>
      <c r="V90" s="141">
        <f t="shared" si="35"/>
        <v>0</v>
      </c>
      <c r="W90" s="141">
        <f t="shared" si="36"/>
        <v>0</v>
      </c>
      <c r="X90" s="141">
        <f t="shared" si="37"/>
        <v>0</v>
      </c>
      <c r="Y90" s="141">
        <f t="shared" si="38"/>
        <v>0</v>
      </c>
      <c r="Z90" s="151"/>
    </row>
    <row r="91" spans="1:26" ht="13.5" thickBot="1" x14ac:dyDescent="0.25">
      <c r="B91" s="13"/>
      <c r="C91" s="140" t="str">
        <f>'User Input'!D120</f>
        <v>Call centre response</v>
      </c>
      <c r="D91" s="67">
        <f t="shared" si="21"/>
        <v>0</v>
      </c>
      <c r="E91" s="259">
        <v>0</v>
      </c>
      <c r="F91" s="259">
        <v>0</v>
      </c>
      <c r="G91" s="697">
        <v>0</v>
      </c>
      <c r="H91" s="697">
        <v>0</v>
      </c>
      <c r="I91" s="141">
        <f t="shared" si="39"/>
        <v>0</v>
      </c>
      <c r="J91" s="141">
        <f t="shared" si="23"/>
        <v>0</v>
      </c>
      <c r="K91" s="141">
        <f t="shared" si="24"/>
        <v>0</v>
      </c>
      <c r="L91" s="141">
        <f t="shared" si="25"/>
        <v>0</v>
      </c>
      <c r="M91" s="141">
        <f t="shared" si="26"/>
        <v>0</v>
      </c>
      <c r="N91" s="141">
        <f t="shared" si="27"/>
        <v>0</v>
      </c>
      <c r="O91" s="141">
        <f t="shared" si="28"/>
        <v>0</v>
      </c>
      <c r="P91" s="141">
        <f t="shared" si="29"/>
        <v>0</v>
      </c>
      <c r="Q91" s="141">
        <f t="shared" si="30"/>
        <v>0</v>
      </c>
      <c r="R91" s="141">
        <f t="shared" si="31"/>
        <v>0</v>
      </c>
      <c r="S91" s="141">
        <f t="shared" si="32"/>
        <v>0</v>
      </c>
      <c r="T91" s="141">
        <f t="shared" si="33"/>
        <v>0</v>
      </c>
      <c r="U91" s="141">
        <f t="shared" si="34"/>
        <v>0</v>
      </c>
      <c r="V91" s="141">
        <f t="shared" si="35"/>
        <v>0</v>
      </c>
      <c r="W91" s="141">
        <f t="shared" si="36"/>
        <v>0</v>
      </c>
      <c r="X91" s="141">
        <f t="shared" si="37"/>
        <v>0</v>
      </c>
      <c r="Y91" s="141">
        <f t="shared" si="38"/>
        <v>0</v>
      </c>
      <c r="Z91" s="151"/>
    </row>
    <row r="92" spans="1:26" ht="13.5" thickBot="1" x14ac:dyDescent="0.25">
      <c r="A92" s="143"/>
      <c r="B92" s="144"/>
      <c r="C92" s="137" t="str">
        <f>'User Input'!D122</f>
        <v>Network Outage Costs</v>
      </c>
      <c r="D92" s="67">
        <f t="shared" si="21"/>
        <v>0</v>
      </c>
      <c r="E92" s="697">
        <v>0</v>
      </c>
      <c r="F92" s="141">
        <f t="shared" ref="F92:F103" si="40">E44</f>
        <v>0</v>
      </c>
      <c r="G92" s="141">
        <f>F68</f>
        <v>0</v>
      </c>
      <c r="H92" s="141">
        <f>G68</f>
        <v>0</v>
      </c>
      <c r="I92" s="141">
        <f t="shared" ref="I92:Y92" si="41">H68</f>
        <v>0</v>
      </c>
      <c r="J92" s="141">
        <f t="shared" si="41"/>
        <v>0</v>
      </c>
      <c r="K92" s="141">
        <f t="shared" si="41"/>
        <v>0</v>
      </c>
      <c r="L92" s="141">
        <f t="shared" si="41"/>
        <v>0</v>
      </c>
      <c r="M92" s="141">
        <f t="shared" si="41"/>
        <v>0</v>
      </c>
      <c r="N92" s="141">
        <f t="shared" si="41"/>
        <v>0</v>
      </c>
      <c r="O92" s="141">
        <f t="shared" si="41"/>
        <v>0</v>
      </c>
      <c r="P92" s="141">
        <f t="shared" si="41"/>
        <v>0</v>
      </c>
      <c r="Q92" s="141">
        <f t="shared" si="41"/>
        <v>0</v>
      </c>
      <c r="R92" s="141">
        <f t="shared" si="41"/>
        <v>0</v>
      </c>
      <c r="S92" s="141">
        <f t="shared" si="41"/>
        <v>0</v>
      </c>
      <c r="T92" s="141">
        <f t="shared" si="41"/>
        <v>0</v>
      </c>
      <c r="U92" s="141">
        <f t="shared" si="41"/>
        <v>0</v>
      </c>
      <c r="V92" s="141">
        <f t="shared" si="41"/>
        <v>0</v>
      </c>
      <c r="W92" s="141">
        <f t="shared" si="41"/>
        <v>0</v>
      </c>
      <c r="X92" s="141">
        <f t="shared" si="41"/>
        <v>0</v>
      </c>
      <c r="Y92" s="141">
        <f t="shared" si="41"/>
        <v>0</v>
      </c>
      <c r="Z92" s="151"/>
    </row>
    <row r="93" spans="1:26" ht="13.5" thickBot="1" x14ac:dyDescent="0.25">
      <c r="A93" s="143"/>
      <c r="B93" s="144"/>
      <c r="C93" s="137" t="str">
        <f>'User Input'!D126</f>
        <v>Loss of F Factor Benefit</v>
      </c>
      <c r="D93" s="67">
        <f t="shared" si="21"/>
        <v>0</v>
      </c>
      <c r="E93" s="697">
        <v>0</v>
      </c>
      <c r="F93" s="141">
        <f t="shared" si="40"/>
        <v>0</v>
      </c>
      <c r="G93" s="141">
        <f t="shared" ref="G93:G103" si="42">F69</f>
        <v>0</v>
      </c>
      <c r="H93" s="141">
        <f t="shared" ref="H93:Y93" si="43">G69</f>
        <v>0</v>
      </c>
      <c r="I93" s="141">
        <f t="shared" si="43"/>
        <v>0</v>
      </c>
      <c r="J93" s="141">
        <f t="shared" si="43"/>
        <v>0</v>
      </c>
      <c r="K93" s="141">
        <f t="shared" si="43"/>
        <v>0</v>
      </c>
      <c r="L93" s="141">
        <f t="shared" si="43"/>
        <v>0</v>
      </c>
      <c r="M93" s="141">
        <f t="shared" si="43"/>
        <v>0</v>
      </c>
      <c r="N93" s="141">
        <f t="shared" si="43"/>
        <v>0</v>
      </c>
      <c r="O93" s="141">
        <f t="shared" si="43"/>
        <v>0</v>
      </c>
      <c r="P93" s="141">
        <f t="shared" si="43"/>
        <v>0</v>
      </c>
      <c r="Q93" s="141">
        <f t="shared" si="43"/>
        <v>0</v>
      </c>
      <c r="R93" s="141">
        <f t="shared" si="43"/>
        <v>0</v>
      </c>
      <c r="S93" s="141">
        <f t="shared" si="43"/>
        <v>0</v>
      </c>
      <c r="T93" s="141">
        <f t="shared" si="43"/>
        <v>0</v>
      </c>
      <c r="U93" s="141">
        <f t="shared" si="43"/>
        <v>0</v>
      </c>
      <c r="V93" s="141">
        <f t="shared" si="43"/>
        <v>0</v>
      </c>
      <c r="W93" s="141">
        <f t="shared" si="43"/>
        <v>0</v>
      </c>
      <c r="X93" s="141">
        <f t="shared" si="43"/>
        <v>0</v>
      </c>
      <c r="Y93" s="141">
        <f t="shared" si="43"/>
        <v>0</v>
      </c>
      <c r="Z93" s="151"/>
    </row>
    <row r="94" spans="1:26" ht="13.5" thickBot="1" x14ac:dyDescent="0.25">
      <c r="B94" s="13"/>
      <c r="C94" s="22" t="str">
        <f>'User Input'!D129</f>
        <v>Cost 1</v>
      </c>
      <c r="D94" s="67">
        <f t="shared" si="21"/>
        <v>0</v>
      </c>
      <c r="E94" s="697">
        <v>0</v>
      </c>
      <c r="F94" s="141">
        <f t="shared" si="40"/>
        <v>0</v>
      </c>
      <c r="G94" s="141">
        <f t="shared" si="42"/>
        <v>0</v>
      </c>
      <c r="H94" s="141">
        <f t="shared" ref="H94:Y94" si="44">G70</f>
        <v>0</v>
      </c>
      <c r="I94" s="141">
        <f t="shared" si="44"/>
        <v>0</v>
      </c>
      <c r="J94" s="141">
        <f t="shared" si="44"/>
        <v>0</v>
      </c>
      <c r="K94" s="141">
        <f t="shared" si="44"/>
        <v>0</v>
      </c>
      <c r="L94" s="141">
        <f t="shared" si="44"/>
        <v>0</v>
      </c>
      <c r="M94" s="141">
        <f t="shared" si="44"/>
        <v>0</v>
      </c>
      <c r="N94" s="141">
        <f t="shared" si="44"/>
        <v>0</v>
      </c>
      <c r="O94" s="141">
        <f t="shared" si="44"/>
        <v>0</v>
      </c>
      <c r="P94" s="141">
        <f t="shared" si="44"/>
        <v>0</v>
      </c>
      <c r="Q94" s="141">
        <f t="shared" si="44"/>
        <v>0</v>
      </c>
      <c r="R94" s="141">
        <f t="shared" si="44"/>
        <v>0</v>
      </c>
      <c r="S94" s="141">
        <f t="shared" si="44"/>
        <v>0</v>
      </c>
      <c r="T94" s="141">
        <f t="shared" si="44"/>
        <v>0</v>
      </c>
      <c r="U94" s="141">
        <f t="shared" si="44"/>
        <v>0</v>
      </c>
      <c r="V94" s="141">
        <f t="shared" si="44"/>
        <v>0</v>
      </c>
      <c r="W94" s="141">
        <f t="shared" si="44"/>
        <v>0</v>
      </c>
      <c r="X94" s="141">
        <f t="shared" si="44"/>
        <v>0</v>
      </c>
      <c r="Y94" s="141">
        <f t="shared" si="44"/>
        <v>0</v>
      </c>
      <c r="Z94" s="151"/>
    </row>
    <row r="95" spans="1:26" ht="13.5" thickBot="1" x14ac:dyDescent="0.25">
      <c r="B95" s="13"/>
      <c r="C95" s="22" t="str">
        <f>'User Input'!D130</f>
        <v>Cost 2</v>
      </c>
      <c r="D95" s="67">
        <f t="shared" si="21"/>
        <v>0</v>
      </c>
      <c r="E95" s="697">
        <v>0</v>
      </c>
      <c r="F95" s="141">
        <f t="shared" si="40"/>
        <v>0</v>
      </c>
      <c r="G95" s="141">
        <f t="shared" si="42"/>
        <v>0</v>
      </c>
      <c r="H95" s="141">
        <f t="shared" ref="H95:Y95" si="45">G71</f>
        <v>0</v>
      </c>
      <c r="I95" s="141">
        <f t="shared" si="45"/>
        <v>0</v>
      </c>
      <c r="J95" s="141">
        <f t="shared" si="45"/>
        <v>0</v>
      </c>
      <c r="K95" s="141">
        <f t="shared" si="45"/>
        <v>0</v>
      </c>
      <c r="L95" s="141">
        <f t="shared" si="45"/>
        <v>0</v>
      </c>
      <c r="M95" s="141">
        <f t="shared" si="45"/>
        <v>0</v>
      </c>
      <c r="N95" s="141">
        <f t="shared" si="45"/>
        <v>0</v>
      </c>
      <c r="O95" s="141">
        <f t="shared" si="45"/>
        <v>0</v>
      </c>
      <c r="P95" s="141">
        <f t="shared" si="45"/>
        <v>0</v>
      </c>
      <c r="Q95" s="141">
        <f t="shared" si="45"/>
        <v>0</v>
      </c>
      <c r="R95" s="141">
        <f t="shared" si="45"/>
        <v>0</v>
      </c>
      <c r="S95" s="141">
        <f t="shared" si="45"/>
        <v>0</v>
      </c>
      <c r="T95" s="141">
        <f t="shared" si="45"/>
        <v>0</v>
      </c>
      <c r="U95" s="141">
        <f t="shared" si="45"/>
        <v>0</v>
      </c>
      <c r="V95" s="141">
        <f t="shared" si="45"/>
        <v>0</v>
      </c>
      <c r="W95" s="141">
        <f t="shared" si="45"/>
        <v>0</v>
      </c>
      <c r="X95" s="141">
        <f t="shared" si="45"/>
        <v>0</v>
      </c>
      <c r="Y95" s="141">
        <f t="shared" si="45"/>
        <v>0</v>
      </c>
      <c r="Z95" s="151"/>
    </row>
    <row r="96" spans="1:26" ht="13.5" thickBot="1" x14ac:dyDescent="0.25">
      <c r="B96" s="13"/>
      <c r="C96" s="22" t="str">
        <f>'User Input'!D131</f>
        <v>Cost 3</v>
      </c>
      <c r="D96" s="67">
        <f t="shared" si="21"/>
        <v>0</v>
      </c>
      <c r="E96" s="697">
        <v>0</v>
      </c>
      <c r="F96" s="141">
        <f t="shared" si="40"/>
        <v>0</v>
      </c>
      <c r="G96" s="141">
        <f t="shared" si="42"/>
        <v>0</v>
      </c>
      <c r="H96" s="141">
        <f t="shared" ref="H96:Y96" si="46">G72</f>
        <v>0</v>
      </c>
      <c r="I96" s="141">
        <f t="shared" si="46"/>
        <v>0</v>
      </c>
      <c r="J96" s="141">
        <f t="shared" si="46"/>
        <v>0</v>
      </c>
      <c r="K96" s="141">
        <f t="shared" si="46"/>
        <v>0</v>
      </c>
      <c r="L96" s="141">
        <f t="shared" si="46"/>
        <v>0</v>
      </c>
      <c r="M96" s="141">
        <f t="shared" si="46"/>
        <v>0</v>
      </c>
      <c r="N96" s="141">
        <f t="shared" si="46"/>
        <v>0</v>
      </c>
      <c r="O96" s="141">
        <f t="shared" si="46"/>
        <v>0</v>
      </c>
      <c r="P96" s="141">
        <f t="shared" si="46"/>
        <v>0</v>
      </c>
      <c r="Q96" s="141">
        <f t="shared" si="46"/>
        <v>0</v>
      </c>
      <c r="R96" s="141">
        <f t="shared" si="46"/>
        <v>0</v>
      </c>
      <c r="S96" s="141">
        <f t="shared" si="46"/>
        <v>0</v>
      </c>
      <c r="T96" s="141">
        <f t="shared" si="46"/>
        <v>0</v>
      </c>
      <c r="U96" s="141">
        <f t="shared" si="46"/>
        <v>0</v>
      </c>
      <c r="V96" s="141">
        <f t="shared" si="46"/>
        <v>0</v>
      </c>
      <c r="W96" s="141">
        <f t="shared" si="46"/>
        <v>0</v>
      </c>
      <c r="X96" s="141">
        <f t="shared" si="46"/>
        <v>0</v>
      </c>
      <c r="Y96" s="141">
        <f t="shared" si="46"/>
        <v>0</v>
      </c>
      <c r="Z96" s="151"/>
    </row>
    <row r="97" spans="2:26" ht="13.5" thickBot="1" x14ac:dyDescent="0.25">
      <c r="B97" s="13"/>
      <c r="C97" s="22" t="str">
        <f>'User Input'!D132</f>
        <v>Cost 4</v>
      </c>
      <c r="D97" s="67">
        <f t="shared" si="21"/>
        <v>0</v>
      </c>
      <c r="E97" s="697">
        <v>0</v>
      </c>
      <c r="F97" s="141">
        <f t="shared" si="40"/>
        <v>0</v>
      </c>
      <c r="G97" s="141">
        <f t="shared" si="42"/>
        <v>0</v>
      </c>
      <c r="H97" s="141">
        <f t="shared" ref="H97:Y97" si="47">G73</f>
        <v>0</v>
      </c>
      <c r="I97" s="141">
        <f t="shared" si="47"/>
        <v>0</v>
      </c>
      <c r="J97" s="141">
        <f t="shared" si="47"/>
        <v>0</v>
      </c>
      <c r="K97" s="141">
        <f t="shared" si="47"/>
        <v>0</v>
      </c>
      <c r="L97" s="141">
        <f t="shared" si="47"/>
        <v>0</v>
      </c>
      <c r="M97" s="141">
        <f t="shared" si="47"/>
        <v>0</v>
      </c>
      <c r="N97" s="141">
        <f t="shared" si="47"/>
        <v>0</v>
      </c>
      <c r="O97" s="141">
        <f t="shared" si="47"/>
        <v>0</v>
      </c>
      <c r="P97" s="141">
        <f t="shared" si="47"/>
        <v>0</v>
      </c>
      <c r="Q97" s="141">
        <f t="shared" si="47"/>
        <v>0</v>
      </c>
      <c r="R97" s="141">
        <f t="shared" si="47"/>
        <v>0</v>
      </c>
      <c r="S97" s="141">
        <f t="shared" si="47"/>
        <v>0</v>
      </c>
      <c r="T97" s="141">
        <f t="shared" si="47"/>
        <v>0</v>
      </c>
      <c r="U97" s="141">
        <f t="shared" si="47"/>
        <v>0</v>
      </c>
      <c r="V97" s="141">
        <f t="shared" si="47"/>
        <v>0</v>
      </c>
      <c r="W97" s="141">
        <f t="shared" si="47"/>
        <v>0</v>
      </c>
      <c r="X97" s="141">
        <f t="shared" si="47"/>
        <v>0</v>
      </c>
      <c r="Y97" s="141">
        <f t="shared" si="47"/>
        <v>0</v>
      </c>
      <c r="Z97" s="151"/>
    </row>
    <row r="98" spans="2:26" ht="13.5" thickBot="1" x14ac:dyDescent="0.25">
      <c r="B98" s="13"/>
      <c r="C98" s="22" t="str">
        <f>'User Input'!D133</f>
        <v>Cost 5</v>
      </c>
      <c r="D98" s="67">
        <f t="shared" si="21"/>
        <v>0</v>
      </c>
      <c r="E98" s="697">
        <v>0</v>
      </c>
      <c r="F98" s="141">
        <f t="shared" si="40"/>
        <v>0</v>
      </c>
      <c r="G98" s="141">
        <f t="shared" si="42"/>
        <v>0</v>
      </c>
      <c r="H98" s="141">
        <f t="shared" ref="H98:Y98" si="48">G74</f>
        <v>0</v>
      </c>
      <c r="I98" s="141">
        <f t="shared" si="48"/>
        <v>0</v>
      </c>
      <c r="J98" s="141">
        <f t="shared" si="48"/>
        <v>0</v>
      </c>
      <c r="K98" s="141">
        <f t="shared" si="48"/>
        <v>0</v>
      </c>
      <c r="L98" s="141">
        <f t="shared" si="48"/>
        <v>0</v>
      </c>
      <c r="M98" s="141">
        <f t="shared" si="48"/>
        <v>0</v>
      </c>
      <c r="N98" s="141">
        <f t="shared" si="48"/>
        <v>0</v>
      </c>
      <c r="O98" s="141">
        <f t="shared" si="48"/>
        <v>0</v>
      </c>
      <c r="P98" s="141">
        <f t="shared" si="48"/>
        <v>0</v>
      </c>
      <c r="Q98" s="141">
        <f t="shared" si="48"/>
        <v>0</v>
      </c>
      <c r="R98" s="141">
        <f t="shared" si="48"/>
        <v>0</v>
      </c>
      <c r="S98" s="141">
        <f t="shared" si="48"/>
        <v>0</v>
      </c>
      <c r="T98" s="141">
        <f t="shared" si="48"/>
        <v>0</v>
      </c>
      <c r="U98" s="141">
        <f t="shared" si="48"/>
        <v>0</v>
      </c>
      <c r="V98" s="141">
        <f t="shared" si="48"/>
        <v>0</v>
      </c>
      <c r="W98" s="141">
        <f t="shared" si="48"/>
        <v>0</v>
      </c>
      <c r="X98" s="141">
        <f t="shared" si="48"/>
        <v>0</v>
      </c>
      <c r="Y98" s="141">
        <f t="shared" si="48"/>
        <v>0</v>
      </c>
      <c r="Z98" s="151"/>
    </row>
    <row r="99" spans="2:26" ht="13.5" thickBot="1" x14ac:dyDescent="0.25">
      <c r="B99" s="13"/>
      <c r="C99" s="22" t="str">
        <f>'User Input'!D134</f>
        <v>Risk 1</v>
      </c>
      <c r="D99" s="67">
        <f t="shared" si="21"/>
        <v>0</v>
      </c>
      <c r="E99" s="697">
        <v>0</v>
      </c>
      <c r="F99" s="141">
        <f t="shared" si="40"/>
        <v>0</v>
      </c>
      <c r="G99" s="141">
        <f t="shared" si="42"/>
        <v>0</v>
      </c>
      <c r="H99" s="141">
        <f t="shared" ref="H99:Y99" si="49">G75</f>
        <v>0</v>
      </c>
      <c r="I99" s="141">
        <f t="shared" si="49"/>
        <v>0</v>
      </c>
      <c r="J99" s="141">
        <f t="shared" si="49"/>
        <v>0</v>
      </c>
      <c r="K99" s="141">
        <f t="shared" si="49"/>
        <v>0</v>
      </c>
      <c r="L99" s="141">
        <f t="shared" si="49"/>
        <v>0</v>
      </c>
      <c r="M99" s="141">
        <f t="shared" si="49"/>
        <v>0</v>
      </c>
      <c r="N99" s="141">
        <f t="shared" si="49"/>
        <v>0</v>
      </c>
      <c r="O99" s="141">
        <f t="shared" si="49"/>
        <v>0</v>
      </c>
      <c r="P99" s="141">
        <f t="shared" si="49"/>
        <v>0</v>
      </c>
      <c r="Q99" s="141">
        <f t="shared" si="49"/>
        <v>0</v>
      </c>
      <c r="R99" s="141">
        <f t="shared" si="49"/>
        <v>0</v>
      </c>
      <c r="S99" s="141">
        <f t="shared" si="49"/>
        <v>0</v>
      </c>
      <c r="T99" s="141">
        <f t="shared" si="49"/>
        <v>0</v>
      </c>
      <c r="U99" s="141">
        <f t="shared" si="49"/>
        <v>0</v>
      </c>
      <c r="V99" s="141">
        <f t="shared" si="49"/>
        <v>0</v>
      </c>
      <c r="W99" s="141">
        <f t="shared" si="49"/>
        <v>0</v>
      </c>
      <c r="X99" s="141">
        <f t="shared" si="49"/>
        <v>0</v>
      </c>
      <c r="Y99" s="141">
        <f t="shared" si="49"/>
        <v>0</v>
      </c>
      <c r="Z99" s="151"/>
    </row>
    <row r="100" spans="2:26" ht="13.5" thickBot="1" x14ac:dyDescent="0.25">
      <c r="B100" s="13"/>
      <c r="C100" s="22" t="str">
        <f>'User Input'!D135</f>
        <v>Risk 2</v>
      </c>
      <c r="D100" s="67">
        <f t="shared" si="21"/>
        <v>0</v>
      </c>
      <c r="E100" s="697">
        <v>0</v>
      </c>
      <c r="F100" s="141">
        <f t="shared" si="40"/>
        <v>0</v>
      </c>
      <c r="G100" s="141">
        <f t="shared" si="42"/>
        <v>0</v>
      </c>
      <c r="H100" s="141">
        <f t="shared" ref="H100:Y100" si="50">G76</f>
        <v>0</v>
      </c>
      <c r="I100" s="141">
        <f t="shared" si="50"/>
        <v>0</v>
      </c>
      <c r="J100" s="141">
        <f t="shared" si="50"/>
        <v>0</v>
      </c>
      <c r="K100" s="141">
        <f t="shared" si="50"/>
        <v>0</v>
      </c>
      <c r="L100" s="141">
        <f t="shared" si="50"/>
        <v>0</v>
      </c>
      <c r="M100" s="141">
        <f t="shared" si="50"/>
        <v>0</v>
      </c>
      <c r="N100" s="141">
        <f t="shared" si="50"/>
        <v>0</v>
      </c>
      <c r="O100" s="141">
        <f t="shared" si="50"/>
        <v>0</v>
      </c>
      <c r="P100" s="141">
        <f t="shared" si="50"/>
        <v>0</v>
      </c>
      <c r="Q100" s="141">
        <f t="shared" si="50"/>
        <v>0</v>
      </c>
      <c r="R100" s="141">
        <f t="shared" si="50"/>
        <v>0</v>
      </c>
      <c r="S100" s="141">
        <f t="shared" si="50"/>
        <v>0</v>
      </c>
      <c r="T100" s="141">
        <f t="shared" si="50"/>
        <v>0</v>
      </c>
      <c r="U100" s="141">
        <f t="shared" si="50"/>
        <v>0</v>
      </c>
      <c r="V100" s="141">
        <f t="shared" si="50"/>
        <v>0</v>
      </c>
      <c r="W100" s="141">
        <f t="shared" si="50"/>
        <v>0</v>
      </c>
      <c r="X100" s="141">
        <f t="shared" si="50"/>
        <v>0</v>
      </c>
      <c r="Y100" s="141">
        <f t="shared" si="50"/>
        <v>0</v>
      </c>
      <c r="Z100" s="151"/>
    </row>
    <row r="101" spans="2:26" ht="13.5" thickBot="1" x14ac:dyDescent="0.25">
      <c r="B101" s="13"/>
      <c r="C101" s="22" t="str">
        <f>'User Input'!D136</f>
        <v>Risk 3</v>
      </c>
      <c r="D101" s="67">
        <f t="shared" si="21"/>
        <v>0</v>
      </c>
      <c r="E101" s="697">
        <v>0</v>
      </c>
      <c r="F101" s="141">
        <f t="shared" si="40"/>
        <v>0</v>
      </c>
      <c r="G101" s="141">
        <f t="shared" si="42"/>
        <v>0</v>
      </c>
      <c r="H101" s="141">
        <f t="shared" ref="H101:Y101" si="51">G77</f>
        <v>0</v>
      </c>
      <c r="I101" s="141">
        <f t="shared" si="51"/>
        <v>0</v>
      </c>
      <c r="J101" s="141">
        <f t="shared" si="51"/>
        <v>0</v>
      </c>
      <c r="K101" s="141">
        <f t="shared" si="51"/>
        <v>0</v>
      </c>
      <c r="L101" s="141">
        <f t="shared" si="51"/>
        <v>0</v>
      </c>
      <c r="M101" s="141">
        <f t="shared" si="51"/>
        <v>0</v>
      </c>
      <c r="N101" s="141">
        <f t="shared" si="51"/>
        <v>0</v>
      </c>
      <c r="O101" s="141">
        <f t="shared" si="51"/>
        <v>0</v>
      </c>
      <c r="P101" s="141">
        <f t="shared" si="51"/>
        <v>0</v>
      </c>
      <c r="Q101" s="141">
        <f t="shared" si="51"/>
        <v>0</v>
      </c>
      <c r="R101" s="141">
        <f t="shared" si="51"/>
        <v>0</v>
      </c>
      <c r="S101" s="141">
        <f t="shared" si="51"/>
        <v>0</v>
      </c>
      <c r="T101" s="141">
        <f t="shared" si="51"/>
        <v>0</v>
      </c>
      <c r="U101" s="141">
        <f t="shared" si="51"/>
        <v>0</v>
      </c>
      <c r="V101" s="141">
        <f t="shared" si="51"/>
        <v>0</v>
      </c>
      <c r="W101" s="141">
        <f t="shared" si="51"/>
        <v>0</v>
      </c>
      <c r="X101" s="141">
        <f t="shared" si="51"/>
        <v>0</v>
      </c>
      <c r="Y101" s="141">
        <f t="shared" si="51"/>
        <v>0</v>
      </c>
      <c r="Z101" s="151"/>
    </row>
    <row r="102" spans="2:26" ht="13.5" thickBot="1" x14ac:dyDescent="0.25">
      <c r="B102" s="13"/>
      <c r="C102" s="22" t="str">
        <f>'User Input'!D137</f>
        <v>Risk 4</v>
      </c>
      <c r="D102" s="67">
        <f t="shared" si="21"/>
        <v>0</v>
      </c>
      <c r="E102" s="697">
        <v>0</v>
      </c>
      <c r="F102" s="141">
        <f t="shared" si="40"/>
        <v>0</v>
      </c>
      <c r="G102" s="141">
        <f t="shared" si="42"/>
        <v>0</v>
      </c>
      <c r="H102" s="141">
        <f t="shared" ref="H102:Y102" si="52">G78</f>
        <v>0</v>
      </c>
      <c r="I102" s="141">
        <f t="shared" si="52"/>
        <v>0</v>
      </c>
      <c r="J102" s="141">
        <f t="shared" si="52"/>
        <v>0</v>
      </c>
      <c r="K102" s="141">
        <f t="shared" si="52"/>
        <v>0</v>
      </c>
      <c r="L102" s="141">
        <f t="shared" si="52"/>
        <v>0</v>
      </c>
      <c r="M102" s="141">
        <f t="shared" si="52"/>
        <v>0</v>
      </c>
      <c r="N102" s="141">
        <f t="shared" si="52"/>
        <v>0</v>
      </c>
      <c r="O102" s="141">
        <f t="shared" si="52"/>
        <v>0</v>
      </c>
      <c r="P102" s="141">
        <f t="shared" si="52"/>
        <v>0</v>
      </c>
      <c r="Q102" s="141">
        <f t="shared" si="52"/>
        <v>0</v>
      </c>
      <c r="R102" s="141">
        <f t="shared" si="52"/>
        <v>0</v>
      </c>
      <c r="S102" s="141">
        <f t="shared" si="52"/>
        <v>0</v>
      </c>
      <c r="T102" s="141">
        <f t="shared" si="52"/>
        <v>0</v>
      </c>
      <c r="U102" s="141">
        <f t="shared" si="52"/>
        <v>0</v>
      </c>
      <c r="V102" s="141">
        <f t="shared" si="52"/>
        <v>0</v>
      </c>
      <c r="W102" s="141">
        <f t="shared" si="52"/>
        <v>0</v>
      </c>
      <c r="X102" s="141">
        <f t="shared" si="52"/>
        <v>0</v>
      </c>
      <c r="Y102" s="141">
        <f t="shared" si="52"/>
        <v>0</v>
      </c>
      <c r="Z102" s="151"/>
    </row>
    <row r="103" spans="2:26" ht="13.5" thickBot="1" x14ac:dyDescent="0.25">
      <c r="B103" s="13"/>
      <c r="C103" s="22" t="str">
        <f>'User Input'!D138</f>
        <v>Risk 5</v>
      </c>
      <c r="D103" s="67">
        <f t="shared" si="21"/>
        <v>0</v>
      </c>
      <c r="E103" s="697">
        <v>0</v>
      </c>
      <c r="F103" s="141">
        <f t="shared" si="40"/>
        <v>0</v>
      </c>
      <c r="G103" s="141">
        <f t="shared" si="42"/>
        <v>0</v>
      </c>
      <c r="H103" s="141">
        <f t="shared" ref="H103:Y103" si="53">G79</f>
        <v>0</v>
      </c>
      <c r="I103" s="141">
        <f t="shared" si="53"/>
        <v>0</v>
      </c>
      <c r="J103" s="141">
        <f t="shared" si="53"/>
        <v>0</v>
      </c>
      <c r="K103" s="141">
        <f t="shared" si="53"/>
        <v>0</v>
      </c>
      <c r="L103" s="141">
        <f t="shared" si="53"/>
        <v>0</v>
      </c>
      <c r="M103" s="141">
        <f t="shared" si="53"/>
        <v>0</v>
      </c>
      <c r="N103" s="141">
        <f t="shared" si="53"/>
        <v>0</v>
      </c>
      <c r="O103" s="141">
        <f t="shared" si="53"/>
        <v>0</v>
      </c>
      <c r="P103" s="141">
        <f t="shared" si="53"/>
        <v>0</v>
      </c>
      <c r="Q103" s="141">
        <f t="shared" si="53"/>
        <v>0</v>
      </c>
      <c r="R103" s="141">
        <f t="shared" si="53"/>
        <v>0</v>
      </c>
      <c r="S103" s="141">
        <f t="shared" si="53"/>
        <v>0</v>
      </c>
      <c r="T103" s="141">
        <f t="shared" si="53"/>
        <v>0</v>
      </c>
      <c r="U103" s="141">
        <f t="shared" si="53"/>
        <v>0</v>
      </c>
      <c r="V103" s="141">
        <f t="shared" si="53"/>
        <v>0</v>
      </c>
      <c r="W103" s="141">
        <f t="shared" si="53"/>
        <v>0</v>
      </c>
      <c r="X103" s="141">
        <f t="shared" si="53"/>
        <v>0</v>
      </c>
      <c r="Y103" s="141">
        <f t="shared" si="53"/>
        <v>0</v>
      </c>
      <c r="Z103" s="151"/>
    </row>
    <row r="104" spans="2:26" ht="13.5" thickBot="1" x14ac:dyDescent="0.25">
      <c r="B104" s="13"/>
      <c r="C104" s="53" t="s">
        <v>2</v>
      </c>
      <c r="D104" s="67">
        <f>SUM(E104:Y104)</f>
        <v>2633.6788898655577</v>
      </c>
      <c r="E104" s="68">
        <f>SUM(E85:E103)</f>
        <v>0</v>
      </c>
      <c r="F104" s="69">
        <f t="shared" ref="F104:Y104" si="54">SUM(F85:F103)</f>
        <v>127.42500000000001</v>
      </c>
      <c r="G104" s="69">
        <f t="shared" si="54"/>
        <v>1393.2059759362442</v>
      </c>
      <c r="H104" s="69">
        <f t="shared" si="54"/>
        <v>1113.0479139293134</v>
      </c>
      <c r="I104" s="69">
        <f t="shared" si="54"/>
        <v>0</v>
      </c>
      <c r="J104" s="69">
        <f t="shared" si="54"/>
        <v>0</v>
      </c>
      <c r="K104" s="69">
        <f t="shared" si="54"/>
        <v>0</v>
      </c>
      <c r="L104" s="69">
        <f t="shared" si="54"/>
        <v>0</v>
      </c>
      <c r="M104" s="69">
        <f t="shared" si="54"/>
        <v>0</v>
      </c>
      <c r="N104" s="69">
        <f t="shared" si="54"/>
        <v>0</v>
      </c>
      <c r="O104" s="69">
        <f t="shared" si="54"/>
        <v>0</v>
      </c>
      <c r="P104" s="69">
        <f t="shared" si="54"/>
        <v>0</v>
      </c>
      <c r="Q104" s="69">
        <f t="shared" si="54"/>
        <v>0</v>
      </c>
      <c r="R104" s="69">
        <f t="shared" si="54"/>
        <v>0</v>
      </c>
      <c r="S104" s="69">
        <f t="shared" si="54"/>
        <v>0</v>
      </c>
      <c r="T104" s="69">
        <f t="shared" si="54"/>
        <v>0</v>
      </c>
      <c r="U104" s="69">
        <f t="shared" si="54"/>
        <v>0</v>
      </c>
      <c r="V104" s="69">
        <f t="shared" si="54"/>
        <v>0</v>
      </c>
      <c r="W104" s="69">
        <f t="shared" si="54"/>
        <v>0</v>
      </c>
      <c r="X104" s="69">
        <f t="shared" si="54"/>
        <v>0</v>
      </c>
      <c r="Y104" s="150">
        <f t="shared" si="54"/>
        <v>0</v>
      </c>
      <c r="Z104" s="151"/>
    </row>
    <row r="105" spans="2:26" ht="13.5" thickBot="1" x14ac:dyDescent="0.25">
      <c r="B105" s="13"/>
      <c r="C105" s="54" t="s">
        <v>50</v>
      </c>
      <c r="D105" s="67">
        <f>SUM(E105:Y105)</f>
        <v>2164.355974501033</v>
      </c>
      <c r="E105" s="77">
        <f t="shared" ref="E105:Y105" si="55">E104/(1+$D$4)^E$7</f>
        <v>0</v>
      </c>
      <c r="F105" s="77">
        <f t="shared" si="55"/>
        <v>117.25867304683906</v>
      </c>
      <c r="G105" s="77">
        <f t="shared" si="55"/>
        <v>1179.7663220281693</v>
      </c>
      <c r="H105" s="77">
        <f t="shared" si="55"/>
        <v>867.33097942602456</v>
      </c>
      <c r="I105" s="77">
        <f t="shared" si="55"/>
        <v>0</v>
      </c>
      <c r="J105" s="77">
        <f t="shared" si="55"/>
        <v>0</v>
      </c>
      <c r="K105" s="77">
        <f t="shared" si="55"/>
        <v>0</v>
      </c>
      <c r="L105" s="77">
        <f t="shared" si="55"/>
        <v>0</v>
      </c>
      <c r="M105" s="77">
        <f t="shared" si="55"/>
        <v>0</v>
      </c>
      <c r="N105" s="77">
        <f t="shared" si="55"/>
        <v>0</v>
      </c>
      <c r="O105" s="77">
        <f t="shared" si="55"/>
        <v>0</v>
      </c>
      <c r="P105" s="77">
        <f t="shared" si="55"/>
        <v>0</v>
      </c>
      <c r="Q105" s="77">
        <f t="shared" si="55"/>
        <v>0</v>
      </c>
      <c r="R105" s="77">
        <f t="shared" si="55"/>
        <v>0</v>
      </c>
      <c r="S105" s="77">
        <f t="shared" si="55"/>
        <v>0</v>
      </c>
      <c r="T105" s="77">
        <f t="shared" si="55"/>
        <v>0</v>
      </c>
      <c r="U105" s="77">
        <f t="shared" si="55"/>
        <v>0</v>
      </c>
      <c r="V105" s="77">
        <f t="shared" si="55"/>
        <v>0</v>
      </c>
      <c r="W105" s="77">
        <f t="shared" si="55"/>
        <v>0</v>
      </c>
      <c r="X105" s="77">
        <f t="shared" si="55"/>
        <v>0</v>
      </c>
      <c r="Y105" s="149">
        <f t="shared" si="55"/>
        <v>0</v>
      </c>
      <c r="Z105" s="151"/>
    </row>
    <row r="106" spans="2:26" x14ac:dyDescent="0.2">
      <c r="B106" s="10"/>
      <c r="C106" s="57"/>
      <c r="D106" s="57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6"/>
      <c r="Z106" s="157"/>
    </row>
    <row r="107" spans="2:26" x14ac:dyDescent="0.2">
      <c r="B107" s="371" t="str">
        <f>CONCATENATE($B$35," + 3yrs")</f>
        <v>Option 1: Provide In Meter Capabilities + 3yrs</v>
      </c>
      <c r="C107" s="367"/>
      <c r="D107" s="372"/>
      <c r="E107" s="369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0"/>
    </row>
    <row r="108" spans="2:26" ht="13.5" thickBot="1" x14ac:dyDescent="0.25">
      <c r="B108" s="20"/>
      <c r="C108" s="59"/>
      <c r="D108" s="5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7"/>
      <c r="Z108" s="151"/>
    </row>
    <row r="109" spans="2:26" ht="13.5" thickBot="1" x14ac:dyDescent="0.25">
      <c r="B109" s="52"/>
      <c r="C109" s="4" t="s">
        <v>76</v>
      </c>
      <c r="D109" s="67">
        <f>SUM(E109:Y109)</f>
        <v>2942.0943053289493</v>
      </c>
      <c r="E109" s="141">
        <f t="shared" ref="E109:H110" si="56">E13</f>
        <v>0</v>
      </c>
      <c r="F109" s="141">
        <f t="shared" si="56"/>
        <v>127.42500000000001</v>
      </c>
      <c r="G109" s="141">
        <f t="shared" si="56"/>
        <v>259.79409000000004</v>
      </c>
      <c r="H109" s="141">
        <f>E37/E9*H9</f>
        <v>1420.2341718694074</v>
      </c>
      <c r="I109" s="141">
        <f t="shared" ref="I109:N109" si="57">F37/F9*I9</f>
        <v>1134.6410434595421</v>
      </c>
      <c r="J109" s="141">
        <f t="shared" si="57"/>
        <v>0</v>
      </c>
      <c r="K109" s="141">
        <f t="shared" si="57"/>
        <v>0</v>
      </c>
      <c r="L109" s="141">
        <f t="shared" si="57"/>
        <v>0</v>
      </c>
      <c r="M109" s="141">
        <f t="shared" si="57"/>
        <v>0</v>
      </c>
      <c r="N109" s="141">
        <f t="shared" si="57"/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1">
        <v>0</v>
      </c>
      <c r="W109" s="141">
        <v>0</v>
      </c>
      <c r="X109" s="141">
        <v>0</v>
      </c>
      <c r="Y109" s="141">
        <v>0</v>
      </c>
      <c r="Z109" s="151"/>
    </row>
    <row r="110" spans="2:26" ht="13.5" thickBot="1" x14ac:dyDescent="0.25">
      <c r="B110" s="13"/>
      <c r="C110" s="22" t="str">
        <f>'User Input'!D143</f>
        <v>Maintenance Costs</v>
      </c>
      <c r="D110" s="67">
        <f t="shared" ref="D110:D127" si="58">SUM(E110:Y110)</f>
        <v>0</v>
      </c>
      <c r="E110" s="141">
        <f t="shared" si="56"/>
        <v>0</v>
      </c>
      <c r="F110" s="141">
        <f t="shared" si="56"/>
        <v>0</v>
      </c>
      <c r="G110" s="141">
        <f t="shared" si="56"/>
        <v>0</v>
      </c>
      <c r="H110" s="141">
        <f t="shared" si="56"/>
        <v>0</v>
      </c>
      <c r="I110" s="141">
        <f>F38</f>
        <v>0</v>
      </c>
      <c r="J110" s="141">
        <f t="shared" ref="J110:Y110" si="59">G38</f>
        <v>0</v>
      </c>
      <c r="K110" s="141">
        <f t="shared" si="59"/>
        <v>0</v>
      </c>
      <c r="L110" s="141">
        <f t="shared" si="59"/>
        <v>0</v>
      </c>
      <c r="M110" s="141">
        <f t="shared" si="59"/>
        <v>0</v>
      </c>
      <c r="N110" s="141">
        <f t="shared" si="59"/>
        <v>0</v>
      </c>
      <c r="O110" s="141">
        <f t="shared" si="59"/>
        <v>0</v>
      </c>
      <c r="P110" s="141">
        <f t="shared" si="59"/>
        <v>0</v>
      </c>
      <c r="Q110" s="141">
        <f t="shared" si="59"/>
        <v>0</v>
      </c>
      <c r="R110" s="141">
        <f t="shared" si="59"/>
        <v>0</v>
      </c>
      <c r="S110" s="141">
        <f t="shared" si="59"/>
        <v>0</v>
      </c>
      <c r="T110" s="141">
        <f t="shared" si="59"/>
        <v>0</v>
      </c>
      <c r="U110" s="141">
        <f t="shared" si="59"/>
        <v>0</v>
      </c>
      <c r="V110" s="141">
        <f t="shared" si="59"/>
        <v>0</v>
      </c>
      <c r="W110" s="141">
        <f t="shared" si="59"/>
        <v>0</v>
      </c>
      <c r="X110" s="141">
        <f t="shared" si="59"/>
        <v>0</v>
      </c>
      <c r="Y110" s="141">
        <f t="shared" si="59"/>
        <v>0</v>
      </c>
      <c r="Z110" s="151"/>
    </row>
    <row r="111" spans="2:26" ht="13.5" thickBot="1" x14ac:dyDescent="0.25">
      <c r="B111" s="13"/>
      <c r="C111" s="137" t="str">
        <f>'User Input'!D145</f>
        <v>Negative Impact on Revenue (STPIS)</v>
      </c>
      <c r="D111" s="195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46"/>
      <c r="Z111" s="151"/>
    </row>
    <row r="112" spans="2:26" ht="13.5" thickBot="1" x14ac:dyDescent="0.25">
      <c r="B112" s="13"/>
      <c r="C112" s="140" t="str">
        <f>'User Input'!D146</f>
        <v>SAIFI sustained</v>
      </c>
      <c r="D112" s="67">
        <f t="shared" si="58"/>
        <v>0</v>
      </c>
      <c r="E112" s="259">
        <v>0</v>
      </c>
      <c r="F112" s="259">
        <v>0</v>
      </c>
      <c r="G112" s="697">
        <v>0</v>
      </c>
      <c r="H112" s="697">
        <v>0</v>
      </c>
      <c r="I112" s="141">
        <f t="shared" ref="I112:I115" si="60">I16</f>
        <v>0</v>
      </c>
      <c r="J112" s="141">
        <f t="shared" ref="J112:O127" si="61">G40</f>
        <v>0</v>
      </c>
      <c r="K112" s="141">
        <f t="shared" si="61"/>
        <v>0</v>
      </c>
      <c r="L112" s="141">
        <f t="shared" si="61"/>
        <v>0</v>
      </c>
      <c r="M112" s="141">
        <f t="shared" si="61"/>
        <v>0</v>
      </c>
      <c r="N112" s="141">
        <f t="shared" si="61"/>
        <v>0</v>
      </c>
      <c r="O112" s="141">
        <f t="shared" si="61"/>
        <v>0</v>
      </c>
      <c r="P112" s="141">
        <f t="shared" ref="P112:Y115" si="62">P40</f>
        <v>0</v>
      </c>
      <c r="Q112" s="141">
        <f t="shared" si="62"/>
        <v>0</v>
      </c>
      <c r="R112" s="141">
        <f t="shared" si="62"/>
        <v>0</v>
      </c>
      <c r="S112" s="141">
        <f t="shared" si="62"/>
        <v>0</v>
      </c>
      <c r="T112" s="141">
        <f t="shared" si="62"/>
        <v>0</v>
      </c>
      <c r="U112" s="141">
        <f t="shared" si="62"/>
        <v>0</v>
      </c>
      <c r="V112" s="141">
        <f t="shared" si="62"/>
        <v>0</v>
      </c>
      <c r="W112" s="141">
        <f t="shared" si="62"/>
        <v>0</v>
      </c>
      <c r="X112" s="141">
        <f t="shared" si="62"/>
        <v>0</v>
      </c>
      <c r="Y112" s="141">
        <f t="shared" si="62"/>
        <v>0</v>
      </c>
      <c r="Z112" s="151"/>
    </row>
    <row r="113" spans="1:26" ht="13.5" thickBot="1" x14ac:dyDescent="0.25">
      <c r="B113" s="13"/>
      <c r="C113" s="140" t="str">
        <f>'User Input'!D147</f>
        <v>SAIDI accidental</v>
      </c>
      <c r="D113" s="67">
        <f t="shared" si="58"/>
        <v>0</v>
      </c>
      <c r="E113" s="259">
        <v>0</v>
      </c>
      <c r="F113" s="259">
        <v>0</v>
      </c>
      <c r="G113" s="697">
        <v>0</v>
      </c>
      <c r="H113" s="697">
        <v>0</v>
      </c>
      <c r="I113" s="141">
        <f t="shared" si="60"/>
        <v>0</v>
      </c>
      <c r="J113" s="141">
        <f t="shared" si="61"/>
        <v>0</v>
      </c>
      <c r="K113" s="141">
        <f t="shared" si="61"/>
        <v>0</v>
      </c>
      <c r="L113" s="141">
        <f t="shared" si="61"/>
        <v>0</v>
      </c>
      <c r="M113" s="141">
        <f t="shared" si="61"/>
        <v>0</v>
      </c>
      <c r="N113" s="141">
        <f t="shared" si="61"/>
        <v>0</v>
      </c>
      <c r="O113" s="141">
        <f t="shared" si="61"/>
        <v>0</v>
      </c>
      <c r="P113" s="141">
        <f t="shared" si="62"/>
        <v>0</v>
      </c>
      <c r="Q113" s="141">
        <f t="shared" si="62"/>
        <v>0</v>
      </c>
      <c r="R113" s="141">
        <f t="shared" si="62"/>
        <v>0</v>
      </c>
      <c r="S113" s="141">
        <f t="shared" si="62"/>
        <v>0</v>
      </c>
      <c r="T113" s="141">
        <f t="shared" si="62"/>
        <v>0</v>
      </c>
      <c r="U113" s="141">
        <f t="shared" si="62"/>
        <v>0</v>
      </c>
      <c r="V113" s="141">
        <f t="shared" si="62"/>
        <v>0</v>
      </c>
      <c r="W113" s="141">
        <f t="shared" si="62"/>
        <v>0</v>
      </c>
      <c r="X113" s="141">
        <f t="shared" si="62"/>
        <v>0</v>
      </c>
      <c r="Y113" s="141">
        <f t="shared" si="62"/>
        <v>0</v>
      </c>
      <c r="Z113" s="151"/>
    </row>
    <row r="114" spans="1:26" ht="13.5" thickBot="1" x14ac:dyDescent="0.25">
      <c r="B114" s="13"/>
      <c r="C114" s="140" t="str">
        <f>'User Input'!D148</f>
        <v>MAIFI momentary</v>
      </c>
      <c r="D114" s="67">
        <f t="shared" si="58"/>
        <v>0</v>
      </c>
      <c r="E114" s="259">
        <v>0</v>
      </c>
      <c r="F114" s="259">
        <v>0</v>
      </c>
      <c r="G114" s="697">
        <v>0</v>
      </c>
      <c r="H114" s="697">
        <v>0</v>
      </c>
      <c r="I114" s="141">
        <f t="shared" si="60"/>
        <v>0</v>
      </c>
      <c r="J114" s="141">
        <f t="shared" si="61"/>
        <v>0</v>
      </c>
      <c r="K114" s="141">
        <f t="shared" si="61"/>
        <v>0</v>
      </c>
      <c r="L114" s="141">
        <f t="shared" si="61"/>
        <v>0</v>
      </c>
      <c r="M114" s="141">
        <f t="shared" si="61"/>
        <v>0</v>
      </c>
      <c r="N114" s="141">
        <f t="shared" si="61"/>
        <v>0</v>
      </c>
      <c r="O114" s="141">
        <f t="shared" si="61"/>
        <v>0</v>
      </c>
      <c r="P114" s="141">
        <f t="shared" si="62"/>
        <v>0</v>
      </c>
      <c r="Q114" s="141">
        <f t="shared" si="62"/>
        <v>0</v>
      </c>
      <c r="R114" s="141">
        <f t="shared" si="62"/>
        <v>0</v>
      </c>
      <c r="S114" s="141">
        <f t="shared" si="62"/>
        <v>0</v>
      </c>
      <c r="T114" s="141">
        <f t="shared" si="62"/>
        <v>0</v>
      </c>
      <c r="U114" s="141">
        <f t="shared" si="62"/>
        <v>0</v>
      </c>
      <c r="V114" s="141">
        <f t="shared" si="62"/>
        <v>0</v>
      </c>
      <c r="W114" s="141">
        <f t="shared" si="62"/>
        <v>0</v>
      </c>
      <c r="X114" s="141">
        <f t="shared" si="62"/>
        <v>0</v>
      </c>
      <c r="Y114" s="141">
        <f t="shared" si="62"/>
        <v>0</v>
      </c>
      <c r="Z114" s="151"/>
    </row>
    <row r="115" spans="1:26" ht="13.5" thickBot="1" x14ac:dyDescent="0.25">
      <c r="B115" s="13"/>
      <c r="C115" s="140" t="str">
        <f>'User Input'!D149</f>
        <v>Call centre response</v>
      </c>
      <c r="D115" s="67">
        <f t="shared" si="58"/>
        <v>0</v>
      </c>
      <c r="E115" s="259">
        <v>0</v>
      </c>
      <c r="F115" s="259">
        <v>0</v>
      </c>
      <c r="G115" s="697">
        <v>0</v>
      </c>
      <c r="H115" s="697">
        <v>0</v>
      </c>
      <c r="I115" s="141">
        <f t="shared" si="60"/>
        <v>0</v>
      </c>
      <c r="J115" s="141">
        <f t="shared" si="61"/>
        <v>0</v>
      </c>
      <c r="K115" s="141">
        <f t="shared" si="61"/>
        <v>0</v>
      </c>
      <c r="L115" s="141">
        <f t="shared" si="61"/>
        <v>0</v>
      </c>
      <c r="M115" s="141">
        <f t="shared" si="61"/>
        <v>0</v>
      </c>
      <c r="N115" s="141">
        <f t="shared" si="61"/>
        <v>0</v>
      </c>
      <c r="O115" s="141">
        <f t="shared" si="61"/>
        <v>0</v>
      </c>
      <c r="P115" s="141">
        <f t="shared" si="62"/>
        <v>0</v>
      </c>
      <c r="Q115" s="141">
        <f t="shared" si="62"/>
        <v>0</v>
      </c>
      <c r="R115" s="141">
        <f t="shared" si="62"/>
        <v>0</v>
      </c>
      <c r="S115" s="141">
        <f t="shared" si="62"/>
        <v>0</v>
      </c>
      <c r="T115" s="141">
        <f t="shared" si="62"/>
        <v>0</v>
      </c>
      <c r="U115" s="141">
        <f t="shared" si="62"/>
        <v>0</v>
      </c>
      <c r="V115" s="141">
        <f t="shared" si="62"/>
        <v>0</v>
      </c>
      <c r="W115" s="141">
        <f t="shared" si="62"/>
        <v>0</v>
      </c>
      <c r="X115" s="141">
        <f t="shared" si="62"/>
        <v>0</v>
      </c>
      <c r="Y115" s="141">
        <f t="shared" si="62"/>
        <v>0</v>
      </c>
      <c r="Z115" s="151"/>
    </row>
    <row r="116" spans="1:26" ht="13.5" thickBot="1" x14ac:dyDescent="0.25">
      <c r="A116" s="138"/>
      <c r="B116" s="142"/>
      <c r="C116" s="137" t="str">
        <f>'User Input'!D151</f>
        <v>Network Outage Costs</v>
      </c>
      <c r="D116" s="67">
        <f t="shared" si="58"/>
        <v>0</v>
      </c>
      <c r="E116" s="141">
        <f t="shared" ref="E116:G127" si="63">E20</f>
        <v>0</v>
      </c>
      <c r="F116" s="141">
        <f t="shared" si="63"/>
        <v>0</v>
      </c>
      <c r="G116" s="141">
        <f t="shared" si="63"/>
        <v>0</v>
      </c>
      <c r="H116" s="141">
        <f t="shared" ref="H116:H121" si="64">F44</f>
        <v>0</v>
      </c>
      <c r="I116" s="141">
        <f t="shared" ref="I116:I127" si="65">F44</f>
        <v>0</v>
      </c>
      <c r="J116" s="141">
        <f t="shared" si="61"/>
        <v>0</v>
      </c>
      <c r="K116" s="141">
        <f t="shared" si="61"/>
        <v>0</v>
      </c>
      <c r="L116" s="141">
        <f t="shared" si="61"/>
        <v>0</v>
      </c>
      <c r="M116" s="141">
        <f t="shared" si="61"/>
        <v>0</v>
      </c>
      <c r="N116" s="141">
        <f t="shared" si="61"/>
        <v>0</v>
      </c>
      <c r="O116" s="141">
        <f t="shared" si="61"/>
        <v>0</v>
      </c>
      <c r="P116" s="141">
        <f t="shared" ref="P116:P127" si="66">M44</f>
        <v>0</v>
      </c>
      <c r="Q116" s="141">
        <f t="shared" ref="Q116:Q127" si="67">N44</f>
        <v>0</v>
      </c>
      <c r="R116" s="141">
        <f t="shared" ref="R116:R127" si="68">O44</f>
        <v>0</v>
      </c>
      <c r="S116" s="141">
        <f t="shared" ref="S116:S127" si="69">P44</f>
        <v>0</v>
      </c>
      <c r="T116" s="141">
        <f t="shared" ref="T116:T127" si="70">Q44</f>
        <v>0</v>
      </c>
      <c r="U116" s="141">
        <f t="shared" ref="U116:U127" si="71">R44</f>
        <v>0</v>
      </c>
      <c r="V116" s="141">
        <f t="shared" ref="V116:V127" si="72">S44</f>
        <v>0</v>
      </c>
      <c r="W116" s="141">
        <f t="shared" ref="W116:W127" si="73">T44</f>
        <v>0</v>
      </c>
      <c r="X116" s="141">
        <f t="shared" ref="X116:X127" si="74">U44</f>
        <v>0</v>
      </c>
      <c r="Y116" s="141">
        <f t="shared" ref="Y116:Y127" si="75">V44</f>
        <v>0</v>
      </c>
      <c r="Z116" s="151"/>
    </row>
    <row r="117" spans="1:26" ht="13.5" thickBot="1" x14ac:dyDescent="0.25">
      <c r="A117" s="138"/>
      <c r="B117" s="142"/>
      <c r="C117" s="137" t="str">
        <f>'User Input'!D155</f>
        <v>Loss of F Factor Benefit</v>
      </c>
      <c r="D117" s="67">
        <f t="shared" si="58"/>
        <v>0</v>
      </c>
      <c r="E117" s="141">
        <f t="shared" si="63"/>
        <v>0</v>
      </c>
      <c r="F117" s="141">
        <f t="shared" si="63"/>
        <v>0</v>
      </c>
      <c r="G117" s="141">
        <f t="shared" si="63"/>
        <v>0</v>
      </c>
      <c r="H117" s="141">
        <f t="shared" si="64"/>
        <v>0</v>
      </c>
      <c r="I117" s="141">
        <f t="shared" si="65"/>
        <v>0</v>
      </c>
      <c r="J117" s="141">
        <f t="shared" si="61"/>
        <v>0</v>
      </c>
      <c r="K117" s="141">
        <f t="shared" si="61"/>
        <v>0</v>
      </c>
      <c r="L117" s="141">
        <f t="shared" si="61"/>
        <v>0</v>
      </c>
      <c r="M117" s="141">
        <f t="shared" si="61"/>
        <v>0</v>
      </c>
      <c r="N117" s="141">
        <f t="shared" si="61"/>
        <v>0</v>
      </c>
      <c r="O117" s="141">
        <f t="shared" si="61"/>
        <v>0</v>
      </c>
      <c r="P117" s="141">
        <f t="shared" si="66"/>
        <v>0</v>
      </c>
      <c r="Q117" s="141">
        <f t="shared" si="67"/>
        <v>0</v>
      </c>
      <c r="R117" s="141">
        <f t="shared" si="68"/>
        <v>0</v>
      </c>
      <c r="S117" s="141">
        <f t="shared" si="69"/>
        <v>0</v>
      </c>
      <c r="T117" s="141">
        <f t="shared" si="70"/>
        <v>0</v>
      </c>
      <c r="U117" s="141">
        <f t="shared" si="71"/>
        <v>0</v>
      </c>
      <c r="V117" s="141">
        <f t="shared" si="72"/>
        <v>0</v>
      </c>
      <c r="W117" s="141">
        <f t="shared" si="73"/>
        <v>0</v>
      </c>
      <c r="X117" s="141">
        <f t="shared" si="74"/>
        <v>0</v>
      </c>
      <c r="Y117" s="141">
        <f t="shared" si="75"/>
        <v>0</v>
      </c>
      <c r="Z117" s="151"/>
    </row>
    <row r="118" spans="1:26" ht="13.5" thickBot="1" x14ac:dyDescent="0.25">
      <c r="B118" s="13"/>
      <c r="C118" s="22" t="str">
        <f>'User Input'!D158</f>
        <v>Cost 1</v>
      </c>
      <c r="D118" s="67">
        <f t="shared" si="58"/>
        <v>0</v>
      </c>
      <c r="E118" s="141">
        <f t="shared" si="63"/>
        <v>0</v>
      </c>
      <c r="F118" s="141">
        <f t="shared" si="63"/>
        <v>0</v>
      </c>
      <c r="G118" s="141">
        <f t="shared" si="63"/>
        <v>0</v>
      </c>
      <c r="H118" s="141">
        <f t="shared" si="64"/>
        <v>0</v>
      </c>
      <c r="I118" s="141">
        <f t="shared" si="65"/>
        <v>0</v>
      </c>
      <c r="J118" s="141">
        <f t="shared" si="61"/>
        <v>0</v>
      </c>
      <c r="K118" s="141">
        <f t="shared" si="61"/>
        <v>0</v>
      </c>
      <c r="L118" s="141">
        <f t="shared" si="61"/>
        <v>0</v>
      </c>
      <c r="M118" s="141">
        <f t="shared" si="61"/>
        <v>0</v>
      </c>
      <c r="N118" s="141">
        <f t="shared" si="61"/>
        <v>0</v>
      </c>
      <c r="O118" s="141">
        <f t="shared" si="61"/>
        <v>0</v>
      </c>
      <c r="P118" s="141">
        <f t="shared" si="66"/>
        <v>0</v>
      </c>
      <c r="Q118" s="141">
        <f t="shared" si="67"/>
        <v>0</v>
      </c>
      <c r="R118" s="141">
        <f t="shared" si="68"/>
        <v>0</v>
      </c>
      <c r="S118" s="141">
        <f t="shared" si="69"/>
        <v>0</v>
      </c>
      <c r="T118" s="141">
        <f t="shared" si="70"/>
        <v>0</v>
      </c>
      <c r="U118" s="141">
        <f t="shared" si="71"/>
        <v>0</v>
      </c>
      <c r="V118" s="141">
        <f t="shared" si="72"/>
        <v>0</v>
      </c>
      <c r="W118" s="141">
        <f t="shared" si="73"/>
        <v>0</v>
      </c>
      <c r="X118" s="141">
        <f t="shared" si="74"/>
        <v>0</v>
      </c>
      <c r="Y118" s="141">
        <f t="shared" si="75"/>
        <v>0</v>
      </c>
      <c r="Z118" s="151"/>
    </row>
    <row r="119" spans="1:26" ht="13.5" thickBot="1" x14ac:dyDescent="0.25">
      <c r="B119" s="13"/>
      <c r="C119" s="22" t="str">
        <f>'User Input'!D159</f>
        <v>Cost 2</v>
      </c>
      <c r="D119" s="67">
        <f t="shared" si="58"/>
        <v>0</v>
      </c>
      <c r="E119" s="141">
        <f t="shared" si="63"/>
        <v>0</v>
      </c>
      <c r="F119" s="141">
        <f t="shared" si="63"/>
        <v>0</v>
      </c>
      <c r="G119" s="141">
        <f t="shared" si="63"/>
        <v>0</v>
      </c>
      <c r="H119" s="141">
        <f t="shared" si="64"/>
        <v>0</v>
      </c>
      <c r="I119" s="141">
        <f t="shared" si="65"/>
        <v>0</v>
      </c>
      <c r="J119" s="141">
        <f t="shared" si="61"/>
        <v>0</v>
      </c>
      <c r="K119" s="141">
        <f t="shared" si="61"/>
        <v>0</v>
      </c>
      <c r="L119" s="141">
        <f t="shared" si="61"/>
        <v>0</v>
      </c>
      <c r="M119" s="141">
        <f t="shared" si="61"/>
        <v>0</v>
      </c>
      <c r="N119" s="141">
        <f t="shared" si="61"/>
        <v>0</v>
      </c>
      <c r="O119" s="141">
        <f t="shared" si="61"/>
        <v>0</v>
      </c>
      <c r="P119" s="141">
        <f t="shared" si="66"/>
        <v>0</v>
      </c>
      <c r="Q119" s="141">
        <f t="shared" si="67"/>
        <v>0</v>
      </c>
      <c r="R119" s="141">
        <f t="shared" si="68"/>
        <v>0</v>
      </c>
      <c r="S119" s="141">
        <f t="shared" si="69"/>
        <v>0</v>
      </c>
      <c r="T119" s="141">
        <f t="shared" si="70"/>
        <v>0</v>
      </c>
      <c r="U119" s="141">
        <f t="shared" si="71"/>
        <v>0</v>
      </c>
      <c r="V119" s="141">
        <f t="shared" si="72"/>
        <v>0</v>
      </c>
      <c r="W119" s="141">
        <f t="shared" si="73"/>
        <v>0</v>
      </c>
      <c r="X119" s="141">
        <f t="shared" si="74"/>
        <v>0</v>
      </c>
      <c r="Y119" s="141">
        <f t="shared" si="75"/>
        <v>0</v>
      </c>
      <c r="Z119" s="151"/>
    </row>
    <row r="120" spans="1:26" ht="13.5" thickBot="1" x14ac:dyDescent="0.25">
      <c r="B120" s="13"/>
      <c r="C120" s="22" t="str">
        <f>'User Input'!D160</f>
        <v>Cost 3</v>
      </c>
      <c r="D120" s="67">
        <f t="shared" si="58"/>
        <v>0</v>
      </c>
      <c r="E120" s="141">
        <f t="shared" si="63"/>
        <v>0</v>
      </c>
      <c r="F120" s="141">
        <f t="shared" si="63"/>
        <v>0</v>
      </c>
      <c r="G120" s="141">
        <f t="shared" si="63"/>
        <v>0</v>
      </c>
      <c r="H120" s="141">
        <f t="shared" si="64"/>
        <v>0</v>
      </c>
      <c r="I120" s="141">
        <f t="shared" si="65"/>
        <v>0</v>
      </c>
      <c r="J120" s="141">
        <f t="shared" si="61"/>
        <v>0</v>
      </c>
      <c r="K120" s="141">
        <f t="shared" si="61"/>
        <v>0</v>
      </c>
      <c r="L120" s="141">
        <f t="shared" si="61"/>
        <v>0</v>
      </c>
      <c r="M120" s="141">
        <f t="shared" si="61"/>
        <v>0</v>
      </c>
      <c r="N120" s="141">
        <f t="shared" si="61"/>
        <v>0</v>
      </c>
      <c r="O120" s="141">
        <f t="shared" si="61"/>
        <v>0</v>
      </c>
      <c r="P120" s="141">
        <f t="shared" si="66"/>
        <v>0</v>
      </c>
      <c r="Q120" s="141">
        <f t="shared" si="67"/>
        <v>0</v>
      </c>
      <c r="R120" s="141">
        <f t="shared" si="68"/>
        <v>0</v>
      </c>
      <c r="S120" s="141">
        <f t="shared" si="69"/>
        <v>0</v>
      </c>
      <c r="T120" s="141">
        <f t="shared" si="70"/>
        <v>0</v>
      </c>
      <c r="U120" s="141">
        <f t="shared" si="71"/>
        <v>0</v>
      </c>
      <c r="V120" s="141">
        <f t="shared" si="72"/>
        <v>0</v>
      </c>
      <c r="W120" s="141">
        <f t="shared" si="73"/>
        <v>0</v>
      </c>
      <c r="X120" s="141">
        <f t="shared" si="74"/>
        <v>0</v>
      </c>
      <c r="Y120" s="141">
        <f t="shared" si="75"/>
        <v>0</v>
      </c>
      <c r="Z120" s="151"/>
    </row>
    <row r="121" spans="1:26" ht="13.5" thickBot="1" x14ac:dyDescent="0.25">
      <c r="B121" s="13"/>
      <c r="C121" s="22" t="str">
        <f>'User Input'!D161</f>
        <v>Cost 4</v>
      </c>
      <c r="D121" s="67">
        <f t="shared" si="58"/>
        <v>0</v>
      </c>
      <c r="E121" s="141">
        <f t="shared" si="63"/>
        <v>0</v>
      </c>
      <c r="F121" s="141">
        <f t="shared" si="63"/>
        <v>0</v>
      </c>
      <c r="G121" s="141">
        <f t="shared" si="63"/>
        <v>0</v>
      </c>
      <c r="H121" s="141">
        <f t="shared" si="64"/>
        <v>0</v>
      </c>
      <c r="I121" s="141">
        <f t="shared" si="65"/>
        <v>0</v>
      </c>
      <c r="J121" s="141">
        <f t="shared" si="61"/>
        <v>0</v>
      </c>
      <c r="K121" s="141">
        <f t="shared" si="61"/>
        <v>0</v>
      </c>
      <c r="L121" s="141">
        <f t="shared" si="61"/>
        <v>0</v>
      </c>
      <c r="M121" s="141">
        <f t="shared" si="61"/>
        <v>0</v>
      </c>
      <c r="N121" s="141">
        <f t="shared" si="61"/>
        <v>0</v>
      </c>
      <c r="O121" s="141">
        <f t="shared" si="61"/>
        <v>0</v>
      </c>
      <c r="P121" s="141">
        <f t="shared" si="66"/>
        <v>0</v>
      </c>
      <c r="Q121" s="141">
        <f t="shared" si="67"/>
        <v>0</v>
      </c>
      <c r="R121" s="141">
        <f t="shared" si="68"/>
        <v>0</v>
      </c>
      <c r="S121" s="141">
        <f t="shared" si="69"/>
        <v>0</v>
      </c>
      <c r="T121" s="141">
        <f t="shared" si="70"/>
        <v>0</v>
      </c>
      <c r="U121" s="141">
        <f t="shared" si="71"/>
        <v>0</v>
      </c>
      <c r="V121" s="141">
        <f t="shared" si="72"/>
        <v>0</v>
      </c>
      <c r="W121" s="141">
        <f t="shared" si="73"/>
        <v>0</v>
      </c>
      <c r="X121" s="141">
        <f t="shared" si="74"/>
        <v>0</v>
      </c>
      <c r="Y121" s="141">
        <f t="shared" si="75"/>
        <v>0</v>
      </c>
      <c r="Z121" s="151"/>
    </row>
    <row r="122" spans="1:26" ht="13.5" thickBot="1" x14ac:dyDescent="0.25">
      <c r="B122" s="13"/>
      <c r="C122" s="22" t="str">
        <f>'User Input'!D162</f>
        <v>Cost 5</v>
      </c>
      <c r="D122" s="67">
        <f t="shared" si="58"/>
        <v>0</v>
      </c>
      <c r="E122" s="141">
        <f t="shared" si="63"/>
        <v>0</v>
      </c>
      <c r="F122" s="141">
        <f t="shared" si="63"/>
        <v>0</v>
      </c>
      <c r="G122" s="141">
        <f t="shared" si="63"/>
        <v>0</v>
      </c>
      <c r="H122" s="141">
        <f t="shared" ref="H122:H127" si="76">F50</f>
        <v>0</v>
      </c>
      <c r="I122" s="141">
        <f t="shared" si="65"/>
        <v>0</v>
      </c>
      <c r="J122" s="141">
        <f t="shared" si="61"/>
        <v>0</v>
      </c>
      <c r="K122" s="141">
        <f t="shared" si="61"/>
        <v>0</v>
      </c>
      <c r="L122" s="141">
        <f t="shared" si="61"/>
        <v>0</v>
      </c>
      <c r="M122" s="141">
        <f t="shared" si="61"/>
        <v>0</v>
      </c>
      <c r="N122" s="141">
        <f t="shared" si="61"/>
        <v>0</v>
      </c>
      <c r="O122" s="141">
        <f t="shared" si="61"/>
        <v>0</v>
      </c>
      <c r="P122" s="141">
        <f t="shared" si="66"/>
        <v>0</v>
      </c>
      <c r="Q122" s="141">
        <f t="shared" si="67"/>
        <v>0</v>
      </c>
      <c r="R122" s="141">
        <f t="shared" si="68"/>
        <v>0</v>
      </c>
      <c r="S122" s="141">
        <f t="shared" si="69"/>
        <v>0</v>
      </c>
      <c r="T122" s="141">
        <f t="shared" si="70"/>
        <v>0</v>
      </c>
      <c r="U122" s="141">
        <f t="shared" si="71"/>
        <v>0</v>
      </c>
      <c r="V122" s="141">
        <f t="shared" si="72"/>
        <v>0</v>
      </c>
      <c r="W122" s="141">
        <f t="shared" si="73"/>
        <v>0</v>
      </c>
      <c r="X122" s="141">
        <f t="shared" si="74"/>
        <v>0</v>
      </c>
      <c r="Y122" s="141">
        <f t="shared" si="75"/>
        <v>0</v>
      </c>
      <c r="Z122" s="151"/>
    </row>
    <row r="123" spans="1:26" ht="13.5" thickBot="1" x14ac:dyDescent="0.25">
      <c r="B123" s="13"/>
      <c r="C123" s="22" t="str">
        <f>'User Input'!D163</f>
        <v>Risk 1</v>
      </c>
      <c r="D123" s="67">
        <f t="shared" si="58"/>
        <v>0</v>
      </c>
      <c r="E123" s="141">
        <f t="shared" si="63"/>
        <v>0</v>
      </c>
      <c r="F123" s="141">
        <f t="shared" si="63"/>
        <v>0</v>
      </c>
      <c r="G123" s="141">
        <f t="shared" si="63"/>
        <v>0</v>
      </c>
      <c r="H123" s="141">
        <f t="shared" si="76"/>
        <v>0</v>
      </c>
      <c r="I123" s="141">
        <f t="shared" si="65"/>
        <v>0</v>
      </c>
      <c r="J123" s="141">
        <f t="shared" si="61"/>
        <v>0</v>
      </c>
      <c r="K123" s="141">
        <f t="shared" si="61"/>
        <v>0</v>
      </c>
      <c r="L123" s="141">
        <f t="shared" si="61"/>
        <v>0</v>
      </c>
      <c r="M123" s="141">
        <f t="shared" si="61"/>
        <v>0</v>
      </c>
      <c r="N123" s="141">
        <f t="shared" si="61"/>
        <v>0</v>
      </c>
      <c r="O123" s="141">
        <f t="shared" si="61"/>
        <v>0</v>
      </c>
      <c r="P123" s="141">
        <f t="shared" si="66"/>
        <v>0</v>
      </c>
      <c r="Q123" s="141">
        <f t="shared" si="67"/>
        <v>0</v>
      </c>
      <c r="R123" s="141">
        <f t="shared" si="68"/>
        <v>0</v>
      </c>
      <c r="S123" s="141">
        <f t="shared" si="69"/>
        <v>0</v>
      </c>
      <c r="T123" s="141">
        <f t="shared" si="70"/>
        <v>0</v>
      </c>
      <c r="U123" s="141">
        <f t="shared" si="71"/>
        <v>0</v>
      </c>
      <c r="V123" s="141">
        <f t="shared" si="72"/>
        <v>0</v>
      </c>
      <c r="W123" s="141">
        <f t="shared" si="73"/>
        <v>0</v>
      </c>
      <c r="X123" s="141">
        <f t="shared" si="74"/>
        <v>0</v>
      </c>
      <c r="Y123" s="141">
        <f t="shared" si="75"/>
        <v>0</v>
      </c>
      <c r="Z123" s="151"/>
    </row>
    <row r="124" spans="1:26" ht="13.5" thickBot="1" x14ac:dyDescent="0.25">
      <c r="B124" s="13"/>
      <c r="C124" s="22" t="str">
        <f>'User Input'!D164</f>
        <v>Risk 2</v>
      </c>
      <c r="D124" s="67">
        <f t="shared" si="58"/>
        <v>0</v>
      </c>
      <c r="E124" s="141">
        <f t="shared" si="63"/>
        <v>0</v>
      </c>
      <c r="F124" s="141">
        <f t="shared" si="63"/>
        <v>0</v>
      </c>
      <c r="G124" s="141">
        <f t="shared" si="63"/>
        <v>0</v>
      </c>
      <c r="H124" s="141">
        <f t="shared" si="76"/>
        <v>0</v>
      </c>
      <c r="I124" s="141">
        <f t="shared" si="65"/>
        <v>0</v>
      </c>
      <c r="J124" s="141">
        <f t="shared" si="61"/>
        <v>0</v>
      </c>
      <c r="K124" s="141">
        <f t="shared" si="61"/>
        <v>0</v>
      </c>
      <c r="L124" s="141">
        <f t="shared" si="61"/>
        <v>0</v>
      </c>
      <c r="M124" s="141">
        <f t="shared" si="61"/>
        <v>0</v>
      </c>
      <c r="N124" s="141">
        <f t="shared" si="61"/>
        <v>0</v>
      </c>
      <c r="O124" s="141">
        <f t="shared" si="61"/>
        <v>0</v>
      </c>
      <c r="P124" s="141">
        <f t="shared" si="66"/>
        <v>0</v>
      </c>
      <c r="Q124" s="141">
        <f t="shared" si="67"/>
        <v>0</v>
      </c>
      <c r="R124" s="141">
        <f t="shared" si="68"/>
        <v>0</v>
      </c>
      <c r="S124" s="141">
        <f t="shared" si="69"/>
        <v>0</v>
      </c>
      <c r="T124" s="141">
        <f t="shared" si="70"/>
        <v>0</v>
      </c>
      <c r="U124" s="141">
        <f t="shared" si="71"/>
        <v>0</v>
      </c>
      <c r="V124" s="141">
        <f t="shared" si="72"/>
        <v>0</v>
      </c>
      <c r="W124" s="141">
        <f t="shared" si="73"/>
        <v>0</v>
      </c>
      <c r="X124" s="141">
        <f t="shared" si="74"/>
        <v>0</v>
      </c>
      <c r="Y124" s="141">
        <f t="shared" si="75"/>
        <v>0</v>
      </c>
      <c r="Z124" s="151"/>
    </row>
    <row r="125" spans="1:26" ht="13.5" thickBot="1" x14ac:dyDescent="0.25">
      <c r="B125" s="13"/>
      <c r="C125" s="22" t="str">
        <f>'User Input'!D165</f>
        <v>Risk 3</v>
      </c>
      <c r="D125" s="67">
        <f t="shared" si="58"/>
        <v>0</v>
      </c>
      <c r="E125" s="141">
        <f t="shared" si="63"/>
        <v>0</v>
      </c>
      <c r="F125" s="141">
        <f t="shared" si="63"/>
        <v>0</v>
      </c>
      <c r="G125" s="141">
        <f t="shared" si="63"/>
        <v>0</v>
      </c>
      <c r="H125" s="141">
        <f t="shared" si="76"/>
        <v>0</v>
      </c>
      <c r="I125" s="141">
        <f t="shared" si="65"/>
        <v>0</v>
      </c>
      <c r="J125" s="141">
        <f t="shared" si="61"/>
        <v>0</v>
      </c>
      <c r="K125" s="141">
        <f t="shared" si="61"/>
        <v>0</v>
      </c>
      <c r="L125" s="141">
        <f t="shared" si="61"/>
        <v>0</v>
      </c>
      <c r="M125" s="141">
        <f t="shared" si="61"/>
        <v>0</v>
      </c>
      <c r="N125" s="141">
        <f t="shared" si="61"/>
        <v>0</v>
      </c>
      <c r="O125" s="141">
        <f t="shared" si="61"/>
        <v>0</v>
      </c>
      <c r="P125" s="141">
        <f t="shared" si="66"/>
        <v>0</v>
      </c>
      <c r="Q125" s="141">
        <f t="shared" si="67"/>
        <v>0</v>
      </c>
      <c r="R125" s="141">
        <f t="shared" si="68"/>
        <v>0</v>
      </c>
      <c r="S125" s="141">
        <f t="shared" si="69"/>
        <v>0</v>
      </c>
      <c r="T125" s="141">
        <f t="shared" si="70"/>
        <v>0</v>
      </c>
      <c r="U125" s="141">
        <f t="shared" si="71"/>
        <v>0</v>
      </c>
      <c r="V125" s="141">
        <f t="shared" si="72"/>
        <v>0</v>
      </c>
      <c r="W125" s="141">
        <f t="shared" si="73"/>
        <v>0</v>
      </c>
      <c r="X125" s="141">
        <f t="shared" si="74"/>
        <v>0</v>
      </c>
      <c r="Y125" s="141">
        <f t="shared" si="75"/>
        <v>0</v>
      </c>
      <c r="Z125" s="151"/>
    </row>
    <row r="126" spans="1:26" ht="13.5" thickBot="1" x14ac:dyDescent="0.25">
      <c r="B126" s="13"/>
      <c r="C126" s="22" t="str">
        <f>'User Input'!D166</f>
        <v>Risk 4</v>
      </c>
      <c r="D126" s="67">
        <f t="shared" si="58"/>
        <v>0</v>
      </c>
      <c r="E126" s="141">
        <f t="shared" si="63"/>
        <v>0</v>
      </c>
      <c r="F126" s="141">
        <f t="shared" si="63"/>
        <v>0</v>
      </c>
      <c r="G126" s="141">
        <f t="shared" si="63"/>
        <v>0</v>
      </c>
      <c r="H126" s="141">
        <f t="shared" si="76"/>
        <v>0</v>
      </c>
      <c r="I126" s="141">
        <f t="shared" si="65"/>
        <v>0</v>
      </c>
      <c r="J126" s="141">
        <f t="shared" si="61"/>
        <v>0</v>
      </c>
      <c r="K126" s="141">
        <f t="shared" si="61"/>
        <v>0</v>
      </c>
      <c r="L126" s="141">
        <f t="shared" si="61"/>
        <v>0</v>
      </c>
      <c r="M126" s="141">
        <f t="shared" si="61"/>
        <v>0</v>
      </c>
      <c r="N126" s="141">
        <f t="shared" si="61"/>
        <v>0</v>
      </c>
      <c r="O126" s="141">
        <f t="shared" si="61"/>
        <v>0</v>
      </c>
      <c r="P126" s="141">
        <f t="shared" si="66"/>
        <v>0</v>
      </c>
      <c r="Q126" s="141">
        <f t="shared" si="67"/>
        <v>0</v>
      </c>
      <c r="R126" s="141">
        <f t="shared" si="68"/>
        <v>0</v>
      </c>
      <c r="S126" s="141">
        <f t="shared" si="69"/>
        <v>0</v>
      </c>
      <c r="T126" s="141">
        <f t="shared" si="70"/>
        <v>0</v>
      </c>
      <c r="U126" s="141">
        <f t="shared" si="71"/>
        <v>0</v>
      </c>
      <c r="V126" s="141">
        <f t="shared" si="72"/>
        <v>0</v>
      </c>
      <c r="W126" s="141">
        <f t="shared" si="73"/>
        <v>0</v>
      </c>
      <c r="X126" s="141">
        <f t="shared" si="74"/>
        <v>0</v>
      </c>
      <c r="Y126" s="141">
        <f t="shared" si="75"/>
        <v>0</v>
      </c>
      <c r="Z126" s="151"/>
    </row>
    <row r="127" spans="1:26" ht="13.5" thickBot="1" x14ac:dyDescent="0.25">
      <c r="B127" s="13"/>
      <c r="C127" s="22" t="str">
        <f>'User Input'!D167</f>
        <v>Risk 5</v>
      </c>
      <c r="D127" s="67">
        <f t="shared" si="58"/>
        <v>0</v>
      </c>
      <c r="E127" s="141">
        <f t="shared" si="63"/>
        <v>0</v>
      </c>
      <c r="F127" s="141">
        <f t="shared" si="63"/>
        <v>0</v>
      </c>
      <c r="G127" s="141">
        <f t="shared" si="63"/>
        <v>0</v>
      </c>
      <c r="H127" s="141">
        <f t="shared" si="76"/>
        <v>0</v>
      </c>
      <c r="I127" s="141">
        <f t="shared" si="65"/>
        <v>0</v>
      </c>
      <c r="J127" s="141">
        <f t="shared" si="61"/>
        <v>0</v>
      </c>
      <c r="K127" s="141">
        <f t="shared" si="61"/>
        <v>0</v>
      </c>
      <c r="L127" s="141">
        <f t="shared" si="61"/>
        <v>0</v>
      </c>
      <c r="M127" s="141">
        <f t="shared" si="61"/>
        <v>0</v>
      </c>
      <c r="N127" s="141">
        <f t="shared" si="61"/>
        <v>0</v>
      </c>
      <c r="O127" s="141">
        <f t="shared" si="61"/>
        <v>0</v>
      </c>
      <c r="P127" s="141">
        <f t="shared" si="66"/>
        <v>0</v>
      </c>
      <c r="Q127" s="141">
        <f t="shared" si="67"/>
        <v>0</v>
      </c>
      <c r="R127" s="141">
        <f t="shared" si="68"/>
        <v>0</v>
      </c>
      <c r="S127" s="141">
        <f t="shared" si="69"/>
        <v>0</v>
      </c>
      <c r="T127" s="141">
        <f t="shared" si="70"/>
        <v>0</v>
      </c>
      <c r="U127" s="141">
        <f t="shared" si="71"/>
        <v>0</v>
      </c>
      <c r="V127" s="141">
        <f t="shared" si="72"/>
        <v>0</v>
      </c>
      <c r="W127" s="141">
        <f t="shared" si="73"/>
        <v>0</v>
      </c>
      <c r="X127" s="141">
        <f t="shared" si="74"/>
        <v>0</v>
      </c>
      <c r="Y127" s="141">
        <f t="shared" si="75"/>
        <v>0</v>
      </c>
      <c r="Z127" s="151"/>
    </row>
    <row r="128" spans="1:26" ht="13.5" thickBot="1" x14ac:dyDescent="0.25">
      <c r="B128" s="13"/>
      <c r="C128" s="53" t="s">
        <v>2</v>
      </c>
      <c r="D128" s="67">
        <f>SUM(E128:Y128)</f>
        <v>2942.0943053289493</v>
      </c>
      <c r="E128" s="68">
        <f>SUM(E109:E127)</f>
        <v>0</v>
      </c>
      <c r="F128" s="69">
        <f t="shared" ref="F128:Y128" si="77">SUM(F109:F127)</f>
        <v>127.42500000000001</v>
      </c>
      <c r="G128" s="69">
        <f t="shared" si="77"/>
        <v>259.79409000000004</v>
      </c>
      <c r="H128" s="69">
        <f t="shared" si="77"/>
        <v>1420.2341718694074</v>
      </c>
      <c r="I128" s="69">
        <f t="shared" si="77"/>
        <v>1134.6410434595421</v>
      </c>
      <c r="J128" s="69">
        <f t="shared" si="77"/>
        <v>0</v>
      </c>
      <c r="K128" s="69">
        <f t="shared" si="77"/>
        <v>0</v>
      </c>
      <c r="L128" s="69">
        <f t="shared" si="77"/>
        <v>0</v>
      </c>
      <c r="M128" s="69">
        <f t="shared" si="77"/>
        <v>0</v>
      </c>
      <c r="N128" s="69">
        <f t="shared" si="77"/>
        <v>0</v>
      </c>
      <c r="O128" s="69">
        <f t="shared" si="77"/>
        <v>0</v>
      </c>
      <c r="P128" s="69">
        <f t="shared" si="77"/>
        <v>0</v>
      </c>
      <c r="Q128" s="69">
        <f t="shared" si="77"/>
        <v>0</v>
      </c>
      <c r="R128" s="69">
        <f t="shared" si="77"/>
        <v>0</v>
      </c>
      <c r="S128" s="69">
        <f t="shared" si="77"/>
        <v>0</v>
      </c>
      <c r="T128" s="69">
        <f t="shared" si="77"/>
        <v>0</v>
      </c>
      <c r="U128" s="69">
        <f t="shared" si="77"/>
        <v>0</v>
      </c>
      <c r="V128" s="69">
        <f t="shared" si="77"/>
        <v>0</v>
      </c>
      <c r="W128" s="69">
        <f t="shared" si="77"/>
        <v>0</v>
      </c>
      <c r="X128" s="69">
        <f t="shared" si="77"/>
        <v>0</v>
      </c>
      <c r="Y128" s="150">
        <f t="shared" si="77"/>
        <v>0</v>
      </c>
      <c r="Z128" s="151"/>
    </row>
    <row r="129" spans="1:26" ht="13.5" thickBot="1" x14ac:dyDescent="0.25">
      <c r="B129" s="13"/>
      <c r="C129" s="54" t="s">
        <v>50</v>
      </c>
      <c r="D129" s="67">
        <f>SUM(E129:Y129)</f>
        <v>2257.571520852398</v>
      </c>
      <c r="E129" s="77">
        <f t="shared" ref="E129:Y129" si="78">E128/(1+$D$4)^E$7</f>
        <v>0</v>
      </c>
      <c r="F129" s="77">
        <f t="shared" si="78"/>
        <v>117.25867304683906</v>
      </c>
      <c r="G129" s="77">
        <f t="shared" si="78"/>
        <v>219.99354247528802</v>
      </c>
      <c r="H129" s="77">
        <f t="shared" si="78"/>
        <v>1106.7026674109836</v>
      </c>
      <c r="I129" s="77">
        <f t="shared" si="78"/>
        <v>813.6166379192872</v>
      </c>
      <c r="J129" s="77">
        <f t="shared" si="78"/>
        <v>0</v>
      </c>
      <c r="K129" s="77">
        <f t="shared" si="78"/>
        <v>0</v>
      </c>
      <c r="L129" s="77">
        <f t="shared" si="78"/>
        <v>0</v>
      </c>
      <c r="M129" s="77">
        <f t="shared" si="78"/>
        <v>0</v>
      </c>
      <c r="N129" s="77">
        <f t="shared" si="78"/>
        <v>0</v>
      </c>
      <c r="O129" s="77">
        <f t="shared" si="78"/>
        <v>0</v>
      </c>
      <c r="P129" s="77">
        <f t="shared" si="78"/>
        <v>0</v>
      </c>
      <c r="Q129" s="77">
        <f t="shared" si="78"/>
        <v>0</v>
      </c>
      <c r="R129" s="77">
        <f t="shared" si="78"/>
        <v>0</v>
      </c>
      <c r="S129" s="77">
        <f t="shared" si="78"/>
        <v>0</v>
      </c>
      <c r="T129" s="77">
        <f t="shared" si="78"/>
        <v>0</v>
      </c>
      <c r="U129" s="77">
        <f t="shared" si="78"/>
        <v>0</v>
      </c>
      <c r="V129" s="77">
        <f t="shared" si="78"/>
        <v>0</v>
      </c>
      <c r="W129" s="77">
        <f t="shared" si="78"/>
        <v>0</v>
      </c>
      <c r="X129" s="77">
        <f t="shared" si="78"/>
        <v>0</v>
      </c>
      <c r="Y129" s="149">
        <f t="shared" si="78"/>
        <v>0</v>
      </c>
      <c r="Z129" s="151"/>
    </row>
    <row r="130" spans="1:26" x14ac:dyDescent="0.2">
      <c r="B130" s="10"/>
      <c r="C130" s="57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6"/>
      <c r="Z130" s="157"/>
    </row>
    <row r="131" spans="1:26" x14ac:dyDescent="0.2">
      <c r="B131" s="371" t="str">
        <f>CONCATENATE($B$35," + 4yrs")</f>
        <v>Option 1: Provide In Meter Capabilities + 4yrs</v>
      </c>
      <c r="C131" s="367"/>
      <c r="D131" s="372"/>
      <c r="E131" s="369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0"/>
    </row>
    <row r="132" spans="1:26" ht="13.5" thickBot="1" x14ac:dyDescent="0.25">
      <c r="B132" s="20"/>
      <c r="C132" s="59"/>
      <c r="D132" s="5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7"/>
      <c r="Z132" s="151"/>
    </row>
    <row r="133" spans="1:26" ht="13.5" thickBot="1" x14ac:dyDescent="0.25">
      <c r="B133" s="52"/>
      <c r="C133" s="4" t="s">
        <v>76</v>
      </c>
      <c r="D133" s="67">
        <f>SUM(E133:Y133)</f>
        <v>3256.4929798523312</v>
      </c>
      <c r="E133" s="141">
        <f>E13</f>
        <v>0</v>
      </c>
      <c r="F133" s="141">
        <f t="shared" ref="F133:J148" si="79">F13</f>
        <v>127.42500000000001</v>
      </c>
      <c r="G133" s="141">
        <f t="shared" si="79"/>
        <v>259.79409000000004</v>
      </c>
      <c r="H133" s="141">
        <f t="shared" si="79"/>
        <v>264.83409534600003</v>
      </c>
      <c r="I133" s="141">
        <f>E37/E9*I9</f>
        <v>1447.7867148036739</v>
      </c>
      <c r="J133" s="141">
        <f t="shared" ref="J133:O133" si="80">F37/F9*J9</f>
        <v>1156.6530797026571</v>
      </c>
      <c r="K133" s="141">
        <f t="shared" si="80"/>
        <v>0</v>
      </c>
      <c r="L133" s="141">
        <f t="shared" si="80"/>
        <v>0</v>
      </c>
      <c r="M133" s="141">
        <f t="shared" si="80"/>
        <v>0</v>
      </c>
      <c r="N133" s="141">
        <f t="shared" si="80"/>
        <v>0</v>
      </c>
      <c r="O133" s="141">
        <f t="shared" si="80"/>
        <v>0</v>
      </c>
      <c r="P133" s="141">
        <v>0</v>
      </c>
      <c r="Q133" s="141">
        <v>0</v>
      </c>
      <c r="R133" s="141">
        <v>0</v>
      </c>
      <c r="S133" s="141">
        <v>0</v>
      </c>
      <c r="T133" s="141">
        <v>0</v>
      </c>
      <c r="U133" s="141">
        <v>0</v>
      </c>
      <c r="V133" s="141">
        <v>0</v>
      </c>
      <c r="W133" s="141">
        <v>0</v>
      </c>
      <c r="X133" s="141">
        <v>0</v>
      </c>
      <c r="Y133" s="141">
        <v>0</v>
      </c>
      <c r="Z133" s="151"/>
    </row>
    <row r="134" spans="1:26" ht="13.5" thickBot="1" x14ac:dyDescent="0.25">
      <c r="B134" s="13"/>
      <c r="C134" s="22" t="str">
        <f>'User Input'!D172</f>
        <v>Maintenance Costs</v>
      </c>
      <c r="D134" s="67">
        <f t="shared" ref="D134:D151" si="81">SUM(E134:Y134)</f>
        <v>0</v>
      </c>
      <c r="E134" s="141">
        <f>E14</f>
        <v>0</v>
      </c>
      <c r="F134" s="141">
        <f t="shared" si="79"/>
        <v>0</v>
      </c>
      <c r="G134" s="141">
        <f t="shared" si="79"/>
        <v>0</v>
      </c>
      <c r="H134" s="141">
        <f t="shared" si="79"/>
        <v>0</v>
      </c>
      <c r="I134" s="141">
        <f t="shared" si="79"/>
        <v>0</v>
      </c>
      <c r="J134" s="141">
        <f>F38</f>
        <v>0</v>
      </c>
      <c r="K134" s="141">
        <f t="shared" ref="K134:Y134" si="82">G38</f>
        <v>0</v>
      </c>
      <c r="L134" s="141">
        <f t="shared" si="82"/>
        <v>0</v>
      </c>
      <c r="M134" s="141">
        <f t="shared" si="82"/>
        <v>0</v>
      </c>
      <c r="N134" s="141">
        <f t="shared" si="82"/>
        <v>0</v>
      </c>
      <c r="O134" s="141">
        <f t="shared" si="82"/>
        <v>0</v>
      </c>
      <c r="P134" s="141">
        <f t="shared" si="82"/>
        <v>0</v>
      </c>
      <c r="Q134" s="141">
        <f t="shared" si="82"/>
        <v>0</v>
      </c>
      <c r="R134" s="141">
        <f t="shared" si="82"/>
        <v>0</v>
      </c>
      <c r="S134" s="141">
        <f t="shared" si="82"/>
        <v>0</v>
      </c>
      <c r="T134" s="141">
        <f t="shared" si="82"/>
        <v>0</v>
      </c>
      <c r="U134" s="141">
        <f t="shared" si="82"/>
        <v>0</v>
      </c>
      <c r="V134" s="141">
        <f t="shared" si="82"/>
        <v>0</v>
      </c>
      <c r="W134" s="141">
        <f t="shared" si="82"/>
        <v>0</v>
      </c>
      <c r="X134" s="141">
        <f t="shared" si="82"/>
        <v>0</v>
      </c>
      <c r="Y134" s="141">
        <f t="shared" si="82"/>
        <v>0</v>
      </c>
      <c r="Z134" s="151"/>
    </row>
    <row r="135" spans="1:26" ht="13.5" thickBot="1" x14ac:dyDescent="0.25">
      <c r="B135" s="13"/>
      <c r="C135" s="137" t="str">
        <f>'User Input'!D174</f>
        <v>Negative Impact on Revenue (STPIS)</v>
      </c>
      <c r="D135" s="195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46"/>
      <c r="Z135" s="151"/>
    </row>
    <row r="136" spans="1:26" ht="13.5" thickBot="1" x14ac:dyDescent="0.25">
      <c r="B136" s="13"/>
      <c r="C136" s="140" t="str">
        <f>'User Input'!D175</f>
        <v>SAIFI sustained</v>
      </c>
      <c r="D136" s="67">
        <f t="shared" si="81"/>
        <v>0</v>
      </c>
      <c r="E136" s="259">
        <v>0</v>
      </c>
      <c r="F136" s="259">
        <v>0</v>
      </c>
      <c r="G136" s="697">
        <v>0</v>
      </c>
      <c r="H136" s="697">
        <v>0</v>
      </c>
      <c r="I136" s="141">
        <f t="shared" si="79"/>
        <v>0</v>
      </c>
      <c r="J136" s="141">
        <f t="shared" si="79"/>
        <v>0</v>
      </c>
      <c r="K136" s="141">
        <f t="shared" ref="K136:P151" si="83">G40</f>
        <v>0</v>
      </c>
      <c r="L136" s="141">
        <f t="shared" si="83"/>
        <v>0</v>
      </c>
      <c r="M136" s="141">
        <f t="shared" si="83"/>
        <v>0</v>
      </c>
      <c r="N136" s="141">
        <f t="shared" si="83"/>
        <v>0</v>
      </c>
      <c r="O136" s="141">
        <f t="shared" si="83"/>
        <v>0</v>
      </c>
      <c r="P136" s="141">
        <f t="shared" si="83"/>
        <v>0</v>
      </c>
      <c r="Q136" s="141">
        <f t="shared" ref="Q136:Y139" si="84">Q40</f>
        <v>0</v>
      </c>
      <c r="R136" s="141">
        <f t="shared" si="84"/>
        <v>0</v>
      </c>
      <c r="S136" s="141">
        <f t="shared" si="84"/>
        <v>0</v>
      </c>
      <c r="T136" s="141">
        <f t="shared" si="84"/>
        <v>0</v>
      </c>
      <c r="U136" s="141">
        <f t="shared" si="84"/>
        <v>0</v>
      </c>
      <c r="V136" s="141">
        <f t="shared" si="84"/>
        <v>0</v>
      </c>
      <c r="W136" s="141">
        <f t="shared" si="84"/>
        <v>0</v>
      </c>
      <c r="X136" s="141">
        <f t="shared" si="84"/>
        <v>0</v>
      </c>
      <c r="Y136" s="141">
        <f t="shared" si="84"/>
        <v>0</v>
      </c>
      <c r="Z136" s="151"/>
    </row>
    <row r="137" spans="1:26" ht="13.5" thickBot="1" x14ac:dyDescent="0.25">
      <c r="B137" s="13"/>
      <c r="C137" s="140" t="str">
        <f>'User Input'!D176</f>
        <v>SAIDI accidental</v>
      </c>
      <c r="D137" s="67">
        <f>SUM(E137:Y137)</f>
        <v>0</v>
      </c>
      <c r="E137" s="259">
        <v>0</v>
      </c>
      <c r="F137" s="259">
        <v>0</v>
      </c>
      <c r="G137" s="697">
        <v>0</v>
      </c>
      <c r="H137" s="697">
        <v>0</v>
      </c>
      <c r="I137" s="141">
        <f t="shared" si="79"/>
        <v>0</v>
      </c>
      <c r="J137" s="141">
        <f t="shared" si="79"/>
        <v>0</v>
      </c>
      <c r="K137" s="141">
        <f t="shared" si="83"/>
        <v>0</v>
      </c>
      <c r="L137" s="141">
        <f t="shared" si="83"/>
        <v>0</v>
      </c>
      <c r="M137" s="141">
        <f t="shared" si="83"/>
        <v>0</v>
      </c>
      <c r="N137" s="141">
        <f t="shared" si="83"/>
        <v>0</v>
      </c>
      <c r="O137" s="141">
        <f t="shared" si="83"/>
        <v>0</v>
      </c>
      <c r="P137" s="141">
        <f t="shared" si="83"/>
        <v>0</v>
      </c>
      <c r="Q137" s="141">
        <f t="shared" si="84"/>
        <v>0</v>
      </c>
      <c r="R137" s="141">
        <f t="shared" si="84"/>
        <v>0</v>
      </c>
      <c r="S137" s="141">
        <f t="shared" si="84"/>
        <v>0</v>
      </c>
      <c r="T137" s="141">
        <f t="shared" si="84"/>
        <v>0</v>
      </c>
      <c r="U137" s="141">
        <f t="shared" si="84"/>
        <v>0</v>
      </c>
      <c r="V137" s="141">
        <f t="shared" si="84"/>
        <v>0</v>
      </c>
      <c r="W137" s="141">
        <f t="shared" si="84"/>
        <v>0</v>
      </c>
      <c r="X137" s="141">
        <f t="shared" si="84"/>
        <v>0</v>
      </c>
      <c r="Y137" s="141">
        <f t="shared" si="84"/>
        <v>0</v>
      </c>
      <c r="Z137" s="151"/>
    </row>
    <row r="138" spans="1:26" ht="13.5" thickBot="1" x14ac:dyDescent="0.25">
      <c r="B138" s="13"/>
      <c r="C138" s="140" t="str">
        <f>'User Input'!D177</f>
        <v>MAIFI momentary</v>
      </c>
      <c r="D138" s="67">
        <f t="shared" si="81"/>
        <v>0</v>
      </c>
      <c r="E138" s="259">
        <v>0</v>
      </c>
      <c r="F138" s="259">
        <v>0</v>
      </c>
      <c r="G138" s="697">
        <v>0</v>
      </c>
      <c r="H138" s="697">
        <v>0</v>
      </c>
      <c r="I138" s="141">
        <f t="shared" si="79"/>
        <v>0</v>
      </c>
      <c r="J138" s="141">
        <f t="shared" si="79"/>
        <v>0</v>
      </c>
      <c r="K138" s="141">
        <f t="shared" si="83"/>
        <v>0</v>
      </c>
      <c r="L138" s="141">
        <f t="shared" si="83"/>
        <v>0</v>
      </c>
      <c r="M138" s="141">
        <f t="shared" si="83"/>
        <v>0</v>
      </c>
      <c r="N138" s="141">
        <f t="shared" si="83"/>
        <v>0</v>
      </c>
      <c r="O138" s="141">
        <f t="shared" si="83"/>
        <v>0</v>
      </c>
      <c r="P138" s="141">
        <f t="shared" si="83"/>
        <v>0</v>
      </c>
      <c r="Q138" s="141">
        <f t="shared" si="84"/>
        <v>0</v>
      </c>
      <c r="R138" s="141">
        <f t="shared" si="84"/>
        <v>0</v>
      </c>
      <c r="S138" s="141">
        <f t="shared" si="84"/>
        <v>0</v>
      </c>
      <c r="T138" s="141">
        <f t="shared" si="84"/>
        <v>0</v>
      </c>
      <c r="U138" s="141">
        <f t="shared" si="84"/>
        <v>0</v>
      </c>
      <c r="V138" s="141">
        <f t="shared" si="84"/>
        <v>0</v>
      </c>
      <c r="W138" s="141">
        <f t="shared" si="84"/>
        <v>0</v>
      </c>
      <c r="X138" s="141">
        <f t="shared" si="84"/>
        <v>0</v>
      </c>
      <c r="Y138" s="141">
        <f t="shared" si="84"/>
        <v>0</v>
      </c>
      <c r="Z138" s="151"/>
    </row>
    <row r="139" spans="1:26" ht="13.5" thickBot="1" x14ac:dyDescent="0.25">
      <c r="B139" s="13"/>
      <c r="C139" s="140" t="str">
        <f>'User Input'!D178</f>
        <v>Call centre response</v>
      </c>
      <c r="D139" s="67">
        <f t="shared" si="81"/>
        <v>0</v>
      </c>
      <c r="E139" s="259">
        <v>0</v>
      </c>
      <c r="F139" s="259">
        <v>0</v>
      </c>
      <c r="G139" s="697">
        <v>0</v>
      </c>
      <c r="H139" s="697">
        <v>0</v>
      </c>
      <c r="I139" s="141">
        <f t="shared" si="79"/>
        <v>0</v>
      </c>
      <c r="J139" s="141">
        <f t="shared" si="79"/>
        <v>0</v>
      </c>
      <c r="K139" s="141">
        <f t="shared" si="83"/>
        <v>0</v>
      </c>
      <c r="L139" s="141">
        <f t="shared" si="83"/>
        <v>0</v>
      </c>
      <c r="M139" s="141">
        <f t="shared" si="83"/>
        <v>0</v>
      </c>
      <c r="N139" s="141">
        <f t="shared" si="83"/>
        <v>0</v>
      </c>
      <c r="O139" s="141">
        <f t="shared" si="83"/>
        <v>0</v>
      </c>
      <c r="P139" s="141">
        <f t="shared" si="83"/>
        <v>0</v>
      </c>
      <c r="Q139" s="141">
        <f t="shared" si="84"/>
        <v>0</v>
      </c>
      <c r="R139" s="141">
        <f t="shared" si="84"/>
        <v>0</v>
      </c>
      <c r="S139" s="141">
        <f t="shared" si="84"/>
        <v>0</v>
      </c>
      <c r="T139" s="141">
        <f t="shared" si="84"/>
        <v>0</v>
      </c>
      <c r="U139" s="141">
        <f t="shared" si="84"/>
        <v>0</v>
      </c>
      <c r="V139" s="141">
        <f t="shared" si="84"/>
        <v>0</v>
      </c>
      <c r="W139" s="141">
        <f t="shared" si="84"/>
        <v>0</v>
      </c>
      <c r="X139" s="141">
        <f t="shared" si="84"/>
        <v>0</v>
      </c>
      <c r="Y139" s="141">
        <f t="shared" si="84"/>
        <v>0</v>
      </c>
      <c r="Z139" s="151"/>
    </row>
    <row r="140" spans="1:26" ht="13.5" thickBot="1" x14ac:dyDescent="0.25">
      <c r="A140" s="138"/>
      <c r="B140" s="142"/>
      <c r="C140" s="137" t="str">
        <f>'User Input'!D180</f>
        <v>Network Outage Costs</v>
      </c>
      <c r="D140" s="67">
        <f t="shared" si="81"/>
        <v>0</v>
      </c>
      <c r="E140" s="141">
        <f t="shared" ref="E140:H151" si="85">E20</f>
        <v>0</v>
      </c>
      <c r="F140" s="141">
        <f t="shared" si="79"/>
        <v>0</v>
      </c>
      <c r="G140" s="141">
        <f t="shared" si="79"/>
        <v>0</v>
      </c>
      <c r="H140" s="141">
        <f t="shared" si="79"/>
        <v>0</v>
      </c>
      <c r="I140" s="141">
        <f t="shared" ref="I140:I151" si="86">I44</f>
        <v>0</v>
      </c>
      <c r="J140" s="141">
        <f t="shared" ref="J140:J151" si="87">F44</f>
        <v>0</v>
      </c>
      <c r="K140" s="141">
        <f t="shared" si="83"/>
        <v>0</v>
      </c>
      <c r="L140" s="141">
        <f t="shared" si="83"/>
        <v>0</v>
      </c>
      <c r="M140" s="141">
        <f t="shared" si="83"/>
        <v>0</v>
      </c>
      <c r="N140" s="141">
        <f t="shared" si="83"/>
        <v>0</v>
      </c>
      <c r="O140" s="141">
        <f t="shared" si="83"/>
        <v>0</v>
      </c>
      <c r="P140" s="141">
        <f t="shared" si="83"/>
        <v>0</v>
      </c>
      <c r="Q140" s="141">
        <f t="shared" ref="Q140:Q151" si="88">M44</f>
        <v>0</v>
      </c>
      <c r="R140" s="141">
        <f t="shared" ref="R140:R151" si="89">N44</f>
        <v>0</v>
      </c>
      <c r="S140" s="141">
        <f t="shared" ref="S140:S151" si="90">O44</f>
        <v>0</v>
      </c>
      <c r="T140" s="141">
        <f t="shared" ref="T140:T151" si="91">P44</f>
        <v>0</v>
      </c>
      <c r="U140" s="141">
        <f t="shared" ref="U140:U151" si="92">Q44</f>
        <v>0</v>
      </c>
      <c r="V140" s="141">
        <f t="shared" ref="V140:V151" si="93">R44</f>
        <v>0</v>
      </c>
      <c r="W140" s="141">
        <f t="shared" ref="W140:W151" si="94">S44</f>
        <v>0</v>
      </c>
      <c r="X140" s="141">
        <f t="shared" ref="X140:X151" si="95">T44</f>
        <v>0</v>
      </c>
      <c r="Y140" s="141">
        <f t="shared" ref="Y140:Y151" si="96">U44</f>
        <v>0</v>
      </c>
      <c r="Z140" s="151"/>
    </row>
    <row r="141" spans="1:26" ht="13.5" thickBot="1" x14ac:dyDescent="0.25">
      <c r="A141" s="138"/>
      <c r="B141" s="142"/>
      <c r="C141" s="137" t="str">
        <f>'User Input'!D184</f>
        <v>Loss of F Factor Benefit</v>
      </c>
      <c r="D141" s="67">
        <f t="shared" si="81"/>
        <v>0</v>
      </c>
      <c r="E141" s="141">
        <f t="shared" si="85"/>
        <v>0</v>
      </c>
      <c r="F141" s="141">
        <f t="shared" si="79"/>
        <v>0</v>
      </c>
      <c r="G141" s="141">
        <f t="shared" si="79"/>
        <v>0</v>
      </c>
      <c r="H141" s="141">
        <f t="shared" si="79"/>
        <v>0</v>
      </c>
      <c r="I141" s="141">
        <f t="shared" si="86"/>
        <v>0</v>
      </c>
      <c r="J141" s="141">
        <f t="shared" si="87"/>
        <v>0</v>
      </c>
      <c r="K141" s="141">
        <f t="shared" si="83"/>
        <v>0</v>
      </c>
      <c r="L141" s="141">
        <f t="shared" si="83"/>
        <v>0</v>
      </c>
      <c r="M141" s="141">
        <f t="shared" si="83"/>
        <v>0</v>
      </c>
      <c r="N141" s="141">
        <f t="shared" si="83"/>
        <v>0</v>
      </c>
      <c r="O141" s="141">
        <f t="shared" si="83"/>
        <v>0</v>
      </c>
      <c r="P141" s="141">
        <f t="shared" si="83"/>
        <v>0</v>
      </c>
      <c r="Q141" s="141">
        <f t="shared" si="88"/>
        <v>0</v>
      </c>
      <c r="R141" s="141">
        <f t="shared" si="89"/>
        <v>0</v>
      </c>
      <c r="S141" s="141">
        <f t="shared" si="90"/>
        <v>0</v>
      </c>
      <c r="T141" s="141">
        <f t="shared" si="91"/>
        <v>0</v>
      </c>
      <c r="U141" s="141">
        <f t="shared" si="92"/>
        <v>0</v>
      </c>
      <c r="V141" s="141">
        <f t="shared" si="93"/>
        <v>0</v>
      </c>
      <c r="W141" s="141">
        <f t="shared" si="94"/>
        <v>0</v>
      </c>
      <c r="X141" s="141">
        <f t="shared" si="95"/>
        <v>0</v>
      </c>
      <c r="Y141" s="141">
        <f t="shared" si="96"/>
        <v>0</v>
      </c>
      <c r="Z141" s="151"/>
    </row>
    <row r="142" spans="1:26" ht="13.5" thickBot="1" x14ac:dyDescent="0.25">
      <c r="B142" s="13"/>
      <c r="C142" s="22" t="str">
        <f>'User Input'!D187</f>
        <v>Cost 1</v>
      </c>
      <c r="D142" s="67">
        <f t="shared" si="81"/>
        <v>0</v>
      </c>
      <c r="E142" s="141">
        <f t="shared" si="85"/>
        <v>0</v>
      </c>
      <c r="F142" s="141">
        <f t="shared" si="79"/>
        <v>0</v>
      </c>
      <c r="G142" s="141">
        <f t="shared" si="79"/>
        <v>0</v>
      </c>
      <c r="H142" s="141">
        <f t="shared" si="79"/>
        <v>0</v>
      </c>
      <c r="I142" s="141">
        <f t="shared" si="86"/>
        <v>0</v>
      </c>
      <c r="J142" s="141">
        <f t="shared" si="87"/>
        <v>0</v>
      </c>
      <c r="K142" s="141">
        <f t="shared" si="83"/>
        <v>0</v>
      </c>
      <c r="L142" s="141">
        <f t="shared" si="83"/>
        <v>0</v>
      </c>
      <c r="M142" s="141">
        <f t="shared" si="83"/>
        <v>0</v>
      </c>
      <c r="N142" s="141">
        <f t="shared" si="83"/>
        <v>0</v>
      </c>
      <c r="O142" s="141">
        <f t="shared" si="83"/>
        <v>0</v>
      </c>
      <c r="P142" s="141">
        <f t="shared" si="83"/>
        <v>0</v>
      </c>
      <c r="Q142" s="141">
        <f t="shared" si="88"/>
        <v>0</v>
      </c>
      <c r="R142" s="141">
        <f t="shared" si="89"/>
        <v>0</v>
      </c>
      <c r="S142" s="141">
        <f t="shared" si="90"/>
        <v>0</v>
      </c>
      <c r="T142" s="141">
        <f t="shared" si="91"/>
        <v>0</v>
      </c>
      <c r="U142" s="141">
        <f t="shared" si="92"/>
        <v>0</v>
      </c>
      <c r="V142" s="141">
        <f t="shared" si="93"/>
        <v>0</v>
      </c>
      <c r="W142" s="141">
        <f t="shared" si="94"/>
        <v>0</v>
      </c>
      <c r="X142" s="141">
        <f t="shared" si="95"/>
        <v>0</v>
      </c>
      <c r="Y142" s="141">
        <f t="shared" si="96"/>
        <v>0</v>
      </c>
      <c r="Z142" s="151"/>
    </row>
    <row r="143" spans="1:26" ht="13.5" thickBot="1" x14ac:dyDescent="0.25">
      <c r="B143" s="13"/>
      <c r="C143" s="22" t="str">
        <f>'User Input'!D188</f>
        <v>Cost 2</v>
      </c>
      <c r="D143" s="67">
        <f t="shared" si="81"/>
        <v>0</v>
      </c>
      <c r="E143" s="141">
        <f t="shared" si="85"/>
        <v>0</v>
      </c>
      <c r="F143" s="141">
        <f t="shared" si="79"/>
        <v>0</v>
      </c>
      <c r="G143" s="141">
        <f t="shared" si="79"/>
        <v>0</v>
      </c>
      <c r="H143" s="141">
        <f t="shared" si="79"/>
        <v>0</v>
      </c>
      <c r="I143" s="141">
        <f t="shared" si="86"/>
        <v>0</v>
      </c>
      <c r="J143" s="141">
        <f t="shared" si="87"/>
        <v>0</v>
      </c>
      <c r="K143" s="141">
        <f t="shared" si="83"/>
        <v>0</v>
      </c>
      <c r="L143" s="141">
        <f t="shared" si="83"/>
        <v>0</v>
      </c>
      <c r="M143" s="141">
        <f t="shared" si="83"/>
        <v>0</v>
      </c>
      <c r="N143" s="141">
        <f t="shared" si="83"/>
        <v>0</v>
      </c>
      <c r="O143" s="141">
        <f t="shared" si="83"/>
        <v>0</v>
      </c>
      <c r="P143" s="141">
        <f t="shared" si="83"/>
        <v>0</v>
      </c>
      <c r="Q143" s="141">
        <f t="shared" si="88"/>
        <v>0</v>
      </c>
      <c r="R143" s="141">
        <f t="shared" si="89"/>
        <v>0</v>
      </c>
      <c r="S143" s="141">
        <f t="shared" si="90"/>
        <v>0</v>
      </c>
      <c r="T143" s="141">
        <f t="shared" si="91"/>
        <v>0</v>
      </c>
      <c r="U143" s="141">
        <f t="shared" si="92"/>
        <v>0</v>
      </c>
      <c r="V143" s="141">
        <f t="shared" si="93"/>
        <v>0</v>
      </c>
      <c r="W143" s="141">
        <f t="shared" si="94"/>
        <v>0</v>
      </c>
      <c r="X143" s="141">
        <f t="shared" si="95"/>
        <v>0</v>
      </c>
      <c r="Y143" s="141">
        <f t="shared" si="96"/>
        <v>0</v>
      </c>
      <c r="Z143" s="151"/>
    </row>
    <row r="144" spans="1:26" ht="13.5" thickBot="1" x14ac:dyDescent="0.25">
      <c r="B144" s="13"/>
      <c r="C144" s="22" t="str">
        <f>'User Input'!D189</f>
        <v>Cost 3</v>
      </c>
      <c r="D144" s="67">
        <f t="shared" si="81"/>
        <v>0</v>
      </c>
      <c r="E144" s="141">
        <f t="shared" si="85"/>
        <v>0</v>
      </c>
      <c r="F144" s="141">
        <f t="shared" si="79"/>
        <v>0</v>
      </c>
      <c r="G144" s="141">
        <f t="shared" si="79"/>
        <v>0</v>
      </c>
      <c r="H144" s="141">
        <f t="shared" si="79"/>
        <v>0</v>
      </c>
      <c r="I144" s="141">
        <f t="shared" si="86"/>
        <v>0</v>
      </c>
      <c r="J144" s="141">
        <f t="shared" si="87"/>
        <v>0</v>
      </c>
      <c r="K144" s="141">
        <f t="shared" si="83"/>
        <v>0</v>
      </c>
      <c r="L144" s="141">
        <f t="shared" si="83"/>
        <v>0</v>
      </c>
      <c r="M144" s="141">
        <f t="shared" si="83"/>
        <v>0</v>
      </c>
      <c r="N144" s="141">
        <f t="shared" si="83"/>
        <v>0</v>
      </c>
      <c r="O144" s="141">
        <f t="shared" si="83"/>
        <v>0</v>
      </c>
      <c r="P144" s="141">
        <f t="shared" si="83"/>
        <v>0</v>
      </c>
      <c r="Q144" s="141">
        <f t="shared" si="88"/>
        <v>0</v>
      </c>
      <c r="R144" s="141">
        <f t="shared" si="89"/>
        <v>0</v>
      </c>
      <c r="S144" s="141">
        <f t="shared" si="90"/>
        <v>0</v>
      </c>
      <c r="T144" s="141">
        <f t="shared" si="91"/>
        <v>0</v>
      </c>
      <c r="U144" s="141">
        <f t="shared" si="92"/>
        <v>0</v>
      </c>
      <c r="V144" s="141">
        <f t="shared" si="93"/>
        <v>0</v>
      </c>
      <c r="W144" s="141">
        <f t="shared" si="94"/>
        <v>0</v>
      </c>
      <c r="X144" s="141">
        <f t="shared" si="95"/>
        <v>0</v>
      </c>
      <c r="Y144" s="141">
        <f t="shared" si="96"/>
        <v>0</v>
      </c>
      <c r="Z144" s="151"/>
    </row>
    <row r="145" spans="1:26" ht="13.5" thickBot="1" x14ac:dyDescent="0.25">
      <c r="B145" s="13"/>
      <c r="C145" s="22" t="str">
        <f>'User Input'!D190</f>
        <v>Cost 4</v>
      </c>
      <c r="D145" s="67">
        <f t="shared" si="81"/>
        <v>0</v>
      </c>
      <c r="E145" s="141">
        <f t="shared" si="85"/>
        <v>0</v>
      </c>
      <c r="F145" s="141">
        <f t="shared" si="79"/>
        <v>0</v>
      </c>
      <c r="G145" s="141">
        <f t="shared" si="79"/>
        <v>0</v>
      </c>
      <c r="H145" s="141">
        <f t="shared" si="79"/>
        <v>0</v>
      </c>
      <c r="I145" s="141">
        <f t="shared" si="86"/>
        <v>0</v>
      </c>
      <c r="J145" s="141">
        <f t="shared" si="87"/>
        <v>0</v>
      </c>
      <c r="K145" s="141">
        <f t="shared" si="83"/>
        <v>0</v>
      </c>
      <c r="L145" s="141">
        <f t="shared" si="83"/>
        <v>0</v>
      </c>
      <c r="M145" s="141">
        <f t="shared" si="83"/>
        <v>0</v>
      </c>
      <c r="N145" s="141">
        <f t="shared" si="83"/>
        <v>0</v>
      </c>
      <c r="O145" s="141">
        <f t="shared" si="83"/>
        <v>0</v>
      </c>
      <c r="P145" s="141">
        <f t="shared" si="83"/>
        <v>0</v>
      </c>
      <c r="Q145" s="141">
        <f t="shared" si="88"/>
        <v>0</v>
      </c>
      <c r="R145" s="141">
        <f t="shared" si="89"/>
        <v>0</v>
      </c>
      <c r="S145" s="141">
        <f t="shared" si="90"/>
        <v>0</v>
      </c>
      <c r="T145" s="141">
        <f t="shared" si="91"/>
        <v>0</v>
      </c>
      <c r="U145" s="141">
        <f t="shared" si="92"/>
        <v>0</v>
      </c>
      <c r="V145" s="141">
        <f t="shared" si="93"/>
        <v>0</v>
      </c>
      <c r="W145" s="141">
        <f t="shared" si="94"/>
        <v>0</v>
      </c>
      <c r="X145" s="141">
        <f t="shared" si="95"/>
        <v>0</v>
      </c>
      <c r="Y145" s="141">
        <f t="shared" si="96"/>
        <v>0</v>
      </c>
      <c r="Z145" s="151"/>
    </row>
    <row r="146" spans="1:26" ht="13.5" thickBot="1" x14ac:dyDescent="0.25">
      <c r="B146" s="13"/>
      <c r="C146" s="22" t="str">
        <f>'User Input'!D191</f>
        <v>Cost 5</v>
      </c>
      <c r="D146" s="67">
        <f t="shared" si="81"/>
        <v>0</v>
      </c>
      <c r="E146" s="141">
        <f t="shared" si="85"/>
        <v>0</v>
      </c>
      <c r="F146" s="141">
        <f t="shared" si="79"/>
        <v>0</v>
      </c>
      <c r="G146" s="141">
        <f t="shared" si="79"/>
        <v>0</v>
      </c>
      <c r="H146" s="141">
        <f t="shared" si="79"/>
        <v>0</v>
      </c>
      <c r="I146" s="141">
        <f t="shared" si="86"/>
        <v>0</v>
      </c>
      <c r="J146" s="141">
        <f t="shared" si="87"/>
        <v>0</v>
      </c>
      <c r="K146" s="141">
        <f t="shared" si="83"/>
        <v>0</v>
      </c>
      <c r="L146" s="141">
        <f t="shared" si="83"/>
        <v>0</v>
      </c>
      <c r="M146" s="141">
        <f t="shared" si="83"/>
        <v>0</v>
      </c>
      <c r="N146" s="141">
        <f t="shared" si="83"/>
        <v>0</v>
      </c>
      <c r="O146" s="141">
        <f t="shared" si="83"/>
        <v>0</v>
      </c>
      <c r="P146" s="141">
        <f t="shared" si="83"/>
        <v>0</v>
      </c>
      <c r="Q146" s="141">
        <f t="shared" si="88"/>
        <v>0</v>
      </c>
      <c r="R146" s="141">
        <f t="shared" si="89"/>
        <v>0</v>
      </c>
      <c r="S146" s="141">
        <f t="shared" si="90"/>
        <v>0</v>
      </c>
      <c r="T146" s="141">
        <f t="shared" si="91"/>
        <v>0</v>
      </c>
      <c r="U146" s="141">
        <f t="shared" si="92"/>
        <v>0</v>
      </c>
      <c r="V146" s="141">
        <f t="shared" si="93"/>
        <v>0</v>
      </c>
      <c r="W146" s="141">
        <f t="shared" si="94"/>
        <v>0</v>
      </c>
      <c r="X146" s="141">
        <f t="shared" si="95"/>
        <v>0</v>
      </c>
      <c r="Y146" s="141">
        <f t="shared" si="96"/>
        <v>0</v>
      </c>
      <c r="Z146" s="151"/>
    </row>
    <row r="147" spans="1:26" ht="13.5" thickBot="1" x14ac:dyDescent="0.25">
      <c r="B147" s="13"/>
      <c r="C147" s="22" t="str">
        <f>'User Input'!D192</f>
        <v>Risk 1</v>
      </c>
      <c r="D147" s="67">
        <f t="shared" si="81"/>
        <v>0</v>
      </c>
      <c r="E147" s="141">
        <f t="shared" si="85"/>
        <v>0</v>
      </c>
      <c r="F147" s="141">
        <f t="shared" si="79"/>
        <v>0</v>
      </c>
      <c r="G147" s="141">
        <f t="shared" si="79"/>
        <v>0</v>
      </c>
      <c r="H147" s="141">
        <f t="shared" si="79"/>
        <v>0</v>
      </c>
      <c r="I147" s="141">
        <f t="shared" si="86"/>
        <v>0</v>
      </c>
      <c r="J147" s="141">
        <f t="shared" si="87"/>
        <v>0</v>
      </c>
      <c r="K147" s="141">
        <f t="shared" si="83"/>
        <v>0</v>
      </c>
      <c r="L147" s="141">
        <f t="shared" si="83"/>
        <v>0</v>
      </c>
      <c r="M147" s="141">
        <f t="shared" si="83"/>
        <v>0</v>
      </c>
      <c r="N147" s="141">
        <f t="shared" si="83"/>
        <v>0</v>
      </c>
      <c r="O147" s="141">
        <f t="shared" si="83"/>
        <v>0</v>
      </c>
      <c r="P147" s="141">
        <f t="shared" si="83"/>
        <v>0</v>
      </c>
      <c r="Q147" s="141">
        <f t="shared" si="88"/>
        <v>0</v>
      </c>
      <c r="R147" s="141">
        <f t="shared" si="89"/>
        <v>0</v>
      </c>
      <c r="S147" s="141">
        <f t="shared" si="90"/>
        <v>0</v>
      </c>
      <c r="T147" s="141">
        <f t="shared" si="91"/>
        <v>0</v>
      </c>
      <c r="U147" s="141">
        <f t="shared" si="92"/>
        <v>0</v>
      </c>
      <c r="V147" s="141">
        <f t="shared" si="93"/>
        <v>0</v>
      </c>
      <c r="W147" s="141">
        <f t="shared" si="94"/>
        <v>0</v>
      </c>
      <c r="X147" s="141">
        <f t="shared" si="95"/>
        <v>0</v>
      </c>
      <c r="Y147" s="141">
        <f t="shared" si="96"/>
        <v>0</v>
      </c>
      <c r="Z147" s="151"/>
    </row>
    <row r="148" spans="1:26" ht="13.5" thickBot="1" x14ac:dyDescent="0.25">
      <c r="B148" s="13"/>
      <c r="C148" s="22" t="str">
        <f>'User Input'!D193</f>
        <v>Risk 2</v>
      </c>
      <c r="D148" s="67">
        <f t="shared" si="81"/>
        <v>0</v>
      </c>
      <c r="E148" s="141">
        <f t="shared" si="85"/>
        <v>0</v>
      </c>
      <c r="F148" s="141">
        <f t="shared" si="79"/>
        <v>0</v>
      </c>
      <c r="G148" s="141">
        <f t="shared" si="79"/>
        <v>0</v>
      </c>
      <c r="H148" s="141">
        <f t="shared" si="79"/>
        <v>0</v>
      </c>
      <c r="I148" s="141">
        <f t="shared" si="86"/>
        <v>0</v>
      </c>
      <c r="J148" s="141">
        <f t="shared" si="87"/>
        <v>0</v>
      </c>
      <c r="K148" s="141">
        <f t="shared" si="83"/>
        <v>0</v>
      </c>
      <c r="L148" s="141">
        <f t="shared" si="83"/>
        <v>0</v>
      </c>
      <c r="M148" s="141">
        <f t="shared" si="83"/>
        <v>0</v>
      </c>
      <c r="N148" s="141">
        <f t="shared" si="83"/>
        <v>0</v>
      </c>
      <c r="O148" s="141">
        <f t="shared" si="83"/>
        <v>0</v>
      </c>
      <c r="P148" s="141">
        <f t="shared" si="83"/>
        <v>0</v>
      </c>
      <c r="Q148" s="141">
        <f t="shared" si="88"/>
        <v>0</v>
      </c>
      <c r="R148" s="141">
        <f t="shared" si="89"/>
        <v>0</v>
      </c>
      <c r="S148" s="141">
        <f t="shared" si="90"/>
        <v>0</v>
      </c>
      <c r="T148" s="141">
        <f t="shared" si="91"/>
        <v>0</v>
      </c>
      <c r="U148" s="141">
        <f t="shared" si="92"/>
        <v>0</v>
      </c>
      <c r="V148" s="141">
        <f t="shared" si="93"/>
        <v>0</v>
      </c>
      <c r="W148" s="141">
        <f t="shared" si="94"/>
        <v>0</v>
      </c>
      <c r="X148" s="141">
        <f t="shared" si="95"/>
        <v>0</v>
      </c>
      <c r="Y148" s="141">
        <f t="shared" si="96"/>
        <v>0</v>
      </c>
      <c r="Z148" s="151"/>
    </row>
    <row r="149" spans="1:26" ht="13.5" thickBot="1" x14ac:dyDescent="0.25">
      <c r="B149" s="13"/>
      <c r="C149" s="22" t="str">
        <f>'User Input'!D194</f>
        <v>Risk 3</v>
      </c>
      <c r="D149" s="67">
        <f t="shared" si="81"/>
        <v>0</v>
      </c>
      <c r="E149" s="141">
        <f t="shared" si="85"/>
        <v>0</v>
      </c>
      <c r="F149" s="141">
        <f t="shared" si="85"/>
        <v>0</v>
      </c>
      <c r="G149" s="141">
        <f t="shared" si="85"/>
        <v>0</v>
      </c>
      <c r="H149" s="141">
        <f t="shared" si="85"/>
        <v>0</v>
      </c>
      <c r="I149" s="141">
        <f t="shared" si="86"/>
        <v>0</v>
      </c>
      <c r="J149" s="141">
        <f t="shared" si="87"/>
        <v>0</v>
      </c>
      <c r="K149" s="141">
        <f t="shared" si="83"/>
        <v>0</v>
      </c>
      <c r="L149" s="141">
        <f t="shared" si="83"/>
        <v>0</v>
      </c>
      <c r="M149" s="141">
        <f t="shared" si="83"/>
        <v>0</v>
      </c>
      <c r="N149" s="141">
        <f t="shared" si="83"/>
        <v>0</v>
      </c>
      <c r="O149" s="141">
        <f t="shared" si="83"/>
        <v>0</v>
      </c>
      <c r="P149" s="141">
        <f t="shared" si="83"/>
        <v>0</v>
      </c>
      <c r="Q149" s="141">
        <f t="shared" si="88"/>
        <v>0</v>
      </c>
      <c r="R149" s="141">
        <f t="shared" si="89"/>
        <v>0</v>
      </c>
      <c r="S149" s="141">
        <f t="shared" si="90"/>
        <v>0</v>
      </c>
      <c r="T149" s="141">
        <f t="shared" si="91"/>
        <v>0</v>
      </c>
      <c r="U149" s="141">
        <f t="shared" si="92"/>
        <v>0</v>
      </c>
      <c r="V149" s="141">
        <f t="shared" si="93"/>
        <v>0</v>
      </c>
      <c r="W149" s="141">
        <f t="shared" si="94"/>
        <v>0</v>
      </c>
      <c r="X149" s="141">
        <f t="shared" si="95"/>
        <v>0</v>
      </c>
      <c r="Y149" s="141">
        <f t="shared" si="96"/>
        <v>0</v>
      </c>
      <c r="Z149" s="151"/>
    </row>
    <row r="150" spans="1:26" ht="13.5" thickBot="1" x14ac:dyDescent="0.25">
      <c r="B150" s="13"/>
      <c r="C150" s="22" t="str">
        <f>'User Input'!D195</f>
        <v>Risk 4</v>
      </c>
      <c r="D150" s="67">
        <f t="shared" si="81"/>
        <v>0</v>
      </c>
      <c r="E150" s="141">
        <f t="shared" si="85"/>
        <v>0</v>
      </c>
      <c r="F150" s="141">
        <f t="shared" si="85"/>
        <v>0</v>
      </c>
      <c r="G150" s="141">
        <f t="shared" si="85"/>
        <v>0</v>
      </c>
      <c r="H150" s="141">
        <f t="shared" si="85"/>
        <v>0</v>
      </c>
      <c r="I150" s="141">
        <f t="shared" si="86"/>
        <v>0</v>
      </c>
      <c r="J150" s="141">
        <f t="shared" si="87"/>
        <v>0</v>
      </c>
      <c r="K150" s="141">
        <f t="shared" si="83"/>
        <v>0</v>
      </c>
      <c r="L150" s="141">
        <f t="shared" si="83"/>
        <v>0</v>
      </c>
      <c r="M150" s="141">
        <f t="shared" si="83"/>
        <v>0</v>
      </c>
      <c r="N150" s="141">
        <f t="shared" si="83"/>
        <v>0</v>
      </c>
      <c r="O150" s="141">
        <f t="shared" si="83"/>
        <v>0</v>
      </c>
      <c r="P150" s="141">
        <f t="shared" si="83"/>
        <v>0</v>
      </c>
      <c r="Q150" s="141">
        <f t="shared" si="88"/>
        <v>0</v>
      </c>
      <c r="R150" s="141">
        <f t="shared" si="89"/>
        <v>0</v>
      </c>
      <c r="S150" s="141">
        <f t="shared" si="90"/>
        <v>0</v>
      </c>
      <c r="T150" s="141">
        <f t="shared" si="91"/>
        <v>0</v>
      </c>
      <c r="U150" s="141">
        <f t="shared" si="92"/>
        <v>0</v>
      </c>
      <c r="V150" s="141">
        <f t="shared" si="93"/>
        <v>0</v>
      </c>
      <c r="W150" s="141">
        <f t="shared" si="94"/>
        <v>0</v>
      </c>
      <c r="X150" s="141">
        <f t="shared" si="95"/>
        <v>0</v>
      </c>
      <c r="Y150" s="141">
        <f t="shared" si="96"/>
        <v>0</v>
      </c>
      <c r="Z150" s="151"/>
    </row>
    <row r="151" spans="1:26" ht="13.5" thickBot="1" x14ac:dyDescent="0.25">
      <c r="B151" s="13"/>
      <c r="C151" s="22" t="str">
        <f>'User Input'!D196</f>
        <v>Risk 5</v>
      </c>
      <c r="D151" s="67">
        <f t="shared" si="81"/>
        <v>0</v>
      </c>
      <c r="E151" s="141">
        <f t="shared" si="85"/>
        <v>0</v>
      </c>
      <c r="F151" s="141">
        <f t="shared" si="85"/>
        <v>0</v>
      </c>
      <c r="G151" s="141">
        <f t="shared" si="85"/>
        <v>0</v>
      </c>
      <c r="H151" s="141">
        <f t="shared" si="85"/>
        <v>0</v>
      </c>
      <c r="I151" s="141">
        <f t="shared" si="86"/>
        <v>0</v>
      </c>
      <c r="J151" s="141">
        <f t="shared" si="87"/>
        <v>0</v>
      </c>
      <c r="K151" s="141">
        <f t="shared" si="83"/>
        <v>0</v>
      </c>
      <c r="L151" s="141">
        <f t="shared" si="83"/>
        <v>0</v>
      </c>
      <c r="M151" s="141">
        <f t="shared" si="83"/>
        <v>0</v>
      </c>
      <c r="N151" s="141">
        <f t="shared" si="83"/>
        <v>0</v>
      </c>
      <c r="O151" s="141">
        <f t="shared" si="83"/>
        <v>0</v>
      </c>
      <c r="P151" s="141">
        <f t="shared" si="83"/>
        <v>0</v>
      </c>
      <c r="Q151" s="141">
        <f t="shared" si="88"/>
        <v>0</v>
      </c>
      <c r="R151" s="141">
        <f t="shared" si="89"/>
        <v>0</v>
      </c>
      <c r="S151" s="141">
        <f t="shared" si="90"/>
        <v>0</v>
      </c>
      <c r="T151" s="141">
        <f t="shared" si="91"/>
        <v>0</v>
      </c>
      <c r="U151" s="141">
        <f t="shared" si="92"/>
        <v>0</v>
      </c>
      <c r="V151" s="141">
        <f t="shared" si="93"/>
        <v>0</v>
      </c>
      <c r="W151" s="141">
        <f t="shared" si="94"/>
        <v>0</v>
      </c>
      <c r="X151" s="141">
        <f t="shared" si="95"/>
        <v>0</v>
      </c>
      <c r="Y151" s="141">
        <f t="shared" si="96"/>
        <v>0</v>
      </c>
      <c r="Z151" s="151"/>
    </row>
    <row r="152" spans="1:26" ht="13.5" thickBot="1" x14ac:dyDescent="0.25">
      <c r="B152" s="13"/>
      <c r="C152" s="53" t="s">
        <v>2</v>
      </c>
      <c r="D152" s="67">
        <f>SUM(E152:Y152)</f>
        <v>3256.4929798523312</v>
      </c>
      <c r="E152" s="68">
        <f>SUM(E133:E151)</f>
        <v>0</v>
      </c>
      <c r="F152" s="69">
        <f t="shared" ref="F152:Y152" si="97">SUM(F133:F151)</f>
        <v>127.42500000000001</v>
      </c>
      <c r="G152" s="69">
        <f t="shared" si="97"/>
        <v>259.79409000000004</v>
      </c>
      <c r="H152" s="69">
        <f t="shared" si="97"/>
        <v>264.83409534600003</v>
      </c>
      <c r="I152" s="69">
        <f t="shared" si="97"/>
        <v>1447.7867148036739</v>
      </c>
      <c r="J152" s="69">
        <f t="shared" si="97"/>
        <v>1156.6530797026571</v>
      </c>
      <c r="K152" s="69">
        <f t="shared" si="97"/>
        <v>0</v>
      </c>
      <c r="L152" s="69">
        <f t="shared" si="97"/>
        <v>0</v>
      </c>
      <c r="M152" s="69">
        <f t="shared" si="97"/>
        <v>0</v>
      </c>
      <c r="N152" s="69">
        <f t="shared" si="97"/>
        <v>0</v>
      </c>
      <c r="O152" s="69">
        <f t="shared" si="97"/>
        <v>0</v>
      </c>
      <c r="P152" s="69">
        <f t="shared" si="97"/>
        <v>0</v>
      </c>
      <c r="Q152" s="69">
        <f t="shared" si="97"/>
        <v>0</v>
      </c>
      <c r="R152" s="69">
        <f t="shared" si="97"/>
        <v>0</v>
      </c>
      <c r="S152" s="69">
        <f t="shared" si="97"/>
        <v>0</v>
      </c>
      <c r="T152" s="69">
        <f t="shared" si="97"/>
        <v>0</v>
      </c>
      <c r="U152" s="69">
        <f t="shared" si="97"/>
        <v>0</v>
      </c>
      <c r="V152" s="69">
        <f t="shared" si="97"/>
        <v>0</v>
      </c>
      <c r="W152" s="69">
        <f t="shared" si="97"/>
        <v>0</v>
      </c>
      <c r="X152" s="69">
        <f t="shared" si="97"/>
        <v>0</v>
      </c>
      <c r="Y152" s="150">
        <f t="shared" si="97"/>
        <v>0</v>
      </c>
      <c r="Z152" s="151"/>
    </row>
    <row r="153" spans="1:26" ht="13.5" thickBot="1" x14ac:dyDescent="0.25">
      <c r="B153" s="13"/>
      <c r="C153" s="54" t="s">
        <v>50</v>
      </c>
      <c r="D153" s="67">
        <f>SUM(E153:Y153)</f>
        <v>2345.0141710323751</v>
      </c>
      <c r="E153" s="77">
        <f t="shared" ref="E153:Y153" si="98">E152/(1+$D$4)^E$7</f>
        <v>0</v>
      </c>
      <c r="F153" s="77">
        <f t="shared" si="98"/>
        <v>117.25867304683906</v>
      </c>
      <c r="G153" s="77">
        <f t="shared" si="98"/>
        <v>219.99354247528802</v>
      </c>
      <c r="H153" s="77">
        <f t="shared" si="98"/>
        <v>206.36920695620557</v>
      </c>
      <c r="I153" s="77">
        <f t="shared" si="98"/>
        <v>1038.1638899040734</v>
      </c>
      <c r="J153" s="77">
        <f t="shared" si="98"/>
        <v>763.22885864996908</v>
      </c>
      <c r="K153" s="77">
        <f t="shared" si="98"/>
        <v>0</v>
      </c>
      <c r="L153" s="77">
        <f t="shared" si="98"/>
        <v>0</v>
      </c>
      <c r="M153" s="77">
        <f t="shared" si="98"/>
        <v>0</v>
      </c>
      <c r="N153" s="77">
        <f t="shared" si="98"/>
        <v>0</v>
      </c>
      <c r="O153" s="77">
        <f t="shared" si="98"/>
        <v>0</v>
      </c>
      <c r="P153" s="77">
        <f t="shared" si="98"/>
        <v>0</v>
      </c>
      <c r="Q153" s="77">
        <f t="shared" si="98"/>
        <v>0</v>
      </c>
      <c r="R153" s="77">
        <f t="shared" si="98"/>
        <v>0</v>
      </c>
      <c r="S153" s="77">
        <f t="shared" si="98"/>
        <v>0</v>
      </c>
      <c r="T153" s="77">
        <f t="shared" si="98"/>
        <v>0</v>
      </c>
      <c r="U153" s="77">
        <f t="shared" si="98"/>
        <v>0</v>
      </c>
      <c r="V153" s="77">
        <f t="shared" si="98"/>
        <v>0</v>
      </c>
      <c r="W153" s="77">
        <f t="shared" si="98"/>
        <v>0</v>
      </c>
      <c r="X153" s="77">
        <f t="shared" si="98"/>
        <v>0</v>
      </c>
      <c r="Y153" s="149">
        <f t="shared" si="98"/>
        <v>0</v>
      </c>
      <c r="Z153" s="151"/>
    </row>
    <row r="154" spans="1:26" ht="13.5" thickBot="1" x14ac:dyDescent="0.25">
      <c r="B154" s="61"/>
      <c r="C154" s="62"/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110"/>
      <c r="Z154" s="153"/>
    </row>
    <row r="155" spans="1:26" s="3" customFormat="1" ht="13.5" thickBot="1" x14ac:dyDescent="0.25">
      <c r="A155" s="2"/>
      <c r="B155" s="60"/>
      <c r="C155" s="2"/>
      <c r="D155" s="2"/>
      <c r="E155" s="2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2"/>
      <c r="Y155" s="2"/>
    </row>
    <row r="156" spans="1:26" s="3" customFormat="1" x14ac:dyDescent="0.2">
      <c r="A156" s="2"/>
      <c r="B156" s="374" t="s">
        <v>79</v>
      </c>
      <c r="C156" s="375"/>
      <c r="D156" s="375"/>
      <c r="E156" s="375"/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X156" s="375"/>
      <c r="Y156" s="375"/>
      <c r="Z156" s="377"/>
    </row>
    <row r="157" spans="1:26" s="3" customFormat="1" x14ac:dyDescent="0.2">
      <c r="A157" s="2"/>
      <c r="B157" s="107"/>
      <c r="C157" s="2"/>
      <c r="D157" s="2"/>
      <c r="E157" s="2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2"/>
      <c r="Y157" s="2"/>
      <c r="Z157" s="154"/>
    </row>
    <row r="158" spans="1:26" s="3" customFormat="1" x14ac:dyDescent="0.2">
      <c r="A158" s="85"/>
      <c r="B158" s="13"/>
      <c r="C158" s="79" t="s">
        <v>2</v>
      </c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154"/>
    </row>
    <row r="159" spans="1:26" s="3" customFormat="1" x14ac:dyDescent="0.2">
      <c r="A159" s="85"/>
      <c r="B159" s="13"/>
      <c r="C159" s="2"/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154"/>
    </row>
    <row r="160" spans="1:26" s="3" customFormat="1" x14ac:dyDescent="0.2">
      <c r="A160" s="130">
        <v>1</v>
      </c>
      <c r="B160" s="13"/>
      <c r="C160" s="80" t="str">
        <f>B11</f>
        <v>"Status Quo" Reference Case</v>
      </c>
      <c r="D160" s="2"/>
      <c r="E160" s="81">
        <f>E32</f>
        <v>0</v>
      </c>
      <c r="F160" s="81">
        <f t="shared" ref="F160:Y160" si="99">F32</f>
        <v>127.42500000000001</v>
      </c>
      <c r="G160" s="81">
        <f t="shared" si="99"/>
        <v>259.79409000000004</v>
      </c>
      <c r="H160" s="81">
        <f t="shared" si="99"/>
        <v>264.83409534600003</v>
      </c>
      <c r="I160" s="81">
        <f t="shared" si="99"/>
        <v>269.97187679571243</v>
      </c>
      <c r="J160" s="81">
        <f t="shared" si="99"/>
        <v>275.20933120554923</v>
      </c>
      <c r="K160" s="81">
        <f t="shared" si="99"/>
        <v>280.54839223093694</v>
      </c>
      <c r="L160" s="81">
        <f t="shared" si="99"/>
        <v>285.99103104021714</v>
      </c>
      <c r="M160" s="81">
        <f t="shared" si="99"/>
        <v>291.53925704239731</v>
      </c>
      <c r="N160" s="81">
        <f t="shared" si="99"/>
        <v>297.19511862901982</v>
      </c>
      <c r="O160" s="81">
        <f t="shared" si="99"/>
        <v>302.96070393042277</v>
      </c>
      <c r="P160" s="81">
        <f t="shared" si="99"/>
        <v>308.83814158667298</v>
      </c>
      <c r="Q160" s="81">
        <f t="shared" si="99"/>
        <v>314.82960153345448</v>
      </c>
      <c r="R160" s="81">
        <f t="shared" si="99"/>
        <v>320.93729580320348</v>
      </c>
      <c r="S160" s="81">
        <f t="shared" si="99"/>
        <v>327.1634793417856</v>
      </c>
      <c r="T160" s="81">
        <f t="shared" si="99"/>
        <v>333.51045084101622</v>
      </c>
      <c r="U160" s="81">
        <f t="shared" si="99"/>
        <v>339.98055358733194</v>
      </c>
      <c r="V160" s="81">
        <f t="shared" si="99"/>
        <v>346.57617632692615</v>
      </c>
      <c r="W160" s="81">
        <f t="shared" si="99"/>
        <v>353.29975414766852</v>
      </c>
      <c r="X160" s="81">
        <f t="shared" si="99"/>
        <v>360.15376937813323</v>
      </c>
      <c r="Y160" s="81">
        <f t="shared" si="99"/>
        <v>367.14075250406904</v>
      </c>
      <c r="Z160" s="154"/>
    </row>
    <row r="161" spans="1:26" s="3" customFormat="1" x14ac:dyDescent="0.2">
      <c r="A161" s="130">
        <v>2</v>
      </c>
      <c r="B161" s="13"/>
      <c r="C161" s="80" t="str">
        <f>B35</f>
        <v>Option 1: Provide In Meter Capabilities</v>
      </c>
      <c r="D161" s="2"/>
      <c r="E161" s="84">
        <f>E56</f>
        <v>1340.6829</v>
      </c>
      <c r="F161" s="84">
        <f t="shared" ref="F161:Y161" si="100">F56</f>
        <v>1071.0866382000004</v>
      </c>
      <c r="G161" s="84">
        <f t="shared" si="100"/>
        <v>0</v>
      </c>
      <c r="H161" s="84">
        <f t="shared" si="100"/>
        <v>0</v>
      </c>
      <c r="I161" s="84">
        <f t="shared" si="100"/>
        <v>0</v>
      </c>
      <c r="J161" s="84">
        <f t="shared" si="100"/>
        <v>0</v>
      </c>
      <c r="K161" s="84">
        <f t="shared" si="100"/>
        <v>0</v>
      </c>
      <c r="L161" s="84">
        <f t="shared" si="100"/>
        <v>0</v>
      </c>
      <c r="M161" s="84">
        <f t="shared" si="100"/>
        <v>0</v>
      </c>
      <c r="N161" s="84">
        <f t="shared" si="100"/>
        <v>0</v>
      </c>
      <c r="O161" s="84">
        <f t="shared" si="100"/>
        <v>0</v>
      </c>
      <c r="P161" s="84">
        <f t="shared" si="100"/>
        <v>0</v>
      </c>
      <c r="Q161" s="84">
        <f t="shared" si="100"/>
        <v>0</v>
      </c>
      <c r="R161" s="84">
        <f t="shared" si="100"/>
        <v>0</v>
      </c>
      <c r="S161" s="84">
        <f t="shared" si="100"/>
        <v>0</v>
      </c>
      <c r="T161" s="84">
        <f t="shared" si="100"/>
        <v>0</v>
      </c>
      <c r="U161" s="84">
        <f t="shared" si="100"/>
        <v>0</v>
      </c>
      <c r="V161" s="84">
        <f t="shared" si="100"/>
        <v>0</v>
      </c>
      <c r="W161" s="84">
        <f t="shared" si="100"/>
        <v>0</v>
      </c>
      <c r="X161" s="84">
        <f t="shared" si="100"/>
        <v>0</v>
      </c>
      <c r="Y161" s="84">
        <f t="shared" si="100"/>
        <v>0</v>
      </c>
      <c r="Z161" s="154"/>
    </row>
    <row r="162" spans="1:26" s="3" customFormat="1" x14ac:dyDescent="0.2">
      <c r="A162" s="130">
        <v>3</v>
      </c>
      <c r="B162" s="13"/>
      <c r="C162" s="80" t="str">
        <f>B59</f>
        <v>Option 1: Provide In Meter Capabilities + 1yr</v>
      </c>
      <c r="D162" s="2"/>
      <c r="E162" s="84">
        <f>E80</f>
        <v>0</v>
      </c>
      <c r="F162" s="84">
        <f t="shared" ref="F162:Y162" si="101">F80</f>
        <v>1366.6921482600001</v>
      </c>
      <c r="G162" s="84">
        <f t="shared" si="101"/>
        <v>1091.8657189810804</v>
      </c>
      <c r="H162" s="84">
        <f t="shared" si="101"/>
        <v>0</v>
      </c>
      <c r="I162" s="84">
        <f t="shared" si="101"/>
        <v>0</v>
      </c>
      <c r="J162" s="84">
        <f t="shared" si="101"/>
        <v>0</v>
      </c>
      <c r="K162" s="84">
        <f t="shared" si="101"/>
        <v>0</v>
      </c>
      <c r="L162" s="84">
        <f t="shared" si="101"/>
        <v>0</v>
      </c>
      <c r="M162" s="84">
        <f t="shared" si="101"/>
        <v>0</v>
      </c>
      <c r="N162" s="84">
        <f t="shared" si="101"/>
        <v>0</v>
      </c>
      <c r="O162" s="84">
        <f t="shared" si="101"/>
        <v>0</v>
      </c>
      <c r="P162" s="84">
        <f t="shared" si="101"/>
        <v>0</v>
      </c>
      <c r="Q162" s="84">
        <f t="shared" si="101"/>
        <v>0</v>
      </c>
      <c r="R162" s="84">
        <f t="shared" si="101"/>
        <v>0</v>
      </c>
      <c r="S162" s="84">
        <f t="shared" si="101"/>
        <v>0</v>
      </c>
      <c r="T162" s="84">
        <f t="shared" si="101"/>
        <v>0</v>
      </c>
      <c r="U162" s="84">
        <f t="shared" si="101"/>
        <v>0</v>
      </c>
      <c r="V162" s="84">
        <f t="shared" si="101"/>
        <v>0</v>
      </c>
      <c r="W162" s="84">
        <f t="shared" si="101"/>
        <v>0</v>
      </c>
      <c r="X162" s="84">
        <f t="shared" si="101"/>
        <v>0</v>
      </c>
      <c r="Y162" s="84">
        <f t="shared" si="101"/>
        <v>0</v>
      </c>
      <c r="Z162" s="154"/>
    </row>
    <row r="163" spans="1:26" s="3" customFormat="1" x14ac:dyDescent="0.2">
      <c r="A163" s="131">
        <v>4</v>
      </c>
      <c r="B163" s="13"/>
      <c r="C163" s="80" t="str">
        <f>B83</f>
        <v>Option 1: Provide In Meter Capabilities + 2yrs</v>
      </c>
      <c r="D163" s="2"/>
      <c r="E163" s="84">
        <f>E104</f>
        <v>0</v>
      </c>
      <c r="F163" s="84">
        <f t="shared" ref="F163:Y163" si="102">F104</f>
        <v>127.42500000000001</v>
      </c>
      <c r="G163" s="84">
        <f t="shared" si="102"/>
        <v>1393.2059759362442</v>
      </c>
      <c r="H163" s="84">
        <f t="shared" si="102"/>
        <v>1113.0479139293134</v>
      </c>
      <c r="I163" s="84">
        <f t="shared" si="102"/>
        <v>0</v>
      </c>
      <c r="J163" s="84">
        <f t="shared" si="102"/>
        <v>0</v>
      </c>
      <c r="K163" s="84">
        <f t="shared" si="102"/>
        <v>0</v>
      </c>
      <c r="L163" s="84">
        <f t="shared" si="102"/>
        <v>0</v>
      </c>
      <c r="M163" s="84">
        <f t="shared" si="102"/>
        <v>0</v>
      </c>
      <c r="N163" s="84">
        <f t="shared" si="102"/>
        <v>0</v>
      </c>
      <c r="O163" s="84">
        <f t="shared" si="102"/>
        <v>0</v>
      </c>
      <c r="P163" s="84">
        <f t="shared" si="102"/>
        <v>0</v>
      </c>
      <c r="Q163" s="84">
        <f t="shared" si="102"/>
        <v>0</v>
      </c>
      <c r="R163" s="84">
        <f t="shared" si="102"/>
        <v>0</v>
      </c>
      <c r="S163" s="84">
        <f t="shared" si="102"/>
        <v>0</v>
      </c>
      <c r="T163" s="84">
        <f t="shared" si="102"/>
        <v>0</v>
      </c>
      <c r="U163" s="84">
        <f t="shared" si="102"/>
        <v>0</v>
      </c>
      <c r="V163" s="84">
        <f t="shared" si="102"/>
        <v>0</v>
      </c>
      <c r="W163" s="84">
        <f t="shared" si="102"/>
        <v>0</v>
      </c>
      <c r="X163" s="84">
        <f t="shared" si="102"/>
        <v>0</v>
      </c>
      <c r="Y163" s="84">
        <f t="shared" si="102"/>
        <v>0</v>
      </c>
      <c r="Z163" s="154"/>
    </row>
    <row r="164" spans="1:26" s="3" customFormat="1" x14ac:dyDescent="0.2">
      <c r="A164" s="131">
        <v>5</v>
      </c>
      <c r="B164" s="13"/>
      <c r="C164" s="80" t="str">
        <f>B107</f>
        <v>Option 1: Provide In Meter Capabilities + 3yrs</v>
      </c>
      <c r="D164" s="2"/>
      <c r="E164" s="84">
        <f>E128</f>
        <v>0</v>
      </c>
      <c r="F164" s="84">
        <f t="shared" ref="F164:Y164" si="103">F128</f>
        <v>127.42500000000001</v>
      </c>
      <c r="G164" s="84">
        <f t="shared" si="103"/>
        <v>259.79409000000004</v>
      </c>
      <c r="H164" s="84">
        <f t="shared" si="103"/>
        <v>1420.2341718694074</v>
      </c>
      <c r="I164" s="84">
        <f t="shared" si="103"/>
        <v>1134.6410434595421</v>
      </c>
      <c r="J164" s="84">
        <f t="shared" si="103"/>
        <v>0</v>
      </c>
      <c r="K164" s="84">
        <f t="shared" si="103"/>
        <v>0</v>
      </c>
      <c r="L164" s="84">
        <f t="shared" si="103"/>
        <v>0</v>
      </c>
      <c r="M164" s="84">
        <f t="shared" si="103"/>
        <v>0</v>
      </c>
      <c r="N164" s="84">
        <f t="shared" si="103"/>
        <v>0</v>
      </c>
      <c r="O164" s="84">
        <f t="shared" si="103"/>
        <v>0</v>
      </c>
      <c r="P164" s="84">
        <f t="shared" si="103"/>
        <v>0</v>
      </c>
      <c r="Q164" s="84">
        <f t="shared" si="103"/>
        <v>0</v>
      </c>
      <c r="R164" s="84">
        <f t="shared" si="103"/>
        <v>0</v>
      </c>
      <c r="S164" s="84">
        <f t="shared" si="103"/>
        <v>0</v>
      </c>
      <c r="T164" s="84">
        <f t="shared" si="103"/>
        <v>0</v>
      </c>
      <c r="U164" s="84">
        <f t="shared" si="103"/>
        <v>0</v>
      </c>
      <c r="V164" s="84">
        <f t="shared" si="103"/>
        <v>0</v>
      </c>
      <c r="W164" s="84">
        <f t="shared" si="103"/>
        <v>0</v>
      </c>
      <c r="X164" s="84">
        <f t="shared" si="103"/>
        <v>0</v>
      </c>
      <c r="Y164" s="84">
        <f t="shared" si="103"/>
        <v>0</v>
      </c>
      <c r="Z164" s="154"/>
    </row>
    <row r="165" spans="1:26" s="3" customFormat="1" x14ac:dyDescent="0.2">
      <c r="A165" s="131">
        <v>6</v>
      </c>
      <c r="B165" s="13"/>
      <c r="C165" s="80" t="str">
        <f>B131</f>
        <v>Option 1: Provide In Meter Capabilities + 4yrs</v>
      </c>
      <c r="D165" s="2"/>
      <c r="E165" s="84">
        <f>E152</f>
        <v>0</v>
      </c>
      <c r="F165" s="84">
        <f t="shared" ref="F165:Y165" si="104">F152</f>
        <v>127.42500000000001</v>
      </c>
      <c r="G165" s="84">
        <f t="shared" si="104"/>
        <v>259.79409000000004</v>
      </c>
      <c r="H165" s="84">
        <f t="shared" si="104"/>
        <v>264.83409534600003</v>
      </c>
      <c r="I165" s="84">
        <f t="shared" si="104"/>
        <v>1447.7867148036739</v>
      </c>
      <c r="J165" s="84">
        <f t="shared" si="104"/>
        <v>1156.6530797026571</v>
      </c>
      <c r="K165" s="84">
        <f t="shared" si="104"/>
        <v>0</v>
      </c>
      <c r="L165" s="84">
        <f t="shared" si="104"/>
        <v>0</v>
      </c>
      <c r="M165" s="84">
        <f t="shared" si="104"/>
        <v>0</v>
      </c>
      <c r="N165" s="84">
        <f t="shared" si="104"/>
        <v>0</v>
      </c>
      <c r="O165" s="84">
        <f t="shared" si="104"/>
        <v>0</v>
      </c>
      <c r="P165" s="84">
        <f t="shared" si="104"/>
        <v>0</v>
      </c>
      <c r="Q165" s="84">
        <f t="shared" si="104"/>
        <v>0</v>
      </c>
      <c r="R165" s="84">
        <f t="shared" si="104"/>
        <v>0</v>
      </c>
      <c r="S165" s="84">
        <f t="shared" si="104"/>
        <v>0</v>
      </c>
      <c r="T165" s="84">
        <f t="shared" si="104"/>
        <v>0</v>
      </c>
      <c r="U165" s="84">
        <f t="shared" si="104"/>
        <v>0</v>
      </c>
      <c r="V165" s="84">
        <f t="shared" si="104"/>
        <v>0</v>
      </c>
      <c r="W165" s="84">
        <f t="shared" si="104"/>
        <v>0</v>
      </c>
      <c r="X165" s="84">
        <f t="shared" si="104"/>
        <v>0</v>
      </c>
      <c r="Y165" s="84">
        <f t="shared" si="104"/>
        <v>0</v>
      </c>
      <c r="Z165" s="154"/>
    </row>
    <row r="166" spans="1:26" s="3" customFormat="1" x14ac:dyDescent="0.2">
      <c r="A166" s="85"/>
      <c r="B166" s="13"/>
      <c r="C166" s="2"/>
      <c r="D166" s="2"/>
      <c r="E166" s="2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2"/>
      <c r="Y166" s="2"/>
      <c r="Z166" s="154"/>
    </row>
    <row r="167" spans="1:26" s="3" customFormat="1" x14ac:dyDescent="0.2">
      <c r="A167" s="85"/>
      <c r="B167" s="13"/>
      <c r="C167" s="79" t="s">
        <v>80</v>
      </c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154"/>
    </row>
    <row r="168" spans="1:26" s="3" customFormat="1" x14ac:dyDescent="0.2">
      <c r="A168" s="85"/>
      <c r="B168" s="13"/>
      <c r="C168" s="2"/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154"/>
    </row>
    <row r="169" spans="1:26" s="3" customFormat="1" x14ac:dyDescent="0.2">
      <c r="A169" s="130">
        <v>1</v>
      </c>
      <c r="B169" s="13"/>
      <c r="C169" s="80" t="str">
        <f>B11</f>
        <v>"Status Quo" Reference Case</v>
      </c>
      <c r="D169" s="2"/>
      <c r="E169" s="81">
        <f>E33</f>
        <v>0</v>
      </c>
      <c r="F169" s="81">
        <f>F33</f>
        <v>117.25867304683906</v>
      </c>
      <c r="G169" s="81">
        <f>G33</f>
        <v>219.99354247528802</v>
      </c>
      <c r="H169" s="81">
        <f>H33</f>
        <v>206.36920695620557</v>
      </c>
      <c r="I169" s="81">
        <f>I33</f>
        <v>193.58863492330539</v>
      </c>
      <c r="J169" s="81">
        <f t="shared" ref="J169:Y169" si="105">J33</f>
        <v>181.59957158444604</v>
      </c>
      <c r="K169" s="81">
        <f t="shared" si="105"/>
        <v>170.35299831893283</v>
      </c>
      <c r="L169" s="81">
        <f t="shared" si="105"/>
        <v>159.80293225942776</v>
      </c>
      <c r="M169" s="81">
        <f t="shared" si="105"/>
        <v>149.90623828587525</v>
      </c>
      <c r="N169" s="81">
        <f t="shared" si="105"/>
        <v>140.62245266275994</v>
      </c>
      <c r="O169" s="81">
        <f t="shared" si="105"/>
        <v>131.91361759861735</v>
      </c>
      <c r="P169" s="81">
        <f t="shared" si="105"/>
        <v>123.7441260513762</v>
      </c>
      <c r="Q169" s="81">
        <f t="shared" si="105"/>
        <v>116.0805761450013</v>
      </c>
      <c r="R169" s="81">
        <f t="shared" si="105"/>
        <v>108.89163460220331</v>
      </c>
      <c r="S169" s="81">
        <f t="shared" si="105"/>
        <v>102.14790863484498</v>
      </c>
      <c r="T169" s="81">
        <f t="shared" si="105"/>
        <v>95.821825768253376</v>
      </c>
      <c r="U169" s="81">
        <f t="shared" si="105"/>
        <v>89.887521108086403</v>
      </c>
      <c r="V169" s="81">
        <f t="shared" si="105"/>
        <v>84.320731588831578</v>
      </c>
      <c r="W169" s="81">
        <f t="shared" si="105"/>
        <v>79.098696771560611</v>
      </c>
      <c r="X169" s="81">
        <f t="shared" si="105"/>
        <v>74.200065785339902</v>
      </c>
      <c r="Y169" s="81">
        <f t="shared" si="105"/>
        <v>69.604810031816967</v>
      </c>
      <c r="Z169" s="154"/>
    </row>
    <row r="170" spans="1:26" s="3" customFormat="1" x14ac:dyDescent="0.2">
      <c r="A170" s="130">
        <v>2</v>
      </c>
      <c r="B170" s="13"/>
      <c r="C170" s="80" t="str">
        <f>B35</f>
        <v>Option 1: Provide In Meter Capabilities</v>
      </c>
      <c r="D170" s="2"/>
      <c r="E170" s="81">
        <f>E57</f>
        <v>1340.6829</v>
      </c>
      <c r="F170" s="81">
        <f>F57</f>
        <v>985.63231637066383</v>
      </c>
      <c r="G170" s="81">
        <f>G57</f>
        <v>0</v>
      </c>
      <c r="H170" s="81">
        <f>H57</f>
        <v>0</v>
      </c>
      <c r="I170" s="81">
        <f>I57</f>
        <v>0</v>
      </c>
      <c r="J170" s="81">
        <f t="shared" ref="J170:Y170" si="106">J57</f>
        <v>0</v>
      </c>
      <c r="K170" s="81">
        <f t="shared" si="106"/>
        <v>0</v>
      </c>
      <c r="L170" s="81">
        <f t="shared" si="106"/>
        <v>0</v>
      </c>
      <c r="M170" s="81">
        <f t="shared" si="106"/>
        <v>0</v>
      </c>
      <c r="N170" s="81">
        <f t="shared" si="106"/>
        <v>0</v>
      </c>
      <c r="O170" s="81">
        <f t="shared" si="106"/>
        <v>0</v>
      </c>
      <c r="P170" s="81">
        <f t="shared" si="106"/>
        <v>0</v>
      </c>
      <c r="Q170" s="81">
        <f t="shared" si="106"/>
        <v>0</v>
      </c>
      <c r="R170" s="81">
        <f t="shared" si="106"/>
        <v>0</v>
      </c>
      <c r="S170" s="81">
        <f t="shared" si="106"/>
        <v>0</v>
      </c>
      <c r="T170" s="81">
        <f t="shared" si="106"/>
        <v>0</v>
      </c>
      <c r="U170" s="81">
        <f t="shared" si="106"/>
        <v>0</v>
      </c>
      <c r="V170" s="81">
        <f t="shared" si="106"/>
        <v>0</v>
      </c>
      <c r="W170" s="81">
        <f t="shared" si="106"/>
        <v>0</v>
      </c>
      <c r="X170" s="81">
        <f t="shared" si="106"/>
        <v>0</v>
      </c>
      <c r="Y170" s="81">
        <f t="shared" si="106"/>
        <v>0</v>
      </c>
      <c r="Z170" s="154"/>
    </row>
    <row r="171" spans="1:26" s="3" customFormat="1" x14ac:dyDescent="0.2">
      <c r="A171" s="130">
        <v>3</v>
      </c>
      <c r="B171" s="13"/>
      <c r="C171" s="80" t="str">
        <f>B59</f>
        <v>Option 1: Provide In Meter Capabilities + 1yr</v>
      </c>
      <c r="D171" s="2"/>
      <c r="E171" s="81">
        <f>E81</f>
        <v>0</v>
      </c>
      <c r="F171" s="81">
        <f>F81</f>
        <v>1257.6535826447041</v>
      </c>
      <c r="G171" s="81">
        <f>G81</f>
        <v>924.59150023765039</v>
      </c>
      <c r="H171" s="81">
        <f>H81</f>
        <v>0</v>
      </c>
      <c r="I171" s="81">
        <f>I81</f>
        <v>0</v>
      </c>
      <c r="J171" s="81">
        <f t="shared" ref="J171:Y171" si="107">J81</f>
        <v>0</v>
      </c>
      <c r="K171" s="81">
        <f t="shared" si="107"/>
        <v>0</v>
      </c>
      <c r="L171" s="81">
        <f t="shared" si="107"/>
        <v>0</v>
      </c>
      <c r="M171" s="81">
        <f t="shared" si="107"/>
        <v>0</v>
      </c>
      <c r="N171" s="81">
        <f t="shared" si="107"/>
        <v>0</v>
      </c>
      <c r="O171" s="81">
        <f t="shared" si="107"/>
        <v>0</v>
      </c>
      <c r="P171" s="81">
        <f t="shared" si="107"/>
        <v>0</v>
      </c>
      <c r="Q171" s="81">
        <f t="shared" si="107"/>
        <v>0</v>
      </c>
      <c r="R171" s="81">
        <f t="shared" si="107"/>
        <v>0</v>
      </c>
      <c r="S171" s="81">
        <f t="shared" si="107"/>
        <v>0</v>
      </c>
      <c r="T171" s="81">
        <f t="shared" si="107"/>
        <v>0</v>
      </c>
      <c r="U171" s="81">
        <f t="shared" si="107"/>
        <v>0</v>
      </c>
      <c r="V171" s="81">
        <f t="shared" si="107"/>
        <v>0</v>
      </c>
      <c r="W171" s="81">
        <f t="shared" si="107"/>
        <v>0</v>
      </c>
      <c r="X171" s="81">
        <f t="shared" si="107"/>
        <v>0</v>
      </c>
      <c r="Y171" s="81">
        <f t="shared" si="107"/>
        <v>0</v>
      </c>
      <c r="Z171" s="154"/>
    </row>
    <row r="172" spans="1:26" s="3" customFormat="1" x14ac:dyDescent="0.2">
      <c r="A172" s="131">
        <v>4</v>
      </c>
      <c r="B172" s="13"/>
      <c r="C172" s="80" t="str">
        <f>B83</f>
        <v>Option 1: Provide In Meter Capabilities + 2yrs</v>
      </c>
      <c r="D172" s="2"/>
      <c r="E172" s="81">
        <f>E105</f>
        <v>0</v>
      </c>
      <c r="F172" s="81">
        <f>F105</f>
        <v>117.25867304683906</v>
      </c>
      <c r="G172" s="81">
        <f>G105</f>
        <v>1179.7663220281693</v>
      </c>
      <c r="H172" s="81">
        <f>H105</f>
        <v>867.33097942602456</v>
      </c>
      <c r="I172" s="81">
        <f>I105</f>
        <v>0</v>
      </c>
      <c r="J172" s="81">
        <f t="shared" ref="J172:Y172" si="108">J105</f>
        <v>0</v>
      </c>
      <c r="K172" s="81">
        <f t="shared" si="108"/>
        <v>0</v>
      </c>
      <c r="L172" s="81">
        <f t="shared" si="108"/>
        <v>0</v>
      </c>
      <c r="M172" s="81">
        <f t="shared" si="108"/>
        <v>0</v>
      </c>
      <c r="N172" s="81">
        <f t="shared" si="108"/>
        <v>0</v>
      </c>
      <c r="O172" s="81">
        <f t="shared" si="108"/>
        <v>0</v>
      </c>
      <c r="P172" s="81">
        <f t="shared" si="108"/>
        <v>0</v>
      </c>
      <c r="Q172" s="81">
        <f t="shared" si="108"/>
        <v>0</v>
      </c>
      <c r="R172" s="81">
        <f t="shared" si="108"/>
        <v>0</v>
      </c>
      <c r="S172" s="81">
        <f t="shared" si="108"/>
        <v>0</v>
      </c>
      <c r="T172" s="81">
        <f t="shared" si="108"/>
        <v>0</v>
      </c>
      <c r="U172" s="81">
        <f t="shared" si="108"/>
        <v>0</v>
      </c>
      <c r="V172" s="81">
        <f t="shared" si="108"/>
        <v>0</v>
      </c>
      <c r="W172" s="81">
        <f t="shared" si="108"/>
        <v>0</v>
      </c>
      <c r="X172" s="81">
        <f t="shared" si="108"/>
        <v>0</v>
      </c>
      <c r="Y172" s="81">
        <f t="shared" si="108"/>
        <v>0</v>
      </c>
      <c r="Z172" s="154"/>
    </row>
    <row r="173" spans="1:26" s="3" customFormat="1" x14ac:dyDescent="0.2">
      <c r="A173" s="131">
        <v>5</v>
      </c>
      <c r="B173" s="13"/>
      <c r="C173" s="80" t="str">
        <f>B107</f>
        <v>Option 1: Provide In Meter Capabilities + 3yrs</v>
      </c>
      <c r="D173" s="2"/>
      <c r="E173" s="81">
        <f>E129</f>
        <v>0</v>
      </c>
      <c r="F173" s="81">
        <f>F129</f>
        <v>117.25867304683906</v>
      </c>
      <c r="G173" s="81">
        <f>G129</f>
        <v>219.99354247528802</v>
      </c>
      <c r="H173" s="81">
        <f>H129</f>
        <v>1106.7026674109836</v>
      </c>
      <c r="I173" s="81">
        <f>I129</f>
        <v>813.6166379192872</v>
      </c>
      <c r="J173" s="81">
        <f t="shared" ref="J173:Y173" si="109">J129</f>
        <v>0</v>
      </c>
      <c r="K173" s="81">
        <f t="shared" si="109"/>
        <v>0</v>
      </c>
      <c r="L173" s="81">
        <f t="shared" si="109"/>
        <v>0</v>
      </c>
      <c r="M173" s="81">
        <f t="shared" si="109"/>
        <v>0</v>
      </c>
      <c r="N173" s="81">
        <f t="shared" si="109"/>
        <v>0</v>
      </c>
      <c r="O173" s="81">
        <f t="shared" si="109"/>
        <v>0</v>
      </c>
      <c r="P173" s="81">
        <f t="shared" si="109"/>
        <v>0</v>
      </c>
      <c r="Q173" s="81">
        <f t="shared" si="109"/>
        <v>0</v>
      </c>
      <c r="R173" s="81">
        <f t="shared" si="109"/>
        <v>0</v>
      </c>
      <c r="S173" s="81">
        <f t="shared" si="109"/>
        <v>0</v>
      </c>
      <c r="T173" s="81">
        <f t="shared" si="109"/>
        <v>0</v>
      </c>
      <c r="U173" s="81">
        <f t="shared" si="109"/>
        <v>0</v>
      </c>
      <c r="V173" s="81">
        <f t="shared" si="109"/>
        <v>0</v>
      </c>
      <c r="W173" s="81">
        <f t="shared" si="109"/>
        <v>0</v>
      </c>
      <c r="X173" s="81">
        <f t="shared" si="109"/>
        <v>0</v>
      </c>
      <c r="Y173" s="81">
        <f t="shared" si="109"/>
        <v>0</v>
      </c>
      <c r="Z173" s="154"/>
    </row>
    <row r="174" spans="1:26" s="3" customFormat="1" x14ac:dyDescent="0.2">
      <c r="A174" s="131">
        <v>6</v>
      </c>
      <c r="B174" s="13"/>
      <c r="C174" s="80" t="str">
        <f>B131</f>
        <v>Option 1: Provide In Meter Capabilities + 4yrs</v>
      </c>
      <c r="D174" s="2"/>
      <c r="E174" s="81">
        <f>E153</f>
        <v>0</v>
      </c>
      <c r="F174" s="81">
        <f>F153</f>
        <v>117.25867304683906</v>
      </c>
      <c r="G174" s="81">
        <f>G153</f>
        <v>219.99354247528802</v>
      </c>
      <c r="H174" s="81">
        <f>H153</f>
        <v>206.36920695620557</v>
      </c>
      <c r="I174" s="81">
        <f>I153</f>
        <v>1038.1638899040734</v>
      </c>
      <c r="J174" s="81">
        <f t="shared" ref="J174:Y174" si="110">J153</f>
        <v>763.22885864996908</v>
      </c>
      <c r="K174" s="81">
        <f t="shared" si="110"/>
        <v>0</v>
      </c>
      <c r="L174" s="81">
        <f t="shared" si="110"/>
        <v>0</v>
      </c>
      <c r="M174" s="81">
        <f t="shared" si="110"/>
        <v>0</v>
      </c>
      <c r="N174" s="81">
        <f t="shared" si="110"/>
        <v>0</v>
      </c>
      <c r="O174" s="81">
        <f t="shared" si="110"/>
        <v>0</v>
      </c>
      <c r="P174" s="81">
        <f t="shared" si="110"/>
        <v>0</v>
      </c>
      <c r="Q174" s="81">
        <f t="shared" si="110"/>
        <v>0</v>
      </c>
      <c r="R174" s="81">
        <f t="shared" si="110"/>
        <v>0</v>
      </c>
      <c r="S174" s="81">
        <f t="shared" si="110"/>
        <v>0</v>
      </c>
      <c r="T174" s="81">
        <f t="shared" si="110"/>
        <v>0</v>
      </c>
      <c r="U174" s="81">
        <f t="shared" si="110"/>
        <v>0</v>
      </c>
      <c r="V174" s="81">
        <f t="shared" si="110"/>
        <v>0</v>
      </c>
      <c r="W174" s="81">
        <f t="shared" si="110"/>
        <v>0</v>
      </c>
      <c r="X174" s="81">
        <f t="shared" si="110"/>
        <v>0</v>
      </c>
      <c r="Y174" s="81">
        <f t="shared" si="110"/>
        <v>0</v>
      </c>
      <c r="Z174" s="154"/>
    </row>
    <row r="175" spans="1:26" s="291" customFormat="1" x14ac:dyDescent="0.2">
      <c r="A175" s="85"/>
      <c r="B175" s="107"/>
      <c r="C175" s="80"/>
      <c r="D175" s="80"/>
      <c r="E175" s="80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5"/>
      <c r="V175" s="185"/>
      <c r="W175" s="185"/>
      <c r="X175" s="80"/>
      <c r="Y175" s="80"/>
      <c r="Z175" s="301"/>
    </row>
    <row r="176" spans="1:26" s="291" customFormat="1" x14ac:dyDescent="0.2">
      <c r="A176" s="85"/>
      <c r="B176" s="107"/>
      <c r="C176" s="79" t="s">
        <v>242</v>
      </c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301"/>
    </row>
    <row r="177" spans="1:26" s="291" customFormat="1" x14ac:dyDescent="0.2">
      <c r="A177" s="85"/>
      <c r="B177" s="107"/>
      <c r="C177" s="80"/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301"/>
    </row>
    <row r="178" spans="1:26" s="291" customFormat="1" x14ac:dyDescent="0.2">
      <c r="A178" s="130">
        <v>1</v>
      </c>
      <c r="B178" s="107"/>
      <c r="C178" s="80" t="str">
        <f>B11</f>
        <v>"Status Quo" Reference Case</v>
      </c>
      <c r="D178" s="80"/>
      <c r="E178" s="302">
        <f>E13</f>
        <v>0</v>
      </c>
      <c r="F178" s="302">
        <f t="shared" ref="F178:Y178" si="111">F13</f>
        <v>127.42500000000001</v>
      </c>
      <c r="G178" s="302">
        <f t="shared" si="111"/>
        <v>259.79409000000004</v>
      </c>
      <c r="H178" s="302">
        <f t="shared" si="111"/>
        <v>264.83409534600003</v>
      </c>
      <c r="I178" s="302">
        <f t="shared" si="111"/>
        <v>269.97187679571243</v>
      </c>
      <c r="J178" s="302">
        <f t="shared" si="111"/>
        <v>275.20933120554923</v>
      </c>
      <c r="K178" s="302">
        <f t="shared" si="111"/>
        <v>280.54839223093694</v>
      </c>
      <c r="L178" s="302">
        <f t="shared" si="111"/>
        <v>285.99103104021714</v>
      </c>
      <c r="M178" s="302">
        <f t="shared" si="111"/>
        <v>291.53925704239731</v>
      </c>
      <c r="N178" s="302">
        <f t="shared" si="111"/>
        <v>297.19511862901982</v>
      </c>
      <c r="O178" s="302">
        <f t="shared" si="111"/>
        <v>302.96070393042277</v>
      </c>
      <c r="P178" s="302">
        <f t="shared" si="111"/>
        <v>308.83814158667298</v>
      </c>
      <c r="Q178" s="302">
        <f t="shared" si="111"/>
        <v>314.82960153345448</v>
      </c>
      <c r="R178" s="302">
        <f t="shared" si="111"/>
        <v>320.93729580320348</v>
      </c>
      <c r="S178" s="302">
        <f t="shared" si="111"/>
        <v>327.1634793417856</v>
      </c>
      <c r="T178" s="302">
        <f t="shared" si="111"/>
        <v>333.51045084101622</v>
      </c>
      <c r="U178" s="302">
        <f t="shared" si="111"/>
        <v>339.98055358733194</v>
      </c>
      <c r="V178" s="302">
        <f t="shared" si="111"/>
        <v>346.57617632692615</v>
      </c>
      <c r="W178" s="302">
        <f t="shared" si="111"/>
        <v>353.29975414766852</v>
      </c>
      <c r="X178" s="302">
        <f t="shared" si="111"/>
        <v>360.15376937813323</v>
      </c>
      <c r="Y178" s="302">
        <f t="shared" si="111"/>
        <v>367.14075250406904</v>
      </c>
      <c r="Z178" s="301"/>
    </row>
    <row r="179" spans="1:26" s="291" customFormat="1" x14ac:dyDescent="0.2">
      <c r="A179" s="130">
        <v>2</v>
      </c>
      <c r="B179" s="107"/>
      <c r="C179" s="80" t="str">
        <f>B35</f>
        <v>Option 1: Provide In Meter Capabilities</v>
      </c>
      <c r="D179" s="80"/>
      <c r="E179" s="302">
        <f>E37</f>
        <v>1340.6829</v>
      </c>
      <c r="F179" s="302">
        <f t="shared" ref="F179:Y179" si="112">F37</f>
        <v>1071.0866382000004</v>
      </c>
      <c r="G179" s="302">
        <f t="shared" si="112"/>
        <v>0</v>
      </c>
      <c r="H179" s="302">
        <f t="shared" si="112"/>
        <v>0</v>
      </c>
      <c r="I179" s="302">
        <f t="shared" si="112"/>
        <v>0</v>
      </c>
      <c r="J179" s="302">
        <f t="shared" si="112"/>
        <v>0</v>
      </c>
      <c r="K179" s="302">
        <f t="shared" si="112"/>
        <v>0</v>
      </c>
      <c r="L179" s="302">
        <f t="shared" si="112"/>
        <v>0</v>
      </c>
      <c r="M179" s="302">
        <f t="shared" si="112"/>
        <v>0</v>
      </c>
      <c r="N179" s="302">
        <f t="shared" si="112"/>
        <v>0</v>
      </c>
      <c r="O179" s="302">
        <f t="shared" si="112"/>
        <v>0</v>
      </c>
      <c r="P179" s="302">
        <f t="shared" si="112"/>
        <v>0</v>
      </c>
      <c r="Q179" s="302">
        <f t="shared" si="112"/>
        <v>0</v>
      </c>
      <c r="R179" s="302">
        <f t="shared" si="112"/>
        <v>0</v>
      </c>
      <c r="S179" s="302">
        <f t="shared" si="112"/>
        <v>0</v>
      </c>
      <c r="T179" s="302">
        <f t="shared" si="112"/>
        <v>0</v>
      </c>
      <c r="U179" s="302">
        <f t="shared" si="112"/>
        <v>0</v>
      </c>
      <c r="V179" s="302">
        <f t="shared" si="112"/>
        <v>0</v>
      </c>
      <c r="W179" s="302">
        <f t="shared" si="112"/>
        <v>0</v>
      </c>
      <c r="X179" s="302">
        <f t="shared" si="112"/>
        <v>0</v>
      </c>
      <c r="Y179" s="302">
        <f t="shared" si="112"/>
        <v>0</v>
      </c>
      <c r="Z179" s="301"/>
    </row>
    <row r="180" spans="1:26" s="291" customFormat="1" x14ac:dyDescent="0.2">
      <c r="A180" s="130">
        <v>3</v>
      </c>
      <c r="B180" s="107"/>
      <c r="C180" s="80" t="str">
        <f>B59</f>
        <v>Option 1: Provide In Meter Capabilities + 1yr</v>
      </c>
      <c r="D180" s="80"/>
      <c r="E180" s="302">
        <f>E61</f>
        <v>0</v>
      </c>
      <c r="F180" s="302">
        <f t="shared" ref="F180:Y180" si="113">F61</f>
        <v>1366.6921482600001</v>
      </c>
      <c r="G180" s="302">
        <f t="shared" si="113"/>
        <v>1091.8657189810804</v>
      </c>
      <c r="H180" s="302">
        <f t="shared" si="113"/>
        <v>0</v>
      </c>
      <c r="I180" s="302">
        <f t="shared" si="113"/>
        <v>0</v>
      </c>
      <c r="J180" s="302">
        <f t="shared" si="113"/>
        <v>0</v>
      </c>
      <c r="K180" s="302">
        <f t="shared" si="113"/>
        <v>0</v>
      </c>
      <c r="L180" s="302">
        <f t="shared" si="113"/>
        <v>0</v>
      </c>
      <c r="M180" s="302">
        <f t="shared" si="113"/>
        <v>0</v>
      </c>
      <c r="N180" s="302">
        <f t="shared" si="113"/>
        <v>0</v>
      </c>
      <c r="O180" s="302">
        <f t="shared" si="113"/>
        <v>0</v>
      </c>
      <c r="P180" s="302">
        <f t="shared" si="113"/>
        <v>0</v>
      </c>
      <c r="Q180" s="302">
        <f t="shared" si="113"/>
        <v>0</v>
      </c>
      <c r="R180" s="302">
        <f t="shared" si="113"/>
        <v>0</v>
      </c>
      <c r="S180" s="302">
        <f t="shared" si="113"/>
        <v>0</v>
      </c>
      <c r="T180" s="302">
        <f t="shared" si="113"/>
        <v>0</v>
      </c>
      <c r="U180" s="302">
        <f t="shared" si="113"/>
        <v>0</v>
      </c>
      <c r="V180" s="302">
        <f t="shared" si="113"/>
        <v>0</v>
      </c>
      <c r="W180" s="302">
        <f t="shared" si="113"/>
        <v>0</v>
      </c>
      <c r="X180" s="302">
        <f t="shared" si="113"/>
        <v>0</v>
      </c>
      <c r="Y180" s="302">
        <f t="shared" si="113"/>
        <v>0</v>
      </c>
      <c r="Z180" s="301"/>
    </row>
    <row r="181" spans="1:26" s="291" customFormat="1" x14ac:dyDescent="0.2">
      <c r="A181" s="131">
        <v>4</v>
      </c>
      <c r="B181" s="107"/>
      <c r="C181" s="80" t="str">
        <f>B83</f>
        <v>Option 1: Provide In Meter Capabilities + 2yrs</v>
      </c>
      <c r="D181" s="80"/>
      <c r="E181" s="302">
        <f>E85</f>
        <v>0</v>
      </c>
      <c r="F181" s="302">
        <f t="shared" ref="F181:Y181" si="114">F85</f>
        <v>127.42500000000001</v>
      </c>
      <c r="G181" s="302">
        <f t="shared" si="114"/>
        <v>1393.2059759362442</v>
      </c>
      <c r="H181" s="302">
        <f t="shared" si="114"/>
        <v>1113.0479139293134</v>
      </c>
      <c r="I181" s="302">
        <f t="shared" si="114"/>
        <v>0</v>
      </c>
      <c r="J181" s="302">
        <f t="shared" si="114"/>
        <v>0</v>
      </c>
      <c r="K181" s="302">
        <f t="shared" si="114"/>
        <v>0</v>
      </c>
      <c r="L181" s="302">
        <f t="shared" si="114"/>
        <v>0</v>
      </c>
      <c r="M181" s="302">
        <f t="shared" si="114"/>
        <v>0</v>
      </c>
      <c r="N181" s="302">
        <f t="shared" si="114"/>
        <v>0</v>
      </c>
      <c r="O181" s="302">
        <f t="shared" si="114"/>
        <v>0</v>
      </c>
      <c r="P181" s="302">
        <f t="shared" si="114"/>
        <v>0</v>
      </c>
      <c r="Q181" s="302">
        <f t="shared" si="114"/>
        <v>0</v>
      </c>
      <c r="R181" s="302">
        <f t="shared" si="114"/>
        <v>0</v>
      </c>
      <c r="S181" s="302">
        <f t="shared" si="114"/>
        <v>0</v>
      </c>
      <c r="T181" s="302">
        <f t="shared" si="114"/>
        <v>0</v>
      </c>
      <c r="U181" s="302">
        <f t="shared" si="114"/>
        <v>0</v>
      </c>
      <c r="V181" s="302">
        <f t="shared" si="114"/>
        <v>0</v>
      </c>
      <c r="W181" s="302">
        <f t="shared" si="114"/>
        <v>0</v>
      </c>
      <c r="X181" s="302">
        <f t="shared" si="114"/>
        <v>0</v>
      </c>
      <c r="Y181" s="302">
        <f t="shared" si="114"/>
        <v>0</v>
      </c>
      <c r="Z181" s="301"/>
    </row>
    <row r="182" spans="1:26" s="291" customFormat="1" x14ac:dyDescent="0.2">
      <c r="A182" s="131">
        <v>5</v>
      </c>
      <c r="B182" s="107"/>
      <c r="C182" s="80" t="str">
        <f>B107</f>
        <v>Option 1: Provide In Meter Capabilities + 3yrs</v>
      </c>
      <c r="D182" s="80"/>
      <c r="E182" s="302">
        <f>E109</f>
        <v>0</v>
      </c>
      <c r="F182" s="302">
        <f t="shared" ref="F182:Y182" si="115">F109</f>
        <v>127.42500000000001</v>
      </c>
      <c r="G182" s="302">
        <f t="shared" si="115"/>
        <v>259.79409000000004</v>
      </c>
      <c r="H182" s="302">
        <f t="shared" si="115"/>
        <v>1420.2341718694074</v>
      </c>
      <c r="I182" s="302">
        <f t="shared" si="115"/>
        <v>1134.6410434595421</v>
      </c>
      <c r="J182" s="302">
        <f t="shared" si="115"/>
        <v>0</v>
      </c>
      <c r="K182" s="302">
        <f t="shared" si="115"/>
        <v>0</v>
      </c>
      <c r="L182" s="302">
        <f t="shared" si="115"/>
        <v>0</v>
      </c>
      <c r="M182" s="302">
        <f t="shared" si="115"/>
        <v>0</v>
      </c>
      <c r="N182" s="302">
        <f t="shared" si="115"/>
        <v>0</v>
      </c>
      <c r="O182" s="302">
        <f t="shared" si="115"/>
        <v>0</v>
      </c>
      <c r="P182" s="302">
        <f t="shared" si="115"/>
        <v>0</v>
      </c>
      <c r="Q182" s="302">
        <f t="shared" si="115"/>
        <v>0</v>
      </c>
      <c r="R182" s="302">
        <f t="shared" si="115"/>
        <v>0</v>
      </c>
      <c r="S182" s="302">
        <f t="shared" si="115"/>
        <v>0</v>
      </c>
      <c r="T182" s="302">
        <f t="shared" si="115"/>
        <v>0</v>
      </c>
      <c r="U182" s="302">
        <f t="shared" si="115"/>
        <v>0</v>
      </c>
      <c r="V182" s="302">
        <f t="shared" si="115"/>
        <v>0</v>
      </c>
      <c r="W182" s="302">
        <f t="shared" si="115"/>
        <v>0</v>
      </c>
      <c r="X182" s="302">
        <f t="shared" si="115"/>
        <v>0</v>
      </c>
      <c r="Y182" s="302">
        <f t="shared" si="115"/>
        <v>0</v>
      </c>
      <c r="Z182" s="301"/>
    </row>
    <row r="183" spans="1:26" s="291" customFormat="1" x14ac:dyDescent="0.2">
      <c r="A183" s="131">
        <v>6</v>
      </c>
      <c r="B183" s="107"/>
      <c r="C183" s="80" t="str">
        <f>B131</f>
        <v>Option 1: Provide In Meter Capabilities + 4yrs</v>
      </c>
      <c r="D183" s="80"/>
      <c r="E183" s="302">
        <f>E133</f>
        <v>0</v>
      </c>
      <c r="F183" s="302">
        <f t="shared" ref="F183:Y183" si="116">F133</f>
        <v>127.42500000000001</v>
      </c>
      <c r="G183" s="302">
        <f t="shared" si="116"/>
        <v>259.79409000000004</v>
      </c>
      <c r="H183" s="302">
        <f t="shared" si="116"/>
        <v>264.83409534600003</v>
      </c>
      <c r="I183" s="302">
        <f t="shared" si="116"/>
        <v>1447.7867148036739</v>
      </c>
      <c r="J183" s="302">
        <f t="shared" si="116"/>
        <v>1156.6530797026571</v>
      </c>
      <c r="K183" s="302">
        <f t="shared" si="116"/>
        <v>0</v>
      </c>
      <c r="L183" s="302">
        <f t="shared" si="116"/>
        <v>0</v>
      </c>
      <c r="M183" s="302">
        <f t="shared" si="116"/>
        <v>0</v>
      </c>
      <c r="N183" s="302">
        <f t="shared" si="116"/>
        <v>0</v>
      </c>
      <c r="O183" s="302">
        <f t="shared" si="116"/>
        <v>0</v>
      </c>
      <c r="P183" s="302">
        <f t="shared" si="116"/>
        <v>0</v>
      </c>
      <c r="Q183" s="302">
        <f t="shared" si="116"/>
        <v>0</v>
      </c>
      <c r="R183" s="302">
        <f t="shared" si="116"/>
        <v>0</v>
      </c>
      <c r="S183" s="302">
        <f t="shared" si="116"/>
        <v>0</v>
      </c>
      <c r="T183" s="302">
        <f t="shared" si="116"/>
        <v>0</v>
      </c>
      <c r="U183" s="302">
        <f t="shared" si="116"/>
        <v>0</v>
      </c>
      <c r="V183" s="302">
        <f t="shared" si="116"/>
        <v>0</v>
      </c>
      <c r="W183" s="302">
        <f t="shared" si="116"/>
        <v>0</v>
      </c>
      <c r="X183" s="302">
        <f t="shared" si="116"/>
        <v>0</v>
      </c>
      <c r="Y183" s="302">
        <f t="shared" si="116"/>
        <v>0</v>
      </c>
      <c r="Z183" s="301"/>
    </row>
    <row r="184" spans="1:26" s="3" customFormat="1" x14ac:dyDescent="0.2">
      <c r="A184" s="85"/>
      <c r="B184" s="13"/>
      <c r="C184" s="11"/>
      <c r="D184" s="11"/>
      <c r="E184" s="11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11"/>
      <c r="Y184" s="11"/>
      <c r="Z184" s="156"/>
    </row>
    <row r="185" spans="1:26" s="3" customFormat="1" x14ac:dyDescent="0.2">
      <c r="A185" s="2"/>
      <c r="B185" s="378" t="str">
        <f>"Differential Analysis between Status Quo and "&amp;+D221</f>
        <v>Differential Analysis between Status Quo and Option 1: Provide In Meter Capabilities + 2yrs</v>
      </c>
      <c r="C185" s="369"/>
      <c r="D185" s="369"/>
      <c r="E185" s="369"/>
      <c r="F185" s="379"/>
      <c r="G185" s="379"/>
      <c r="H185" s="379"/>
      <c r="I185" s="379"/>
      <c r="J185" s="379"/>
      <c r="K185" s="379"/>
      <c r="L185" s="379"/>
      <c r="M185" s="379"/>
      <c r="N185" s="379"/>
      <c r="O185" s="379"/>
      <c r="P185" s="379"/>
      <c r="Q185" s="379"/>
      <c r="R185" s="379"/>
      <c r="S185" s="379"/>
      <c r="T185" s="379"/>
      <c r="U185" s="379"/>
      <c r="V185" s="379"/>
      <c r="W185" s="379"/>
      <c r="X185" s="380"/>
      <c r="Y185" s="380"/>
      <c r="Z185" s="381"/>
    </row>
    <row r="186" spans="1:26" s="3" customFormat="1" x14ac:dyDescent="0.2">
      <c r="A186" s="2"/>
      <c r="B186" s="107"/>
      <c r="C186" s="2"/>
      <c r="D186" s="2"/>
      <c r="E186" s="2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2"/>
      <c r="Y186" s="2"/>
      <c r="Z186" s="154"/>
    </row>
    <row r="187" spans="1:26" s="3" customFormat="1" x14ac:dyDescent="0.2">
      <c r="A187" s="2"/>
      <c r="B187" s="13"/>
      <c r="C187" s="80" t="str">
        <f>"Cashflow - "&amp;+'User Input'!E15</f>
        <v>Cashflow - Status Quo</v>
      </c>
      <c r="D187" s="2"/>
      <c r="E187" s="145">
        <f>-E160</f>
        <v>0</v>
      </c>
      <c r="F187" s="145">
        <f t="shared" ref="F187:U187" si="117">-F160</f>
        <v>-127.42500000000001</v>
      </c>
      <c r="G187" s="145">
        <f t="shared" si="117"/>
        <v>-259.79409000000004</v>
      </c>
      <c r="H187" s="145">
        <f t="shared" si="117"/>
        <v>-264.83409534600003</v>
      </c>
      <c r="I187" s="145">
        <f t="shared" si="117"/>
        <v>-269.97187679571243</v>
      </c>
      <c r="J187" s="145">
        <f t="shared" si="117"/>
        <v>-275.20933120554923</v>
      </c>
      <c r="K187" s="145">
        <f t="shared" si="117"/>
        <v>-280.54839223093694</v>
      </c>
      <c r="L187" s="145">
        <f t="shared" si="117"/>
        <v>-285.99103104021714</v>
      </c>
      <c r="M187" s="145">
        <f t="shared" si="117"/>
        <v>-291.53925704239731</v>
      </c>
      <c r="N187" s="145">
        <f t="shared" si="117"/>
        <v>-297.19511862901982</v>
      </c>
      <c r="O187" s="145">
        <f t="shared" si="117"/>
        <v>-302.96070393042277</v>
      </c>
      <c r="P187" s="145">
        <f t="shared" si="117"/>
        <v>-308.83814158667298</v>
      </c>
      <c r="Q187" s="145">
        <f t="shared" si="117"/>
        <v>-314.82960153345448</v>
      </c>
      <c r="R187" s="145">
        <f t="shared" si="117"/>
        <v>-320.93729580320348</v>
      </c>
      <c r="S187" s="145">
        <f t="shared" si="117"/>
        <v>-327.1634793417856</v>
      </c>
      <c r="T187" s="145">
        <f t="shared" si="117"/>
        <v>-333.51045084101622</v>
      </c>
      <c r="U187" s="145">
        <f t="shared" si="117"/>
        <v>-339.98055358733194</v>
      </c>
      <c r="V187" s="145">
        <f>-V160</f>
        <v>-346.57617632692615</v>
      </c>
      <c r="W187" s="145">
        <f>-W160</f>
        <v>-353.29975414766852</v>
      </c>
      <c r="X187" s="145">
        <f>-X160</f>
        <v>-360.15376937813323</v>
      </c>
      <c r="Y187" s="145">
        <f>-Y160</f>
        <v>-367.14075250406904</v>
      </c>
      <c r="Z187" s="154"/>
    </row>
    <row r="188" spans="1:26" s="3" customFormat="1" x14ac:dyDescent="0.2">
      <c r="A188" s="2"/>
      <c r="B188" s="13"/>
      <c r="C188" s="80" t="str">
        <f>"Cashflow - "&amp;+D221</f>
        <v>Cashflow - Option 1: Provide In Meter Capabilities + 2yrs</v>
      </c>
      <c r="D188" s="2"/>
      <c r="E188" s="145">
        <f>-E239-E241</f>
        <v>0</v>
      </c>
      <c r="F188" s="145">
        <f>-F239+E239-F241</f>
        <v>-127.42500000000001</v>
      </c>
      <c r="G188" s="145">
        <f t="shared" ref="G188:Y188" si="118">-G239+F239-G241</f>
        <v>-1393.2059759362442</v>
      </c>
      <c r="H188" s="145">
        <f t="shared" si="118"/>
        <v>-1113.0479139293136</v>
      </c>
      <c r="I188" s="145">
        <f t="shared" si="118"/>
        <v>0</v>
      </c>
      <c r="J188" s="145">
        <f t="shared" si="118"/>
        <v>0</v>
      </c>
      <c r="K188" s="145">
        <f t="shared" si="118"/>
        <v>0</v>
      </c>
      <c r="L188" s="145">
        <f t="shared" si="118"/>
        <v>0</v>
      </c>
      <c r="M188" s="145">
        <f t="shared" si="118"/>
        <v>0</v>
      </c>
      <c r="N188" s="145">
        <f t="shared" si="118"/>
        <v>0</v>
      </c>
      <c r="O188" s="145">
        <f t="shared" si="118"/>
        <v>0</v>
      </c>
      <c r="P188" s="145">
        <f t="shared" si="118"/>
        <v>0</v>
      </c>
      <c r="Q188" s="145">
        <f t="shared" si="118"/>
        <v>0</v>
      </c>
      <c r="R188" s="145">
        <f t="shared" si="118"/>
        <v>0</v>
      </c>
      <c r="S188" s="145">
        <f t="shared" si="118"/>
        <v>0</v>
      </c>
      <c r="T188" s="145">
        <f t="shared" si="118"/>
        <v>0</v>
      </c>
      <c r="U188" s="145">
        <f t="shared" si="118"/>
        <v>0</v>
      </c>
      <c r="V188" s="145">
        <f t="shared" si="118"/>
        <v>0</v>
      </c>
      <c r="W188" s="145">
        <f t="shared" si="118"/>
        <v>0</v>
      </c>
      <c r="X188" s="145">
        <f t="shared" si="118"/>
        <v>0</v>
      </c>
      <c r="Y188" s="145">
        <f t="shared" si="118"/>
        <v>0</v>
      </c>
      <c r="Z188" s="154"/>
    </row>
    <row r="189" spans="1:26" s="3" customFormat="1" x14ac:dyDescent="0.2">
      <c r="A189" s="2"/>
      <c r="B189" s="13"/>
      <c r="C189" s="80" t="s">
        <v>82</v>
      </c>
      <c r="D189" s="2"/>
      <c r="E189" s="82">
        <f t="shared" ref="E189:Y189" si="119">E188-E187</f>
        <v>0</v>
      </c>
      <c r="F189" s="82">
        <f t="shared" si="119"/>
        <v>0</v>
      </c>
      <c r="G189" s="82">
        <f t="shared" si="119"/>
        <v>-1133.4118859362441</v>
      </c>
      <c r="H189" s="82">
        <f t="shared" si="119"/>
        <v>-848.21381858331358</v>
      </c>
      <c r="I189" s="82">
        <f t="shared" si="119"/>
        <v>269.97187679571243</v>
      </c>
      <c r="J189" s="82">
        <f t="shared" si="119"/>
        <v>275.20933120554923</v>
      </c>
      <c r="K189" s="82">
        <f t="shared" si="119"/>
        <v>280.54839223093694</v>
      </c>
      <c r="L189" s="82">
        <f t="shared" si="119"/>
        <v>285.99103104021714</v>
      </c>
      <c r="M189" s="82">
        <f t="shared" si="119"/>
        <v>291.53925704239731</v>
      </c>
      <c r="N189" s="82">
        <f t="shared" si="119"/>
        <v>297.19511862901982</v>
      </c>
      <c r="O189" s="82">
        <f t="shared" si="119"/>
        <v>302.96070393042277</v>
      </c>
      <c r="P189" s="82">
        <f t="shared" si="119"/>
        <v>308.83814158667298</v>
      </c>
      <c r="Q189" s="82">
        <f t="shared" si="119"/>
        <v>314.82960153345448</v>
      </c>
      <c r="R189" s="82">
        <f t="shared" si="119"/>
        <v>320.93729580320348</v>
      </c>
      <c r="S189" s="82">
        <f t="shared" si="119"/>
        <v>327.1634793417856</v>
      </c>
      <c r="T189" s="82">
        <f t="shared" si="119"/>
        <v>333.51045084101622</v>
      </c>
      <c r="U189" s="82">
        <f t="shared" si="119"/>
        <v>339.98055358733194</v>
      </c>
      <c r="V189" s="82">
        <f t="shared" si="119"/>
        <v>346.57617632692615</v>
      </c>
      <c r="W189" s="82">
        <f t="shared" si="119"/>
        <v>353.29975414766852</v>
      </c>
      <c r="X189" s="82">
        <f t="shared" si="119"/>
        <v>360.15376937813323</v>
      </c>
      <c r="Y189" s="82">
        <f t="shared" si="119"/>
        <v>367.14075250406904</v>
      </c>
      <c r="Z189" s="154"/>
    </row>
    <row r="190" spans="1:26" s="3" customFormat="1" x14ac:dyDescent="0.2">
      <c r="A190" s="2"/>
      <c r="B190" s="13"/>
      <c r="C190" s="80"/>
      <c r="D190" s="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154"/>
    </row>
    <row r="191" spans="1:26" s="3" customFormat="1" x14ac:dyDescent="0.2">
      <c r="A191" s="2"/>
      <c r="B191" s="13"/>
      <c r="C191" s="80" t="str">
        <f>"PV - "&amp;+'User Input'!E15</f>
        <v>PV - Status Quo</v>
      </c>
      <c r="D191" s="2"/>
      <c r="E191" s="81">
        <f>-E169</f>
        <v>0</v>
      </c>
      <c r="F191" s="81">
        <f t="shared" ref="F191:Y191" si="120">-F169</f>
        <v>-117.25867304683906</v>
      </c>
      <c r="G191" s="81">
        <f t="shared" si="120"/>
        <v>-219.99354247528802</v>
      </c>
      <c r="H191" s="81">
        <f t="shared" si="120"/>
        <v>-206.36920695620557</v>
      </c>
      <c r="I191" s="81">
        <f t="shared" si="120"/>
        <v>-193.58863492330539</v>
      </c>
      <c r="J191" s="81">
        <f t="shared" si="120"/>
        <v>-181.59957158444604</v>
      </c>
      <c r="K191" s="81">
        <f t="shared" si="120"/>
        <v>-170.35299831893283</v>
      </c>
      <c r="L191" s="81">
        <f t="shared" si="120"/>
        <v>-159.80293225942776</v>
      </c>
      <c r="M191" s="81">
        <f t="shared" si="120"/>
        <v>-149.90623828587525</v>
      </c>
      <c r="N191" s="81">
        <f t="shared" si="120"/>
        <v>-140.62245266275994</v>
      </c>
      <c r="O191" s="81">
        <f t="shared" si="120"/>
        <v>-131.91361759861735</v>
      </c>
      <c r="P191" s="81">
        <f t="shared" si="120"/>
        <v>-123.7441260513762</v>
      </c>
      <c r="Q191" s="81">
        <f t="shared" si="120"/>
        <v>-116.0805761450013</v>
      </c>
      <c r="R191" s="81">
        <f t="shared" si="120"/>
        <v>-108.89163460220331</v>
      </c>
      <c r="S191" s="81">
        <f t="shared" si="120"/>
        <v>-102.14790863484498</v>
      </c>
      <c r="T191" s="81">
        <f t="shared" si="120"/>
        <v>-95.821825768253376</v>
      </c>
      <c r="U191" s="81">
        <f t="shared" si="120"/>
        <v>-89.887521108086403</v>
      </c>
      <c r="V191" s="81">
        <f t="shared" si="120"/>
        <v>-84.320731588831578</v>
      </c>
      <c r="W191" s="81">
        <f t="shared" si="120"/>
        <v>-79.098696771560611</v>
      </c>
      <c r="X191" s="81">
        <f t="shared" si="120"/>
        <v>-74.200065785339902</v>
      </c>
      <c r="Y191" s="81">
        <f t="shared" si="120"/>
        <v>-69.604810031816967</v>
      </c>
      <c r="Z191" s="154"/>
    </row>
    <row r="192" spans="1:26" s="3" customFormat="1" x14ac:dyDescent="0.2">
      <c r="A192" s="2"/>
      <c r="B192" s="13"/>
      <c r="C192" s="80" t="str">
        <f>"PV - "&amp;+D221</f>
        <v>PV - Option 1: Provide In Meter Capabilities + 2yrs</v>
      </c>
      <c r="D192" s="2"/>
      <c r="E192" s="81">
        <f t="shared" ref="E192:Y192" si="121">-E230</f>
        <v>0</v>
      </c>
      <c r="F192" s="81">
        <f t="shared" si="121"/>
        <v>-117.25867304683906</v>
      </c>
      <c r="G192" s="81">
        <f t="shared" si="121"/>
        <v>-1179.7663220281693</v>
      </c>
      <c r="H192" s="81">
        <f t="shared" si="121"/>
        <v>-867.33097942602456</v>
      </c>
      <c r="I192" s="81">
        <f t="shared" si="121"/>
        <v>0</v>
      </c>
      <c r="J192" s="81">
        <f t="shared" si="121"/>
        <v>0</v>
      </c>
      <c r="K192" s="81">
        <f t="shared" si="121"/>
        <v>0</v>
      </c>
      <c r="L192" s="81">
        <f t="shared" si="121"/>
        <v>0</v>
      </c>
      <c r="M192" s="81">
        <f t="shared" si="121"/>
        <v>0</v>
      </c>
      <c r="N192" s="81">
        <f t="shared" si="121"/>
        <v>0</v>
      </c>
      <c r="O192" s="81">
        <f t="shared" si="121"/>
        <v>0</v>
      </c>
      <c r="P192" s="81">
        <f t="shared" si="121"/>
        <v>0</v>
      </c>
      <c r="Q192" s="81">
        <f t="shared" si="121"/>
        <v>0</v>
      </c>
      <c r="R192" s="81">
        <f t="shared" si="121"/>
        <v>0</v>
      </c>
      <c r="S192" s="81">
        <f t="shared" si="121"/>
        <v>0</v>
      </c>
      <c r="T192" s="81">
        <f t="shared" si="121"/>
        <v>0</v>
      </c>
      <c r="U192" s="81">
        <f t="shared" si="121"/>
        <v>0</v>
      </c>
      <c r="V192" s="81">
        <f t="shared" si="121"/>
        <v>0</v>
      </c>
      <c r="W192" s="81">
        <f t="shared" si="121"/>
        <v>0</v>
      </c>
      <c r="X192" s="81">
        <f t="shared" si="121"/>
        <v>0</v>
      </c>
      <c r="Y192" s="81">
        <f t="shared" si="121"/>
        <v>0</v>
      </c>
      <c r="Z192" s="154"/>
    </row>
    <row r="193" spans="1:26" s="3" customFormat="1" x14ac:dyDescent="0.2">
      <c r="A193" s="2"/>
      <c r="B193" s="13"/>
      <c r="C193" s="80" t="s">
        <v>89</v>
      </c>
      <c r="D193" s="2"/>
      <c r="E193" s="82">
        <f t="shared" ref="E193:Y193" si="122">E192-E191</f>
        <v>0</v>
      </c>
      <c r="F193" s="82">
        <f t="shared" si="122"/>
        <v>0</v>
      </c>
      <c r="G193" s="82">
        <f t="shared" si="122"/>
        <v>-959.77277955288127</v>
      </c>
      <c r="H193" s="82">
        <f t="shared" si="122"/>
        <v>-660.96177246981892</v>
      </c>
      <c r="I193" s="82">
        <f t="shared" si="122"/>
        <v>193.58863492330539</v>
      </c>
      <c r="J193" s="82">
        <f t="shared" si="122"/>
        <v>181.59957158444604</v>
      </c>
      <c r="K193" s="82">
        <f t="shared" si="122"/>
        <v>170.35299831893283</v>
      </c>
      <c r="L193" s="82">
        <f t="shared" si="122"/>
        <v>159.80293225942776</v>
      </c>
      <c r="M193" s="82">
        <f t="shared" si="122"/>
        <v>149.90623828587525</v>
      </c>
      <c r="N193" s="82">
        <f t="shared" si="122"/>
        <v>140.62245266275994</v>
      </c>
      <c r="O193" s="82">
        <f t="shared" si="122"/>
        <v>131.91361759861735</v>
      </c>
      <c r="P193" s="82">
        <f t="shared" si="122"/>
        <v>123.7441260513762</v>
      </c>
      <c r="Q193" s="82">
        <f t="shared" si="122"/>
        <v>116.0805761450013</v>
      </c>
      <c r="R193" s="82">
        <f t="shared" si="122"/>
        <v>108.89163460220331</v>
      </c>
      <c r="S193" s="82">
        <f t="shared" si="122"/>
        <v>102.14790863484498</v>
      </c>
      <c r="T193" s="82">
        <f t="shared" si="122"/>
        <v>95.821825768253376</v>
      </c>
      <c r="U193" s="82">
        <f t="shared" si="122"/>
        <v>89.887521108086403</v>
      </c>
      <c r="V193" s="82">
        <f t="shared" si="122"/>
        <v>84.320731588831578</v>
      </c>
      <c r="W193" s="82">
        <f t="shared" si="122"/>
        <v>79.098696771560611</v>
      </c>
      <c r="X193" s="82">
        <f t="shared" si="122"/>
        <v>74.200065785339902</v>
      </c>
      <c r="Y193" s="82">
        <f t="shared" si="122"/>
        <v>69.604810031816967</v>
      </c>
      <c r="Z193" s="154"/>
    </row>
    <row r="194" spans="1:26" s="3" customFormat="1" x14ac:dyDescent="0.2">
      <c r="A194" s="2"/>
      <c r="B194" s="13"/>
      <c r="C194" s="104" t="s">
        <v>102</v>
      </c>
      <c r="D194" s="104"/>
      <c r="E194" s="105">
        <f>E193</f>
        <v>0</v>
      </c>
      <c r="F194" s="105">
        <f>E194+F193</f>
        <v>0</v>
      </c>
      <c r="G194" s="105">
        <f t="shared" ref="G194:Y194" si="123">F194+G193</f>
        <v>-959.77277955288127</v>
      </c>
      <c r="H194" s="105">
        <f t="shared" si="123"/>
        <v>-1620.7345520227002</v>
      </c>
      <c r="I194" s="105">
        <f t="shared" si="123"/>
        <v>-1427.1459170993949</v>
      </c>
      <c r="J194" s="105">
        <f t="shared" si="123"/>
        <v>-1245.5463455149488</v>
      </c>
      <c r="K194" s="105">
        <f t="shared" si="123"/>
        <v>-1075.193347196016</v>
      </c>
      <c r="L194" s="105">
        <f t="shared" si="123"/>
        <v>-915.39041493658829</v>
      </c>
      <c r="M194" s="105">
        <f t="shared" si="123"/>
        <v>-765.48417665071304</v>
      </c>
      <c r="N194" s="105">
        <f t="shared" si="123"/>
        <v>-624.86172398795316</v>
      </c>
      <c r="O194" s="105">
        <f t="shared" si="123"/>
        <v>-492.94810638933581</v>
      </c>
      <c r="P194" s="105">
        <f t="shared" si="123"/>
        <v>-369.20398033795959</v>
      </c>
      <c r="Q194" s="105">
        <f t="shared" si="123"/>
        <v>-253.12340419295828</v>
      </c>
      <c r="R194" s="105">
        <f t="shared" si="123"/>
        <v>-144.23176959075496</v>
      </c>
      <c r="S194" s="105">
        <f t="shared" si="123"/>
        <v>-42.083860955909984</v>
      </c>
      <c r="T194" s="105">
        <f t="shared" si="123"/>
        <v>53.737964812343392</v>
      </c>
      <c r="U194" s="105">
        <f t="shared" si="123"/>
        <v>143.62548592042981</v>
      </c>
      <c r="V194" s="105">
        <f t="shared" si="123"/>
        <v>227.94621750926137</v>
      </c>
      <c r="W194" s="105">
        <f t="shared" si="123"/>
        <v>307.04491428082201</v>
      </c>
      <c r="X194" s="105">
        <f t="shared" si="123"/>
        <v>381.24498006616193</v>
      </c>
      <c r="Y194" s="105">
        <f t="shared" si="123"/>
        <v>450.84979009797888</v>
      </c>
      <c r="Z194" s="154"/>
    </row>
    <row r="195" spans="1:26" s="3" customFormat="1" x14ac:dyDescent="0.2">
      <c r="A195" s="2"/>
      <c r="B195" s="13"/>
      <c r="C195" s="80"/>
      <c r="D195" s="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154"/>
    </row>
    <row r="196" spans="1:26" s="3" customFormat="1" ht="13.5" thickBot="1" x14ac:dyDescent="0.25">
      <c r="A196" s="2"/>
      <c r="B196" s="13"/>
      <c r="C196" s="79" t="s">
        <v>90</v>
      </c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154"/>
    </row>
    <row r="197" spans="1:26" s="3" customFormat="1" ht="13.5" thickBot="1" x14ac:dyDescent="0.25">
      <c r="A197" s="2"/>
      <c r="B197" s="13"/>
      <c r="C197" s="80" t="s">
        <v>83</v>
      </c>
      <c r="D197" s="67">
        <f>SUM(E193:Y193)</f>
        <v>450.84979009797888</v>
      </c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154"/>
    </row>
    <row r="198" spans="1:26" s="3" customFormat="1" ht="13.5" thickBot="1" x14ac:dyDescent="0.25">
      <c r="A198" s="2"/>
      <c r="B198" s="13"/>
      <c r="C198" s="80" t="s">
        <v>20</v>
      </c>
      <c r="D198" s="86">
        <f>IRR(E189:Y189)</f>
        <v>0.12171318854183388</v>
      </c>
      <c r="E198" s="2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2"/>
      <c r="Y198" s="2"/>
      <c r="Z198" s="154"/>
    </row>
    <row r="199" spans="1:26" s="3" customFormat="1" ht="13.5" thickBot="1" x14ac:dyDescent="0.25">
      <c r="A199" s="2"/>
      <c r="B199" s="13"/>
      <c r="C199" s="80" t="s">
        <v>87</v>
      </c>
      <c r="D199" s="106">
        <f>COUNTIF(E194:Y194,"&lt;0")</f>
        <v>13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154"/>
    </row>
    <row r="200" spans="1:26" s="3" customFormat="1" x14ac:dyDescent="0.2">
      <c r="A200" s="2"/>
      <c r="B200" s="107"/>
      <c r="C200" s="2"/>
      <c r="D200" s="2"/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156"/>
    </row>
    <row r="201" spans="1:26" s="3" customFormat="1" x14ac:dyDescent="0.2">
      <c r="A201" s="2"/>
      <c r="B201" s="378" t="s">
        <v>91</v>
      </c>
      <c r="C201" s="382"/>
      <c r="D201" s="382"/>
      <c r="E201" s="382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2"/>
      <c r="Y201" s="382"/>
      <c r="Z201" s="384"/>
    </row>
    <row r="202" spans="1:26" s="3" customFormat="1" x14ac:dyDescent="0.2">
      <c r="A202" s="2"/>
      <c r="B202" s="107"/>
      <c r="C202" s="2"/>
      <c r="D202" s="2"/>
      <c r="E202" s="2">
        <v>2016</v>
      </c>
      <c r="F202" s="2">
        <v>2017</v>
      </c>
      <c r="G202" s="2">
        <v>2018</v>
      </c>
      <c r="H202" s="2">
        <v>2019</v>
      </c>
      <c r="I202" s="2">
        <v>2020</v>
      </c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2"/>
      <c r="Y202" s="2"/>
      <c r="Z202" s="154"/>
    </row>
    <row r="203" spans="1:26" s="3" customFormat="1" ht="63.75" x14ac:dyDescent="0.2">
      <c r="A203" s="2"/>
      <c r="B203" s="107"/>
      <c r="C203" s="385"/>
      <c r="D203" s="386" t="str">
        <f>B11</f>
        <v>"Status Quo" Reference Case</v>
      </c>
      <c r="E203" s="386" t="str">
        <f>B35</f>
        <v>Option 1: Provide In Meter Capabilities</v>
      </c>
      <c r="F203" s="387" t="str">
        <f>B59</f>
        <v>Option 1: Provide In Meter Capabilities + 1yr</v>
      </c>
      <c r="G203" s="388" t="str">
        <f>B83</f>
        <v>Option 1: Provide In Meter Capabilities + 2yrs</v>
      </c>
      <c r="H203" s="388" t="str">
        <f>B107</f>
        <v>Option 1: Provide In Meter Capabilities + 3yrs</v>
      </c>
      <c r="I203" s="388" t="str">
        <f>B131</f>
        <v>Option 1: Provide In Meter Capabilities + 4yrs</v>
      </c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154"/>
    </row>
    <row r="204" spans="1:26" s="3" customFormat="1" x14ac:dyDescent="0.2">
      <c r="A204" s="2"/>
      <c r="B204" s="107"/>
      <c r="C204" s="112"/>
      <c r="D204" s="120"/>
      <c r="E204" s="120"/>
      <c r="F204" s="124"/>
      <c r="G204" s="113"/>
      <c r="H204" s="113"/>
      <c r="I204" s="11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154"/>
    </row>
    <row r="205" spans="1:26" s="3" customFormat="1" x14ac:dyDescent="0.2">
      <c r="A205" s="2"/>
      <c r="B205" s="107"/>
      <c r="C205" s="114" t="str">
        <f>C13</f>
        <v>Capital Costs</v>
      </c>
      <c r="D205" s="121">
        <f>D13</f>
        <v>6027.8988712705177</v>
      </c>
      <c r="E205" s="121">
        <f>D37</f>
        <v>2411.7695382000002</v>
      </c>
      <c r="F205" s="125">
        <f>D61</f>
        <v>2458.5578672410802</v>
      </c>
      <c r="G205" s="115">
        <f>D85</f>
        <v>2633.6788898655577</v>
      </c>
      <c r="H205" s="115">
        <f>D109</f>
        <v>2942.0943053289493</v>
      </c>
      <c r="I205" s="115">
        <f>D133</f>
        <v>3256.4929798523312</v>
      </c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154"/>
    </row>
    <row r="206" spans="1:26" s="3" customFormat="1" x14ac:dyDescent="0.2">
      <c r="A206" s="2"/>
      <c r="B206" s="107"/>
      <c r="C206" s="114" t="str">
        <f>C14</f>
        <v>Maintenance Costs</v>
      </c>
      <c r="D206" s="121">
        <f>D14</f>
        <v>0</v>
      </c>
      <c r="E206" s="121">
        <f>D38</f>
        <v>0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154"/>
    </row>
    <row r="207" spans="1:26" s="3" customFormat="1" x14ac:dyDescent="0.2">
      <c r="A207" s="2"/>
      <c r="B207" s="107"/>
      <c r="C207" s="114" t="str">
        <f>C15</f>
        <v>Negative Impact on Revenue (STPIS)</v>
      </c>
      <c r="D207" s="121">
        <f>SUM(D16:D19)</f>
        <v>0</v>
      </c>
      <c r="E207" s="121">
        <f>SUM(D40:D43)</f>
        <v>0</v>
      </c>
      <c r="F207" s="125">
        <f>SUM(D64:D67)</f>
        <v>0</v>
      </c>
      <c r="G207" s="115">
        <f>SUM(D88:D91)</f>
        <v>0</v>
      </c>
      <c r="H207" s="115">
        <f>SUM(D112:D115)</f>
        <v>0</v>
      </c>
      <c r="I207" s="115">
        <f>SUM(D136:D139)</f>
        <v>0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154"/>
    </row>
    <row r="208" spans="1:26" s="3" customFormat="1" x14ac:dyDescent="0.2">
      <c r="A208" s="2"/>
      <c r="B208" s="107"/>
      <c r="C208" s="114" t="str">
        <f t="shared" ref="C208:D214" si="124">C20</f>
        <v>Network Outage Costs</v>
      </c>
      <c r="D208" s="121">
        <f t="shared" si="124"/>
        <v>0</v>
      </c>
      <c r="E208" s="121">
        <f t="shared" ref="E208:E214" si="125">D44</f>
        <v>0</v>
      </c>
      <c r="F208" s="125">
        <f t="shared" ref="F208:F214" si="126">D68</f>
        <v>0</v>
      </c>
      <c r="G208" s="115">
        <f t="shared" ref="G208:G214" si="127">D92</f>
        <v>0</v>
      </c>
      <c r="H208" s="115">
        <f t="shared" ref="H208:H214" si="128">D116</f>
        <v>0</v>
      </c>
      <c r="I208" s="115">
        <f t="shared" ref="I208:I214" si="129">D140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154"/>
    </row>
    <row r="209" spans="1:26" s="3" customFormat="1" x14ac:dyDescent="0.2">
      <c r="A209" s="2"/>
      <c r="B209" s="107"/>
      <c r="C209" s="114" t="str">
        <f t="shared" si="124"/>
        <v>Loss of F Factor Benefit</v>
      </c>
      <c r="D209" s="121">
        <f t="shared" si="124"/>
        <v>0</v>
      </c>
      <c r="E209" s="121">
        <f t="shared" si="125"/>
        <v>0</v>
      </c>
      <c r="F209" s="125">
        <f t="shared" si="126"/>
        <v>0</v>
      </c>
      <c r="G209" s="115">
        <f t="shared" si="127"/>
        <v>0</v>
      </c>
      <c r="H209" s="115">
        <f t="shared" si="128"/>
        <v>0</v>
      </c>
      <c r="I209" s="115">
        <f t="shared" si="129"/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154"/>
    </row>
    <row r="210" spans="1:26" s="3" customFormat="1" x14ac:dyDescent="0.2">
      <c r="A210" s="2"/>
      <c r="B210" s="107"/>
      <c r="C210" s="114" t="str">
        <f t="shared" si="124"/>
        <v>Cost 1</v>
      </c>
      <c r="D210" s="121">
        <f t="shared" si="124"/>
        <v>0</v>
      </c>
      <c r="E210" s="121">
        <f t="shared" si="125"/>
        <v>0</v>
      </c>
      <c r="F210" s="125">
        <f t="shared" si="126"/>
        <v>0</v>
      </c>
      <c r="G210" s="115">
        <f t="shared" si="127"/>
        <v>0</v>
      </c>
      <c r="H210" s="115">
        <f t="shared" si="128"/>
        <v>0</v>
      </c>
      <c r="I210" s="115">
        <f t="shared" si="129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154"/>
    </row>
    <row r="211" spans="1:26" s="3" customFormat="1" x14ac:dyDescent="0.2">
      <c r="A211" s="2"/>
      <c r="B211" s="107"/>
      <c r="C211" s="114" t="str">
        <f t="shared" si="124"/>
        <v>Cost 2</v>
      </c>
      <c r="D211" s="121">
        <f t="shared" si="124"/>
        <v>0</v>
      </c>
      <c r="E211" s="121">
        <f t="shared" si="125"/>
        <v>0</v>
      </c>
      <c r="F211" s="125">
        <f t="shared" si="126"/>
        <v>0</v>
      </c>
      <c r="G211" s="115">
        <f t="shared" si="127"/>
        <v>0</v>
      </c>
      <c r="H211" s="115">
        <f t="shared" si="128"/>
        <v>0</v>
      </c>
      <c r="I211" s="115">
        <f t="shared" si="129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154"/>
    </row>
    <row r="212" spans="1:26" s="3" customFormat="1" x14ac:dyDescent="0.2">
      <c r="A212" s="2"/>
      <c r="B212" s="107"/>
      <c r="C212" s="114" t="str">
        <f t="shared" si="124"/>
        <v>Cost 3</v>
      </c>
      <c r="D212" s="121">
        <f t="shared" si="124"/>
        <v>0</v>
      </c>
      <c r="E212" s="121">
        <f t="shared" si="125"/>
        <v>0</v>
      </c>
      <c r="F212" s="125">
        <f t="shared" si="126"/>
        <v>0</v>
      </c>
      <c r="G212" s="115">
        <f t="shared" si="127"/>
        <v>0</v>
      </c>
      <c r="H212" s="115">
        <f t="shared" si="128"/>
        <v>0</v>
      </c>
      <c r="I212" s="115">
        <f t="shared" si="129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154"/>
    </row>
    <row r="213" spans="1:26" s="3" customFormat="1" x14ac:dyDescent="0.2">
      <c r="A213" s="2"/>
      <c r="B213" s="107"/>
      <c r="C213" s="114" t="str">
        <f t="shared" si="124"/>
        <v>Cost 4</v>
      </c>
      <c r="D213" s="121">
        <f t="shared" si="124"/>
        <v>0</v>
      </c>
      <c r="E213" s="121">
        <f t="shared" si="125"/>
        <v>0</v>
      </c>
      <c r="F213" s="125">
        <f t="shared" si="126"/>
        <v>0</v>
      </c>
      <c r="G213" s="115">
        <f t="shared" si="127"/>
        <v>0</v>
      </c>
      <c r="H213" s="115">
        <f t="shared" si="128"/>
        <v>0</v>
      </c>
      <c r="I213" s="115">
        <f t="shared" si="129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154"/>
    </row>
    <row r="214" spans="1:26" s="3" customFormat="1" x14ac:dyDescent="0.2">
      <c r="A214" s="2"/>
      <c r="B214" s="107"/>
      <c r="C214" s="114" t="str">
        <f t="shared" si="124"/>
        <v>Cost 5</v>
      </c>
      <c r="D214" s="121">
        <f t="shared" si="124"/>
        <v>0</v>
      </c>
      <c r="E214" s="121">
        <f t="shared" si="125"/>
        <v>0</v>
      </c>
      <c r="F214" s="125">
        <f t="shared" si="126"/>
        <v>0</v>
      </c>
      <c r="G214" s="115">
        <f t="shared" si="127"/>
        <v>0</v>
      </c>
      <c r="H214" s="115">
        <f t="shared" si="128"/>
        <v>0</v>
      </c>
      <c r="I214" s="115">
        <f t="shared" si="129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154"/>
    </row>
    <row r="215" spans="1:26" s="3" customFormat="1" x14ac:dyDescent="0.2">
      <c r="A215" s="2"/>
      <c r="B215" s="107"/>
      <c r="C215" s="114" t="s">
        <v>292</v>
      </c>
      <c r="D215" s="121">
        <f>SUM(D27:D31)</f>
        <v>0</v>
      </c>
      <c r="E215" s="121">
        <f>SUM(D51:D55)</f>
        <v>0</v>
      </c>
      <c r="F215" s="125">
        <f>SUM(D75:D79)</f>
        <v>0</v>
      </c>
      <c r="G215" s="115">
        <f>SUM(D99:D103)</f>
        <v>0</v>
      </c>
      <c r="H215" s="115">
        <f>SUM(D123:D127)</f>
        <v>0</v>
      </c>
      <c r="I215" s="115">
        <f>SUM(D147:D151)</f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154"/>
    </row>
    <row r="216" spans="1:26" s="3" customFormat="1" x14ac:dyDescent="0.2">
      <c r="A216" s="2"/>
      <c r="B216" s="107"/>
      <c r="C216" s="116" t="str">
        <f>C32</f>
        <v>Total Costs</v>
      </c>
      <c r="D216" s="122">
        <f t="shared" ref="D216:I216" si="130">SUM(D205:D215)</f>
        <v>6027.8988712705177</v>
      </c>
      <c r="E216" s="122">
        <f t="shared" si="130"/>
        <v>2411.7695382000002</v>
      </c>
      <c r="F216" s="122">
        <f t="shared" si="130"/>
        <v>2458.5578672410802</v>
      </c>
      <c r="G216" s="122">
        <f t="shared" si="130"/>
        <v>2633.6788898655577</v>
      </c>
      <c r="H216" s="122">
        <f t="shared" si="130"/>
        <v>2942.0943053289493</v>
      </c>
      <c r="I216" s="122">
        <f t="shared" si="130"/>
        <v>3256.4929798523312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154"/>
    </row>
    <row r="217" spans="1:26" s="3" customFormat="1" x14ac:dyDescent="0.2">
      <c r="A217" s="2"/>
      <c r="B217" s="107"/>
      <c r="C217" s="114"/>
      <c r="D217" s="112"/>
      <c r="E217" s="112"/>
      <c r="F217" s="127"/>
      <c r="G217" s="117"/>
      <c r="H217" s="117"/>
      <c r="I217" s="1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154"/>
    </row>
    <row r="218" spans="1:26" s="3" customFormat="1" x14ac:dyDescent="0.2">
      <c r="A218" s="2"/>
      <c r="B218" s="107"/>
      <c r="C218" s="118" t="s">
        <v>80</v>
      </c>
      <c r="D218" s="691">
        <f>IF(D216=0," ",D33)</f>
        <v>2615.2057645990126</v>
      </c>
      <c r="E218" s="691">
        <f>IF(E216=0," ",D57)</f>
        <v>2326.3152163706636</v>
      </c>
      <c r="F218" s="692">
        <f>IF(F216=0," ",D81)</f>
        <v>2182.2450828823544</v>
      </c>
      <c r="G218" s="693">
        <f>IF(G216=0," ",D105)</f>
        <v>2164.355974501033</v>
      </c>
      <c r="H218" s="693">
        <f>IF(H216=0," ",D129)</f>
        <v>2257.571520852398</v>
      </c>
      <c r="I218" s="693">
        <f>IF(I216=0," ",D153)</f>
        <v>2345.0141710323751</v>
      </c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154"/>
    </row>
    <row r="219" spans="1:26" s="3" customFormat="1" x14ac:dyDescent="0.2">
      <c r="A219" s="2"/>
      <c r="B219" s="107"/>
      <c r="C219" s="80"/>
      <c r="D219" s="2"/>
      <c r="E219" s="2">
        <v>0</v>
      </c>
      <c r="F219" s="17">
        <v>1</v>
      </c>
      <c r="G219" s="17">
        <v>2</v>
      </c>
      <c r="H219" s="17">
        <v>3</v>
      </c>
      <c r="I219" s="17">
        <v>4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154"/>
    </row>
    <row r="220" spans="1:26" s="3" customFormat="1" x14ac:dyDescent="0.2">
      <c r="A220" s="2"/>
      <c r="B220" s="107"/>
      <c r="C220" s="6" t="s">
        <v>310</v>
      </c>
      <c r="D220" s="83">
        <f>MIN(D218:I218)</f>
        <v>2164.355974501033</v>
      </c>
      <c r="E220" s="2"/>
      <c r="F220" s="17">
        <f t="shared" ref="F220:H220" si="131">F218-$D$220</f>
        <v>17.889108381321421</v>
      </c>
      <c r="G220" s="17">
        <f t="shared" si="131"/>
        <v>0</v>
      </c>
      <c r="H220" s="17">
        <f t="shared" si="131"/>
        <v>93.215546351364992</v>
      </c>
      <c r="I220" s="17">
        <f>I218-$D$220</f>
        <v>180.65819653134213</v>
      </c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154"/>
    </row>
    <row r="221" spans="1:26" s="3" customFormat="1" x14ac:dyDescent="0.2">
      <c r="A221" s="2"/>
      <c r="B221" s="107"/>
      <c r="C221" s="6" t="s">
        <v>81</v>
      </c>
      <c r="D221" s="6" t="str">
        <f>IF(D220=D218,D203,IF(D220=E218,E203,IF(D220=F218,F203,IF(D220=G218,G203,IF(D220=H218,H203,IF(D220=I218,I203,"N/A"))))))</f>
        <v>Option 1: Provide In Meter Capabilities + 2yrs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154"/>
    </row>
    <row r="222" spans="1:26" s="3" customFormat="1" ht="13.5" thickBot="1" x14ac:dyDescent="0.25">
      <c r="A222" s="2"/>
      <c r="B222" s="108"/>
      <c r="C222" s="109"/>
      <c r="D222" s="109"/>
      <c r="E222" s="109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09"/>
      <c r="Y222" s="109"/>
      <c r="Z222" s="155"/>
    </row>
    <row r="223" spans="1:26" s="3" customFormat="1" x14ac:dyDescent="0.2">
      <c r="A223" s="2"/>
      <c r="B223" s="80"/>
      <c r="C223" s="2"/>
      <c r="D223" s="2"/>
      <c r="E223" s="2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2"/>
      <c r="Y223" s="2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</row>
    <row r="225" spans="1:26" s="3" customFormat="1" x14ac:dyDescent="0.2">
      <c r="A225" s="2"/>
      <c r="B225" s="187" t="s">
        <v>103</v>
      </c>
      <c r="C225" s="188"/>
      <c r="D225" s="188"/>
      <c r="E225" s="188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8"/>
      <c r="Y225" s="188"/>
      <c r="Z225" s="190"/>
    </row>
    <row r="226" spans="1:26" s="3" customFormat="1" x14ac:dyDescent="0.2">
      <c r="A226" s="2"/>
      <c r="B226" s="191"/>
      <c r="C226" s="85"/>
      <c r="D226" s="85"/>
      <c r="E226" s="85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85"/>
      <c r="Y226" s="85"/>
      <c r="Z226" s="192"/>
    </row>
    <row r="227" spans="1:26" s="3" customFormat="1" x14ac:dyDescent="0.2">
      <c r="A227" s="2"/>
      <c r="B227" s="191"/>
      <c r="C227" s="85"/>
      <c r="D227" s="80"/>
      <c r="E227" s="80">
        <f t="shared" ref="E227:O227" si="132">E5</f>
        <v>2019</v>
      </c>
      <c r="F227" s="80">
        <f t="shared" si="132"/>
        <v>2020</v>
      </c>
      <c r="G227" s="80">
        <f t="shared" si="132"/>
        <v>2021</v>
      </c>
      <c r="H227" s="80">
        <f t="shared" si="132"/>
        <v>2022</v>
      </c>
      <c r="I227" s="80">
        <f t="shared" si="132"/>
        <v>2023</v>
      </c>
      <c r="J227" s="80">
        <f t="shared" si="132"/>
        <v>2024</v>
      </c>
      <c r="K227" s="80">
        <f t="shared" si="132"/>
        <v>2025</v>
      </c>
      <c r="L227" s="80">
        <f t="shared" si="132"/>
        <v>2026</v>
      </c>
      <c r="M227" s="80">
        <f t="shared" si="132"/>
        <v>2027</v>
      </c>
      <c r="N227" s="80">
        <f t="shared" si="132"/>
        <v>2028</v>
      </c>
      <c r="O227" s="80">
        <f t="shared" si="132"/>
        <v>2029</v>
      </c>
      <c r="P227" s="185"/>
      <c r="Q227" s="185"/>
      <c r="R227" s="185"/>
      <c r="S227" s="185"/>
      <c r="T227" s="185"/>
      <c r="U227" s="185"/>
      <c r="V227" s="185"/>
      <c r="W227" s="185"/>
      <c r="X227" s="80"/>
      <c r="Y227" s="80"/>
      <c r="Z227" s="192"/>
    </row>
    <row r="228" spans="1:26" s="291" customFormat="1" x14ac:dyDescent="0.2">
      <c r="A228" s="80"/>
      <c r="B228" s="191"/>
      <c r="C228" s="85"/>
      <c r="D228" s="407" t="s">
        <v>243</v>
      </c>
      <c r="E228" s="145">
        <f>E236</f>
        <v>0</v>
      </c>
      <c r="F228" s="145">
        <f t="shared" ref="F228:Y228" si="133">F236</f>
        <v>11.047747500000002</v>
      </c>
      <c r="G228" s="145">
        <f t="shared" si="133"/>
        <v>33.571895103000003</v>
      </c>
      <c r="H228" s="145">
        <f t="shared" si="133"/>
        <v>56.533011169498209</v>
      </c>
      <c r="I228" s="145">
        <f t="shared" si="133"/>
        <v>79.939572887686481</v>
      </c>
      <c r="J228" s="145">
        <f t="shared" si="133"/>
        <v>103.80022190320759</v>
      </c>
      <c r="K228" s="145">
        <f t="shared" si="133"/>
        <v>128.12376750962983</v>
      </c>
      <c r="L228" s="145">
        <f t="shared" si="133"/>
        <v>152.91918990081666</v>
      </c>
      <c r="M228" s="145">
        <f t="shared" si="133"/>
        <v>178.1956434863925</v>
      </c>
      <c r="N228" s="145">
        <f t="shared" si="133"/>
        <v>203.96246027152853</v>
      </c>
      <c r="O228" s="145">
        <f t="shared" si="133"/>
        <v>230.22915330229617</v>
      </c>
      <c r="P228" s="145">
        <f t="shared" si="133"/>
        <v>257.00542017786074</v>
      </c>
      <c r="Q228" s="145">
        <f t="shared" si="133"/>
        <v>284.30114663081122</v>
      </c>
      <c r="R228" s="145">
        <f t="shared" si="133"/>
        <v>312.12641017694898</v>
      </c>
      <c r="S228" s="145">
        <f t="shared" si="133"/>
        <v>340.49148383588181</v>
      </c>
      <c r="T228" s="145">
        <f t="shared" si="133"/>
        <v>369.40683992379792</v>
      </c>
      <c r="U228" s="145">
        <f t="shared" si="133"/>
        <v>398.88315391981962</v>
      </c>
      <c r="V228" s="145">
        <f t="shared" si="133"/>
        <v>428.9313084073641</v>
      </c>
      <c r="W228" s="145">
        <f t="shared" si="133"/>
        <v>459.562397091967</v>
      </c>
      <c r="X228" s="145">
        <f t="shared" si="133"/>
        <v>490.78772889705112</v>
      </c>
      <c r="Y228" s="145">
        <f t="shared" si="133"/>
        <v>522.61883213915382</v>
      </c>
      <c r="Z228" s="425"/>
    </row>
    <row r="229" spans="1:26" s="291" customFormat="1" x14ac:dyDescent="0.2">
      <c r="A229" s="80"/>
      <c r="B229" s="426"/>
      <c r="C229" s="85"/>
      <c r="D229" s="186" t="str">
        <f>D221&amp;+" annual costs"</f>
        <v>Option 1: Provide In Meter Capabilities + 2yrs annual costs</v>
      </c>
      <c r="E229" s="145">
        <f>E242</f>
        <v>0</v>
      </c>
      <c r="F229" s="145">
        <f t="shared" ref="F229:Y229" si="134">F242</f>
        <v>11.047747500000002</v>
      </c>
      <c r="G229" s="145">
        <f t="shared" si="134"/>
        <v>131.83870561367237</v>
      </c>
      <c r="H229" s="145">
        <f t="shared" si="134"/>
        <v>228.33995975134386</v>
      </c>
      <c r="I229" s="145">
        <f t="shared" si="134"/>
        <v>228.33995975134386</v>
      </c>
      <c r="J229" s="145">
        <f t="shared" si="134"/>
        <v>228.33995975134386</v>
      </c>
      <c r="K229" s="145">
        <f t="shared" si="134"/>
        <v>228.33995975134386</v>
      </c>
      <c r="L229" s="145">
        <f t="shared" si="134"/>
        <v>228.33995975134386</v>
      </c>
      <c r="M229" s="145">
        <f t="shared" si="134"/>
        <v>228.33995975134386</v>
      </c>
      <c r="N229" s="145">
        <f t="shared" si="134"/>
        <v>228.33995975134386</v>
      </c>
      <c r="O229" s="145">
        <f t="shared" si="134"/>
        <v>228.33995975134386</v>
      </c>
      <c r="P229" s="145">
        <f t="shared" si="134"/>
        <v>228.33995975134386</v>
      </c>
      <c r="Q229" s="145">
        <f t="shared" si="134"/>
        <v>228.33995975134386</v>
      </c>
      <c r="R229" s="145">
        <f t="shared" si="134"/>
        <v>228.33995975134386</v>
      </c>
      <c r="S229" s="145">
        <f t="shared" si="134"/>
        <v>228.33995975134386</v>
      </c>
      <c r="T229" s="145">
        <f t="shared" si="134"/>
        <v>228.33995975134386</v>
      </c>
      <c r="U229" s="145">
        <f t="shared" si="134"/>
        <v>228.33995975134386</v>
      </c>
      <c r="V229" s="145">
        <f t="shared" si="134"/>
        <v>228.33995975134386</v>
      </c>
      <c r="W229" s="145">
        <f t="shared" si="134"/>
        <v>228.33995975134386</v>
      </c>
      <c r="X229" s="145">
        <f t="shared" si="134"/>
        <v>228.33995975134386</v>
      </c>
      <c r="Y229" s="145">
        <f t="shared" si="134"/>
        <v>228.33995975134386</v>
      </c>
      <c r="Z229" s="425"/>
    </row>
    <row r="230" spans="1:26" s="291" customFormat="1" x14ac:dyDescent="0.2">
      <c r="A230" s="80"/>
      <c r="B230" s="191"/>
      <c r="C230" s="85"/>
      <c r="D230" s="186" t="str">
        <f>D221&amp;+" PV of costs"</f>
        <v>Option 1: Provide In Meter Capabilities + 2yrs PV of costs</v>
      </c>
      <c r="E230" s="145">
        <f>VLOOKUP($B$238,$A$169:$Y$174,5)</f>
        <v>0</v>
      </c>
      <c r="F230" s="145">
        <f>VLOOKUP($B$238,$A$169:$Y$174,6)</f>
        <v>117.25867304683906</v>
      </c>
      <c r="G230" s="145">
        <f>VLOOKUP($B$238,$A$169:$Y$174,7)</f>
        <v>1179.7663220281693</v>
      </c>
      <c r="H230" s="145">
        <f>VLOOKUP($B$238,$A$169:$Y$174,8)</f>
        <v>867.33097942602456</v>
      </c>
      <c r="I230" s="145">
        <f>VLOOKUP($B$238,$A$169:$Y$174,9)</f>
        <v>0</v>
      </c>
      <c r="J230" s="145">
        <f>VLOOKUP($B$238,$A$169:$Y$174,10)</f>
        <v>0</v>
      </c>
      <c r="K230" s="145">
        <f>VLOOKUP($B$238,$A$169:$Y$174,11)</f>
        <v>0</v>
      </c>
      <c r="L230" s="145">
        <f>VLOOKUP($B$238,$A$169:$Y$174,12)</f>
        <v>0</v>
      </c>
      <c r="M230" s="145">
        <f>VLOOKUP($B$238,$A$169:$Y$174,13)</f>
        <v>0</v>
      </c>
      <c r="N230" s="145">
        <f>VLOOKUP($B$238,$A$169:$Y$174,14)</f>
        <v>0</v>
      </c>
      <c r="O230" s="145">
        <f>VLOOKUP($B$238,$A$169:$Y$174,15)</f>
        <v>0</v>
      </c>
      <c r="P230" s="145">
        <f>VLOOKUP($B$238,$A$169:$Y$174,16)</f>
        <v>0</v>
      </c>
      <c r="Q230" s="145">
        <f>VLOOKUP($B$238,$A$169:$Y$174,17)</f>
        <v>0</v>
      </c>
      <c r="R230" s="145">
        <f>VLOOKUP($B$238,$A$169:$Y$174,18)</f>
        <v>0</v>
      </c>
      <c r="S230" s="145">
        <f>VLOOKUP($B$238,$A$169:$Y$174,19)</f>
        <v>0</v>
      </c>
      <c r="T230" s="145">
        <f>VLOOKUP($B$238,$A$169:$Y$174,20)</f>
        <v>0</v>
      </c>
      <c r="U230" s="145">
        <f>VLOOKUP($B$238,$A$169:$Y$174,21)</f>
        <v>0</v>
      </c>
      <c r="V230" s="145">
        <f>VLOOKUP($B$238,$A$169:$Y$174,22)</f>
        <v>0</v>
      </c>
      <c r="W230" s="145">
        <f>VLOOKUP($B$238,$A$169:$Y$174,23)</f>
        <v>0</v>
      </c>
      <c r="X230" s="145">
        <f>VLOOKUP($B$238,$A$169:$Y$174,24)</f>
        <v>0</v>
      </c>
      <c r="Y230" s="145">
        <f>VLOOKUP($B$238,$A$169:$Y$174,25)</f>
        <v>0</v>
      </c>
      <c r="Z230" s="425"/>
    </row>
    <row r="231" spans="1:26" s="291" customFormat="1" x14ac:dyDescent="0.2">
      <c r="A231" s="80"/>
      <c r="B231" s="193"/>
      <c r="C231" s="80"/>
      <c r="D231" s="80"/>
      <c r="E231" s="80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80"/>
      <c r="Y231" s="80"/>
      <c r="Z231" s="425"/>
    </row>
    <row r="232" spans="1:26" s="143" customFormat="1" x14ac:dyDescent="0.2">
      <c r="A232" s="29"/>
      <c r="B232" s="193"/>
      <c r="C232" s="80"/>
      <c r="D232" s="194" t="str">
        <f>B11</f>
        <v>"Status Quo" Reference Case</v>
      </c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425"/>
    </row>
    <row r="233" spans="1:26" s="143" customFormat="1" x14ac:dyDescent="0.2">
      <c r="A233" s="29"/>
      <c r="B233" s="193"/>
      <c r="C233" s="80"/>
      <c r="D233" s="186" t="s">
        <v>76</v>
      </c>
      <c r="E233" s="145">
        <f>SUM($E13:E13)</f>
        <v>0</v>
      </c>
      <c r="F233" s="145">
        <f>SUM($E13:F13)</f>
        <v>127.42500000000001</v>
      </c>
      <c r="G233" s="145">
        <f>SUM($E13:G13)</f>
        <v>387.21909000000005</v>
      </c>
      <c r="H233" s="145">
        <f>SUM($E13:H13)</f>
        <v>652.05318534600008</v>
      </c>
      <c r="I233" s="145">
        <f>SUM($E13:I13)</f>
        <v>922.02506214171251</v>
      </c>
      <c r="J233" s="145">
        <f>SUM($E13:J13)</f>
        <v>1197.2343933472616</v>
      </c>
      <c r="K233" s="145">
        <f>SUM($E13:K13)</f>
        <v>1477.7827855781986</v>
      </c>
      <c r="L233" s="145">
        <f>SUM($E13:L13)</f>
        <v>1763.7738166184158</v>
      </c>
      <c r="M233" s="145">
        <f>SUM($E13:M13)</f>
        <v>2055.3130736608132</v>
      </c>
      <c r="N233" s="145">
        <f>SUM($E13:N13)</f>
        <v>2352.508192289833</v>
      </c>
      <c r="O233" s="145">
        <f>SUM($E13:O13)</f>
        <v>2655.4688962202558</v>
      </c>
      <c r="P233" s="145">
        <f>SUM($E13:P13)</f>
        <v>2964.3070378069287</v>
      </c>
      <c r="Q233" s="145">
        <f>SUM($E13:Q13)</f>
        <v>3279.1366393403832</v>
      </c>
      <c r="R233" s="145">
        <f>SUM($E13:R13)</f>
        <v>3600.0739351435868</v>
      </c>
      <c r="S233" s="145">
        <f>SUM($E13:S13)</f>
        <v>3927.2374144853725</v>
      </c>
      <c r="T233" s="145">
        <f>SUM($E13:T13)</f>
        <v>4260.7478653263888</v>
      </c>
      <c r="U233" s="145">
        <f>SUM($E13:U13)</f>
        <v>4600.7284189137208</v>
      </c>
      <c r="V233" s="145">
        <f>SUM($E13:V13)</f>
        <v>4947.3045952406474</v>
      </c>
      <c r="W233" s="145">
        <f>SUM($E13:W13)</f>
        <v>5300.6043493883162</v>
      </c>
      <c r="X233" s="145">
        <f>SUM($E13:X13)</f>
        <v>5660.7581187664491</v>
      </c>
      <c r="Y233" s="145">
        <f>SUM($E13:Y13)</f>
        <v>6027.8988712705177</v>
      </c>
      <c r="Z233" s="425"/>
    </row>
    <row r="234" spans="1:26" s="143" customFormat="1" x14ac:dyDescent="0.2">
      <c r="A234" s="29"/>
      <c r="B234" s="193"/>
      <c r="C234" s="80"/>
      <c r="D234" s="186" t="s">
        <v>160</v>
      </c>
      <c r="E234" s="145">
        <f>E233*'Administrator Input'!$F$22</f>
        <v>0</v>
      </c>
      <c r="F234" s="145">
        <f>F233*'Administrator Input'!$F$22</f>
        <v>11.047747500000002</v>
      </c>
      <c r="G234" s="145">
        <f>G233*'Administrator Input'!$F$22</f>
        <v>33.571895103000003</v>
      </c>
      <c r="H234" s="145">
        <f>H233*'Administrator Input'!$F$22</f>
        <v>56.533011169498209</v>
      </c>
      <c r="I234" s="145">
        <f>I233*'Administrator Input'!$F$22</f>
        <v>79.939572887686481</v>
      </c>
      <c r="J234" s="145">
        <f>J233*'Administrator Input'!$F$22</f>
        <v>103.80022190320759</v>
      </c>
      <c r="K234" s="145">
        <f>K233*'Administrator Input'!$F$22</f>
        <v>128.12376750962983</v>
      </c>
      <c r="L234" s="145">
        <f>L233*'Administrator Input'!$F$22</f>
        <v>152.91918990081666</v>
      </c>
      <c r="M234" s="145">
        <f>M233*'Administrator Input'!$F$22</f>
        <v>178.1956434863925</v>
      </c>
      <c r="N234" s="145">
        <f>N233*'Administrator Input'!$F$22</f>
        <v>203.96246027152853</v>
      </c>
      <c r="O234" s="145">
        <f>O233*'Administrator Input'!$F$22</f>
        <v>230.22915330229617</v>
      </c>
      <c r="P234" s="145">
        <f>P233*'Administrator Input'!$F$22</f>
        <v>257.00542017786074</v>
      </c>
      <c r="Q234" s="145">
        <f>Q233*'Administrator Input'!$F$22</f>
        <v>284.30114663081122</v>
      </c>
      <c r="R234" s="145">
        <f>R233*'Administrator Input'!$F$22</f>
        <v>312.12641017694898</v>
      </c>
      <c r="S234" s="145">
        <f>S233*'Administrator Input'!$F$22</f>
        <v>340.49148383588181</v>
      </c>
      <c r="T234" s="145">
        <f>T233*'Administrator Input'!$F$22</f>
        <v>369.40683992379792</v>
      </c>
      <c r="U234" s="145">
        <f>U233*'Administrator Input'!$F$22</f>
        <v>398.88315391981962</v>
      </c>
      <c r="V234" s="145">
        <f>V233*'Administrator Input'!$F$22</f>
        <v>428.9313084073641</v>
      </c>
      <c r="W234" s="145">
        <f>W233*'Administrator Input'!$F$22</f>
        <v>459.562397091967</v>
      </c>
      <c r="X234" s="145">
        <f>X233*'Administrator Input'!$F$22</f>
        <v>490.78772889705112</v>
      </c>
      <c r="Y234" s="145">
        <f>Y233*'Administrator Input'!$F$22</f>
        <v>522.61883213915382</v>
      </c>
      <c r="Z234" s="425"/>
    </row>
    <row r="235" spans="1:26" s="143" customFormat="1" x14ac:dyDescent="0.2">
      <c r="A235" s="29"/>
      <c r="B235" s="193"/>
      <c r="C235" s="80"/>
      <c r="D235" s="186" t="s">
        <v>158</v>
      </c>
      <c r="E235" s="145">
        <f>E32-E13</f>
        <v>0</v>
      </c>
      <c r="F235" s="145">
        <f t="shared" ref="F235:Y235" si="135">F32-F13</f>
        <v>0</v>
      </c>
      <c r="G235" s="145">
        <f t="shared" si="135"/>
        <v>0</v>
      </c>
      <c r="H235" s="145">
        <f t="shared" si="135"/>
        <v>0</v>
      </c>
      <c r="I235" s="145">
        <f t="shared" si="135"/>
        <v>0</v>
      </c>
      <c r="J235" s="145">
        <f t="shared" si="135"/>
        <v>0</v>
      </c>
      <c r="K235" s="145">
        <f t="shared" si="135"/>
        <v>0</v>
      </c>
      <c r="L235" s="145">
        <f t="shared" si="135"/>
        <v>0</v>
      </c>
      <c r="M235" s="145">
        <f t="shared" si="135"/>
        <v>0</v>
      </c>
      <c r="N235" s="145">
        <f t="shared" si="135"/>
        <v>0</v>
      </c>
      <c r="O235" s="145">
        <f t="shared" si="135"/>
        <v>0</v>
      </c>
      <c r="P235" s="145">
        <f t="shared" si="135"/>
        <v>0</v>
      </c>
      <c r="Q235" s="145">
        <f t="shared" si="135"/>
        <v>0</v>
      </c>
      <c r="R235" s="145">
        <f t="shared" si="135"/>
        <v>0</v>
      </c>
      <c r="S235" s="145">
        <f t="shared" si="135"/>
        <v>0</v>
      </c>
      <c r="T235" s="145">
        <f t="shared" si="135"/>
        <v>0</v>
      </c>
      <c r="U235" s="145">
        <f t="shared" si="135"/>
        <v>0</v>
      </c>
      <c r="V235" s="145">
        <f t="shared" si="135"/>
        <v>0</v>
      </c>
      <c r="W235" s="145">
        <f t="shared" si="135"/>
        <v>0</v>
      </c>
      <c r="X235" s="145">
        <f t="shared" si="135"/>
        <v>0</v>
      </c>
      <c r="Y235" s="145">
        <f t="shared" si="135"/>
        <v>0</v>
      </c>
      <c r="Z235" s="425"/>
    </row>
    <row r="236" spans="1:26" s="143" customFormat="1" x14ac:dyDescent="0.2">
      <c r="A236" s="29"/>
      <c r="B236" s="193"/>
      <c r="C236" s="80"/>
      <c r="D236" s="186" t="s">
        <v>244</v>
      </c>
      <c r="E236" s="145">
        <f>E234+E235</f>
        <v>0</v>
      </c>
      <c r="F236" s="145">
        <f t="shared" ref="F236:Y236" si="136">F234+F235</f>
        <v>11.047747500000002</v>
      </c>
      <c r="G236" s="145">
        <f t="shared" si="136"/>
        <v>33.571895103000003</v>
      </c>
      <c r="H236" s="145">
        <f t="shared" si="136"/>
        <v>56.533011169498209</v>
      </c>
      <c r="I236" s="145">
        <f t="shared" si="136"/>
        <v>79.939572887686481</v>
      </c>
      <c r="J236" s="145">
        <f t="shared" si="136"/>
        <v>103.80022190320759</v>
      </c>
      <c r="K236" s="145">
        <f t="shared" si="136"/>
        <v>128.12376750962983</v>
      </c>
      <c r="L236" s="145">
        <f t="shared" si="136"/>
        <v>152.91918990081666</v>
      </c>
      <c r="M236" s="145">
        <f t="shared" si="136"/>
        <v>178.1956434863925</v>
      </c>
      <c r="N236" s="145">
        <f t="shared" si="136"/>
        <v>203.96246027152853</v>
      </c>
      <c r="O236" s="145">
        <f t="shared" si="136"/>
        <v>230.22915330229617</v>
      </c>
      <c r="P236" s="145">
        <f t="shared" si="136"/>
        <v>257.00542017786074</v>
      </c>
      <c r="Q236" s="145">
        <f t="shared" si="136"/>
        <v>284.30114663081122</v>
      </c>
      <c r="R236" s="145">
        <f t="shared" si="136"/>
        <v>312.12641017694898</v>
      </c>
      <c r="S236" s="145">
        <f t="shared" si="136"/>
        <v>340.49148383588181</v>
      </c>
      <c r="T236" s="145">
        <f t="shared" si="136"/>
        <v>369.40683992379792</v>
      </c>
      <c r="U236" s="145">
        <f t="shared" si="136"/>
        <v>398.88315391981962</v>
      </c>
      <c r="V236" s="145">
        <f t="shared" si="136"/>
        <v>428.9313084073641</v>
      </c>
      <c r="W236" s="145">
        <f t="shared" si="136"/>
        <v>459.562397091967</v>
      </c>
      <c r="X236" s="145">
        <f t="shared" si="136"/>
        <v>490.78772889705112</v>
      </c>
      <c r="Y236" s="145">
        <f t="shared" si="136"/>
        <v>522.61883213915382</v>
      </c>
      <c r="Z236" s="425"/>
    </row>
    <row r="237" spans="1:26" s="143" customFormat="1" x14ac:dyDescent="0.2">
      <c r="A237" s="29"/>
      <c r="B237" s="193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425"/>
    </row>
    <row r="238" spans="1:26" s="143" customFormat="1" x14ac:dyDescent="0.2">
      <c r="A238" s="29"/>
      <c r="B238" s="191">
        <f>IF(D221=D203,1,IF(D221=E203,2,IF(D221=F203,3,IF(D221=G203,4,IF(D221=H203,5,IF(D221=I203,6,"N/A"))))))</f>
        <v>4</v>
      </c>
      <c r="C238" s="80"/>
      <c r="D238" s="194" t="str">
        <f>"Recommended Case: "&amp;+D221</f>
        <v>Recommended Case: Option 1: Provide In Meter Capabilities + 2yrs</v>
      </c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425"/>
    </row>
    <row r="239" spans="1:26" s="143" customFormat="1" x14ac:dyDescent="0.2">
      <c r="A239" s="29"/>
      <c r="B239" s="191"/>
      <c r="C239" s="80"/>
      <c r="D239" s="186" t="s">
        <v>76</v>
      </c>
      <c r="E239" s="145">
        <f>VLOOKUP($B$238,$A$178:$Y$183,5)</f>
        <v>0</v>
      </c>
      <c r="F239" s="145">
        <f>E239+VLOOKUP($B$238,$A$178:$Y$183,6)</f>
        <v>127.42500000000001</v>
      </c>
      <c r="G239" s="145">
        <f>F239+VLOOKUP($B$238,$A$178:$Y$183,7)</f>
        <v>1520.6309759362441</v>
      </c>
      <c r="H239" s="145">
        <f>G239+VLOOKUP($B$238,$A$178:$Y$183,8)</f>
        <v>2633.6788898655577</v>
      </c>
      <c r="I239" s="145">
        <f>H239+VLOOKUP($B$238,$A$178:$Y$183,9)</f>
        <v>2633.6788898655577</v>
      </c>
      <c r="J239" s="145">
        <f>I239+VLOOKUP($B$238,$A$178:$Y$183,10)</f>
        <v>2633.6788898655577</v>
      </c>
      <c r="K239" s="145">
        <f>J239+VLOOKUP($B$238,$A$178:$Y$183,11)</f>
        <v>2633.6788898655577</v>
      </c>
      <c r="L239" s="145">
        <f>K239+VLOOKUP($B$238,$A$178:$Y$183,12)</f>
        <v>2633.6788898655577</v>
      </c>
      <c r="M239" s="145">
        <f>L239+VLOOKUP($B$238,$A$178:$Y$183,13)</f>
        <v>2633.6788898655577</v>
      </c>
      <c r="N239" s="145">
        <f>M239+VLOOKUP($B$238,$A$178:$Y$183,14)</f>
        <v>2633.6788898655577</v>
      </c>
      <c r="O239" s="145">
        <f>N239+VLOOKUP($B$238,$A$178:$Y$183,15)</f>
        <v>2633.6788898655577</v>
      </c>
      <c r="P239" s="145">
        <f>O239+VLOOKUP($B$238,$A$178:$Y$183,16)</f>
        <v>2633.6788898655577</v>
      </c>
      <c r="Q239" s="145">
        <f>P239+VLOOKUP($B$238,$A$178:$Y$183,17)</f>
        <v>2633.6788898655577</v>
      </c>
      <c r="R239" s="145">
        <f>Q239+VLOOKUP($B$238,$A$178:$Y$183,18)</f>
        <v>2633.6788898655577</v>
      </c>
      <c r="S239" s="145">
        <f>R239+VLOOKUP($B$238,$A$178:$Y$183,19)</f>
        <v>2633.6788898655577</v>
      </c>
      <c r="T239" s="145">
        <f>S239+VLOOKUP($B$238,$A$178:$Y$183,20)</f>
        <v>2633.6788898655577</v>
      </c>
      <c r="U239" s="145">
        <f>T239+VLOOKUP($B$238,$A$178:$Y$183,21)</f>
        <v>2633.6788898655577</v>
      </c>
      <c r="V239" s="145">
        <f>U239+VLOOKUP($B$238,$A$178:$Y$183,22)</f>
        <v>2633.6788898655577</v>
      </c>
      <c r="W239" s="145">
        <f>V239+VLOOKUP($B$238,$A$178:$Y$183,23)</f>
        <v>2633.6788898655577</v>
      </c>
      <c r="X239" s="145">
        <f>W239+VLOOKUP($B$238,$A$178:$Y$183,24)</f>
        <v>2633.6788898655577</v>
      </c>
      <c r="Y239" s="145">
        <f>X239+VLOOKUP($B$238,$A$178:$Y$183,25)</f>
        <v>2633.6788898655577</v>
      </c>
      <c r="Z239" s="425"/>
    </row>
    <row r="240" spans="1:26" s="143" customFormat="1" x14ac:dyDescent="0.2">
      <c r="A240" s="29"/>
      <c r="B240" s="191"/>
      <c r="C240" s="80"/>
      <c r="D240" s="186" t="s">
        <v>160</v>
      </c>
      <c r="E240" s="145">
        <f>E239*'Administrator Input'!$F$22</f>
        <v>0</v>
      </c>
      <c r="F240" s="145">
        <f>F239*'Administrator Input'!$F$22</f>
        <v>11.047747500000002</v>
      </c>
      <c r="G240" s="145">
        <f>G239*'Administrator Input'!$F$22</f>
        <v>131.83870561367237</v>
      </c>
      <c r="H240" s="145">
        <f>H239*'Administrator Input'!$F$22</f>
        <v>228.33995975134386</v>
      </c>
      <c r="I240" s="145">
        <f>I239*'Administrator Input'!$F$22</f>
        <v>228.33995975134386</v>
      </c>
      <c r="J240" s="145">
        <f>J239*'Administrator Input'!$F$22</f>
        <v>228.33995975134386</v>
      </c>
      <c r="K240" s="145">
        <f>K239*'Administrator Input'!$F$22</f>
        <v>228.33995975134386</v>
      </c>
      <c r="L240" s="145">
        <f>L239*'Administrator Input'!$F$22</f>
        <v>228.33995975134386</v>
      </c>
      <c r="M240" s="145">
        <f>M239*'Administrator Input'!$F$22</f>
        <v>228.33995975134386</v>
      </c>
      <c r="N240" s="145">
        <f>N239*'Administrator Input'!$F$22</f>
        <v>228.33995975134386</v>
      </c>
      <c r="O240" s="145">
        <f>O239*'Administrator Input'!$F$22</f>
        <v>228.33995975134386</v>
      </c>
      <c r="P240" s="145">
        <f>P239*'Administrator Input'!$F$22</f>
        <v>228.33995975134386</v>
      </c>
      <c r="Q240" s="145">
        <f>Q239*'Administrator Input'!$F$22</f>
        <v>228.33995975134386</v>
      </c>
      <c r="R240" s="145">
        <f>R239*'Administrator Input'!$F$22</f>
        <v>228.33995975134386</v>
      </c>
      <c r="S240" s="145">
        <f>S239*'Administrator Input'!$F$22</f>
        <v>228.33995975134386</v>
      </c>
      <c r="T240" s="145">
        <f>T239*'Administrator Input'!$F$22</f>
        <v>228.33995975134386</v>
      </c>
      <c r="U240" s="145">
        <f>U239*'Administrator Input'!$F$22</f>
        <v>228.33995975134386</v>
      </c>
      <c r="V240" s="145">
        <f>V239*'Administrator Input'!$F$22</f>
        <v>228.33995975134386</v>
      </c>
      <c r="W240" s="145">
        <f>W239*'Administrator Input'!$F$22</f>
        <v>228.33995975134386</v>
      </c>
      <c r="X240" s="145">
        <f>X239*'Administrator Input'!$F$22</f>
        <v>228.33995975134386</v>
      </c>
      <c r="Y240" s="145">
        <f>Y239*'Administrator Input'!$F$22</f>
        <v>228.33995975134386</v>
      </c>
      <c r="Z240" s="425"/>
    </row>
    <row r="241" spans="1:26" s="143" customFormat="1" x14ac:dyDescent="0.2">
      <c r="A241" s="29"/>
      <c r="B241" s="193"/>
      <c r="C241" s="80"/>
      <c r="D241" s="186" t="s">
        <v>158</v>
      </c>
      <c r="E241" s="145">
        <f>VLOOKUP($B$238,$A$160:$Y$165,5)-VLOOKUP($B$238,$A$178:$Y$183,5)</f>
        <v>0</v>
      </c>
      <c r="F241" s="145">
        <f>VLOOKUP($B$238,$A$160:$Y$165,6)-VLOOKUP($B$238,$A$178:$Y$183,6)</f>
        <v>0</v>
      </c>
      <c r="G241" s="145">
        <f>VLOOKUP($B$238,$A$160:$Y$165,7)-VLOOKUP($B$238,$A$178:$Y$183,7)</f>
        <v>0</v>
      </c>
      <c r="H241" s="145">
        <f>VLOOKUP($B$238,$A$160:$Y$165,8)-VLOOKUP($B$238,$A$178:$Y$183,8)</f>
        <v>0</v>
      </c>
      <c r="I241" s="145">
        <f>VLOOKUP($B$238,$A$160:$Y$165,9)-VLOOKUP($B$238,$A$178:$Y$183,9)</f>
        <v>0</v>
      </c>
      <c r="J241" s="145">
        <f>VLOOKUP($B$238,$A$160:$Y$165,10)-VLOOKUP($B$238,$A$178:$Y$183,10)</f>
        <v>0</v>
      </c>
      <c r="K241" s="145">
        <f>VLOOKUP($B$238,$A$160:$Y$165,11)-VLOOKUP($B$238,$A$178:$Y$183,11)</f>
        <v>0</v>
      </c>
      <c r="L241" s="145">
        <f>VLOOKUP($B$238,$A$160:$Y$165,12)-VLOOKUP($B$238,$A$178:$Y$183,12)</f>
        <v>0</v>
      </c>
      <c r="M241" s="145">
        <f>VLOOKUP($B$238,$A$160:$Y$165,13)-VLOOKUP($B$238,$A$178:$Y$183,13)</f>
        <v>0</v>
      </c>
      <c r="N241" s="145">
        <f>VLOOKUP($B$238,$A$160:$Y$165,14)-VLOOKUP($B$238,$A$178:$Y$183,14)</f>
        <v>0</v>
      </c>
      <c r="O241" s="145">
        <f>VLOOKUP($B$238,$A$160:$Y$165,15)-VLOOKUP($B$238,$A$178:$Y$183,15)</f>
        <v>0</v>
      </c>
      <c r="P241" s="145">
        <f>VLOOKUP($B$238,$A$160:$Y$165,16)-VLOOKUP($B$238,$A$178:$Y$183,16)</f>
        <v>0</v>
      </c>
      <c r="Q241" s="145">
        <f>VLOOKUP($B$238,$A$160:$Y$165,17)-VLOOKUP($B$238,$A$178:$Y$183,17)</f>
        <v>0</v>
      </c>
      <c r="R241" s="145">
        <f>VLOOKUP($B$238,$A$160:$Y$165,18)-VLOOKUP($B$238,$A$178:$Y$183,18)</f>
        <v>0</v>
      </c>
      <c r="S241" s="145">
        <f>VLOOKUP($B$238,$A$160:$Y$165,19)-VLOOKUP($B$238,$A$178:$Y$183,19)</f>
        <v>0</v>
      </c>
      <c r="T241" s="145">
        <f>VLOOKUP($B$238,$A$160:$Y$165,20)-VLOOKUP($B$238,$A$178:$Y$183,20)</f>
        <v>0</v>
      </c>
      <c r="U241" s="145">
        <f>VLOOKUP($B$238,$A$160:$Y$165,21)-VLOOKUP($B$238,$A$178:$Y$183,21)</f>
        <v>0</v>
      </c>
      <c r="V241" s="145">
        <f>VLOOKUP($B$238,$A$160:$Y$165,22)-VLOOKUP($B$238,$A$178:$Y$183,22)</f>
        <v>0</v>
      </c>
      <c r="W241" s="145">
        <f>VLOOKUP($B$238,$A$160:$Y$165,23)-VLOOKUP($B$238,$A$178:$Y$183,23)</f>
        <v>0</v>
      </c>
      <c r="X241" s="145">
        <f>VLOOKUP($B$238,$A$160:$Y$165,24)-VLOOKUP($B$238,$A$178:$Y$183,24)</f>
        <v>0</v>
      </c>
      <c r="Y241" s="145">
        <f>VLOOKUP($B$238,$A$160:$Y$165,25)-VLOOKUP($B$238,$A$178:$Y$183,25)</f>
        <v>0</v>
      </c>
      <c r="Z241" s="425"/>
    </row>
    <row r="242" spans="1:26" s="143" customFormat="1" x14ac:dyDescent="0.2">
      <c r="A242" s="29"/>
      <c r="B242" s="193"/>
      <c r="C242" s="80"/>
      <c r="D242" s="186" t="s">
        <v>244</v>
      </c>
      <c r="E242" s="145">
        <f>E240+E241</f>
        <v>0</v>
      </c>
      <c r="F242" s="145">
        <f t="shared" ref="F242:Y242" si="137">F240+F241</f>
        <v>11.047747500000002</v>
      </c>
      <c r="G242" s="145">
        <f t="shared" si="137"/>
        <v>131.83870561367237</v>
      </c>
      <c r="H242" s="145">
        <f t="shared" si="137"/>
        <v>228.33995975134386</v>
      </c>
      <c r="I242" s="145">
        <f t="shared" si="137"/>
        <v>228.33995975134386</v>
      </c>
      <c r="J242" s="145">
        <f t="shared" si="137"/>
        <v>228.33995975134386</v>
      </c>
      <c r="K242" s="145">
        <f t="shared" si="137"/>
        <v>228.33995975134386</v>
      </c>
      <c r="L242" s="145">
        <f t="shared" si="137"/>
        <v>228.33995975134386</v>
      </c>
      <c r="M242" s="145">
        <f t="shared" si="137"/>
        <v>228.33995975134386</v>
      </c>
      <c r="N242" s="145">
        <f t="shared" si="137"/>
        <v>228.33995975134386</v>
      </c>
      <c r="O242" s="145">
        <f t="shared" si="137"/>
        <v>228.33995975134386</v>
      </c>
      <c r="P242" s="145">
        <f t="shared" si="137"/>
        <v>228.33995975134386</v>
      </c>
      <c r="Q242" s="145">
        <f t="shared" si="137"/>
        <v>228.33995975134386</v>
      </c>
      <c r="R242" s="145">
        <f t="shared" si="137"/>
        <v>228.33995975134386</v>
      </c>
      <c r="S242" s="145">
        <f t="shared" si="137"/>
        <v>228.33995975134386</v>
      </c>
      <c r="T242" s="145">
        <f t="shared" si="137"/>
        <v>228.33995975134386</v>
      </c>
      <c r="U242" s="145">
        <f t="shared" si="137"/>
        <v>228.33995975134386</v>
      </c>
      <c r="V242" s="145">
        <f t="shared" si="137"/>
        <v>228.33995975134386</v>
      </c>
      <c r="W242" s="145">
        <f t="shared" si="137"/>
        <v>228.33995975134386</v>
      </c>
      <c r="X242" s="145">
        <f t="shared" si="137"/>
        <v>228.33995975134386</v>
      </c>
      <c r="Y242" s="145">
        <f t="shared" si="137"/>
        <v>228.33995975134386</v>
      </c>
      <c r="Z242" s="425"/>
    </row>
    <row r="243" spans="1:26" s="143" customFormat="1" x14ac:dyDescent="0.2">
      <c r="A243" s="29"/>
      <c r="B243" s="427"/>
      <c r="C243" s="428"/>
      <c r="D243" s="428"/>
      <c r="E243" s="428"/>
      <c r="F243" s="428"/>
      <c r="G243" s="428"/>
      <c r="H243" s="428"/>
      <c r="I243" s="428"/>
      <c r="J243" s="428"/>
      <c r="K243" s="428"/>
      <c r="L243" s="428"/>
      <c r="M243" s="428"/>
      <c r="N243" s="428"/>
      <c r="O243" s="428"/>
      <c r="P243" s="428"/>
      <c r="Q243" s="428"/>
      <c r="R243" s="428"/>
      <c r="S243" s="428"/>
      <c r="T243" s="428"/>
      <c r="U243" s="428"/>
      <c r="V243" s="428"/>
      <c r="W243" s="428"/>
      <c r="X243" s="428"/>
      <c r="Y243" s="428"/>
      <c r="Z243" s="4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29"/>
    <pageSetUpPr fitToPage="1"/>
  </sheetPr>
  <dimension ref="A1:BG619"/>
  <sheetViews>
    <sheetView showGridLines="0" topLeftCell="A40" zoomScaleNormal="85" workbookViewId="0">
      <selection activeCell="C91" sqref="C91"/>
    </sheetView>
  </sheetViews>
  <sheetFormatPr defaultRowHeight="12.75" x14ac:dyDescent="0.2"/>
  <cols>
    <col min="1" max="1" width="3.5703125" style="433" customWidth="1"/>
    <col min="2" max="2" width="3.7109375" style="1" customWidth="1"/>
    <col min="3" max="3" width="5.5703125" style="1" customWidth="1"/>
    <col min="4" max="4" width="42.140625" style="1" customWidth="1"/>
    <col min="5" max="10" width="16.5703125" style="1" customWidth="1"/>
    <col min="11" max="11" width="1.7109375" style="1" customWidth="1"/>
    <col min="12" max="12" width="3.7109375" style="1" customWidth="1"/>
    <col min="13" max="17" width="14.28515625" style="433" customWidth="1"/>
    <col min="18" max="59" width="9.140625" style="433"/>
    <col min="60" max="16384" width="9.140625" style="1"/>
  </cols>
  <sheetData>
    <row r="1" spans="1:59" s="433" customFormat="1" ht="13.5" thickBot="1" x14ac:dyDescent="0.25"/>
    <row r="2" spans="1:59" ht="18.75" thickBot="1" x14ac:dyDescent="0.3">
      <c r="B2" s="437"/>
      <c r="C2" s="471" t="s">
        <v>14</v>
      </c>
      <c r="D2" s="473"/>
      <c r="E2" s="473"/>
      <c r="F2" s="473"/>
      <c r="G2" s="473"/>
      <c r="H2" s="473"/>
      <c r="I2" s="473"/>
      <c r="J2" s="473"/>
      <c r="K2" s="473"/>
      <c r="L2" s="439"/>
    </row>
    <row r="3" spans="1:59" ht="19.5" thickTop="1" thickBot="1" x14ac:dyDescent="0.3">
      <c r="B3" s="445"/>
      <c r="C3" s="462"/>
      <c r="D3" s="446"/>
      <c r="E3" s="446"/>
      <c r="F3" s="446"/>
      <c r="G3" s="446"/>
      <c r="H3" s="446"/>
      <c r="I3" s="446"/>
      <c r="J3" s="446"/>
      <c r="K3" s="446"/>
      <c r="L3" s="447"/>
    </row>
    <row r="4" spans="1:59" s="24" customFormat="1" ht="17.25" thickTop="1" thickBot="1" x14ac:dyDescent="0.3">
      <c r="A4" s="434"/>
      <c r="B4" s="440"/>
      <c r="C4" s="469"/>
      <c r="D4" s="592" t="s">
        <v>0</v>
      </c>
      <c r="E4" s="592" t="str">
        <f>'User Input'!E4</f>
        <v>In meter capability</v>
      </c>
      <c r="F4" s="593"/>
      <c r="G4" s="469"/>
      <c r="H4" s="594" t="s">
        <v>28</v>
      </c>
      <c r="I4" s="595" t="str">
        <f>IF('User Input'!I8=1,'Administrator Input'!D85,'Administrator Input'!D86)</f>
        <v>United Energy</v>
      </c>
      <c r="J4" s="469"/>
      <c r="K4" s="469"/>
      <c r="L4" s="441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</row>
    <row r="5" spans="1:59" s="24" customFormat="1" ht="15.75" x14ac:dyDescent="0.25">
      <c r="A5" s="434"/>
      <c r="B5" s="440"/>
      <c r="C5" s="469"/>
      <c r="D5" s="499"/>
      <c r="E5" s="499"/>
      <c r="F5" s="469"/>
      <c r="G5" s="469"/>
      <c r="H5" s="469"/>
      <c r="I5" s="469"/>
      <c r="J5" s="469"/>
      <c r="K5" s="469"/>
      <c r="L5" s="441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</row>
    <row r="6" spans="1:59" s="24" customFormat="1" ht="16.5" thickBot="1" x14ac:dyDescent="0.3">
      <c r="A6" s="434"/>
      <c r="B6" s="440"/>
      <c r="C6" s="469"/>
      <c r="D6" s="592" t="s">
        <v>24</v>
      </c>
      <c r="E6" s="596">
        <f>'User Input'!E6</f>
        <v>2019</v>
      </c>
      <c r="F6" s="469"/>
      <c r="G6" s="469"/>
      <c r="H6" s="597"/>
      <c r="I6" s="469"/>
      <c r="J6" s="469"/>
      <c r="K6" s="469"/>
      <c r="L6" s="441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</row>
    <row r="7" spans="1:59" s="24" customFormat="1" ht="15.75" x14ac:dyDescent="0.25">
      <c r="A7" s="434"/>
      <c r="B7" s="440"/>
      <c r="C7" s="469"/>
      <c r="D7" s="499"/>
      <c r="E7" s="499"/>
      <c r="F7" s="469"/>
      <c r="G7" s="469"/>
      <c r="H7" s="469"/>
      <c r="I7" s="469"/>
      <c r="J7" s="469"/>
      <c r="K7" s="469"/>
      <c r="L7" s="441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</row>
    <row r="8" spans="1:59" s="24" customFormat="1" ht="16.5" thickBot="1" x14ac:dyDescent="0.3">
      <c r="A8" s="434"/>
      <c r="B8" s="440"/>
      <c r="C8" s="469"/>
      <c r="D8" s="592" t="s">
        <v>25</v>
      </c>
      <c r="E8" s="598">
        <f>Calculations!D4</f>
        <v>8.6699999999999999E-2</v>
      </c>
      <c r="F8" s="469"/>
      <c r="G8" s="469"/>
      <c r="H8" s="469"/>
      <c r="I8" s="469"/>
      <c r="J8" s="469"/>
      <c r="K8" s="469"/>
      <c r="L8" s="441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</row>
    <row r="9" spans="1:59" s="24" customFormat="1" ht="15.75" x14ac:dyDescent="0.25">
      <c r="A9" s="434"/>
      <c r="B9" s="440"/>
      <c r="C9" s="469"/>
      <c r="D9" s="599" t="str">
        <f>"*"&amp;IF('Administrator Input'!D6=1,'Administrator Input'!C88,IF('Administrator Input'!D6=2,'Administrator Input'!C89))</f>
        <v>*Business WACC (Pre-tax Nominal WACC)</v>
      </c>
      <c r="E9" s="499"/>
      <c r="F9" s="469"/>
      <c r="G9" s="469"/>
      <c r="H9" s="469"/>
      <c r="I9" s="469"/>
      <c r="J9" s="469"/>
      <c r="K9" s="469"/>
      <c r="L9" s="441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</row>
    <row r="10" spans="1:59" s="24" customFormat="1" ht="15.75" x14ac:dyDescent="0.25">
      <c r="A10" s="434"/>
      <c r="B10" s="440"/>
      <c r="C10" s="469"/>
      <c r="D10" s="499"/>
      <c r="E10" s="499"/>
      <c r="F10" s="469"/>
      <c r="G10" s="469"/>
      <c r="H10" s="469"/>
      <c r="I10" s="469"/>
      <c r="J10" s="469"/>
      <c r="K10" s="469"/>
      <c r="L10" s="441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</row>
    <row r="11" spans="1:59" s="24" customFormat="1" ht="16.5" thickBot="1" x14ac:dyDescent="0.3">
      <c r="A11" s="434"/>
      <c r="B11" s="440"/>
      <c r="C11" s="469"/>
      <c r="D11" s="592" t="s">
        <v>23</v>
      </c>
      <c r="E11" s="593" t="str">
        <f>VLOOKUP('User Input'!E8,'Administrator Input'!C92:D96,2)</f>
        <v>Discretionary (asset replacement or refurbushment)</v>
      </c>
      <c r="F11" s="593"/>
      <c r="G11" s="593"/>
      <c r="H11" s="469"/>
      <c r="I11" s="469"/>
      <c r="J11" s="469"/>
      <c r="K11" s="469"/>
      <c r="L11" s="441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</row>
    <row r="12" spans="1:59" s="24" customFormat="1" ht="15.75" x14ac:dyDescent="0.25">
      <c r="A12" s="434"/>
      <c r="B12" s="440"/>
      <c r="C12" s="469"/>
      <c r="D12" s="499"/>
      <c r="E12" s="469"/>
      <c r="F12" s="600"/>
      <c r="G12" s="469"/>
      <c r="H12" s="499"/>
      <c r="I12" s="469"/>
      <c r="J12" s="469"/>
      <c r="K12" s="469"/>
      <c r="L12" s="441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</row>
    <row r="13" spans="1:59" ht="18.75" thickBot="1" x14ac:dyDescent="0.3">
      <c r="B13" s="445"/>
      <c r="C13" s="477" t="s">
        <v>29</v>
      </c>
      <c r="D13" s="489"/>
      <c r="E13" s="479"/>
      <c r="F13" s="602"/>
      <c r="G13" s="479"/>
      <c r="H13" s="489"/>
      <c r="I13" s="479"/>
      <c r="J13" s="479"/>
      <c r="K13" s="479"/>
      <c r="L13" s="447"/>
    </row>
    <row r="14" spans="1:59" s="24" customFormat="1" ht="16.5" thickTop="1" x14ac:dyDescent="0.25">
      <c r="A14" s="434"/>
      <c r="B14" s="440"/>
      <c r="C14" s="469"/>
      <c r="D14" s="499"/>
      <c r="E14" s="469"/>
      <c r="F14" s="600"/>
      <c r="G14" s="601" t="s">
        <v>241</v>
      </c>
      <c r="H14" s="499"/>
      <c r="I14" s="469"/>
      <c r="J14" s="469"/>
      <c r="K14" s="469"/>
      <c r="L14" s="441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</row>
    <row r="15" spans="1:59" s="24" customFormat="1" ht="15.75" x14ac:dyDescent="0.25">
      <c r="A15" s="434"/>
      <c r="B15" s="440"/>
      <c r="C15" s="469"/>
      <c r="D15" s="603" t="str">
        <f>IF('User Input'!I8=1,"Customer Initiated",0)</f>
        <v>Customer Initiated</v>
      </c>
      <c r="E15" s="604">
        <f>IF('User Input'!$I$6=Output!D15,100%,0)</f>
        <v>0</v>
      </c>
      <c r="F15" s="600"/>
      <c r="G15" s="607"/>
      <c r="H15" s="608"/>
      <c r="I15" s="604">
        <f>IF('User Input'!$I$6=Output!H15,100%,0)</f>
        <v>0</v>
      </c>
      <c r="J15" s="469"/>
      <c r="K15" s="469"/>
      <c r="L15" s="441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</row>
    <row r="16" spans="1:59" s="24" customFormat="1" ht="15.75" x14ac:dyDescent="0.25">
      <c r="A16" s="434"/>
      <c r="B16" s="440"/>
      <c r="C16" s="469"/>
      <c r="D16" s="603" t="str">
        <f>IF('User Input'!I8=1,"Demand (Reinforcement)",0)</f>
        <v>Demand (Reinforcement)</v>
      </c>
      <c r="E16" s="604">
        <f>IF('User Input'!$I$6=Output!D16,100%,0)</f>
        <v>0</v>
      </c>
      <c r="F16" s="469"/>
      <c r="G16" s="607"/>
      <c r="H16" s="609"/>
      <c r="I16" s="604">
        <f>IF('User Input'!$I$6=Output!H16,100%,0)</f>
        <v>0</v>
      </c>
      <c r="J16" s="469"/>
      <c r="K16" s="469"/>
      <c r="L16" s="441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</row>
    <row r="17" spans="1:59" s="24" customFormat="1" ht="15.75" x14ac:dyDescent="0.25">
      <c r="A17" s="434"/>
      <c r="B17" s="440"/>
      <c r="C17" s="469"/>
      <c r="D17" s="603" t="str">
        <f>IF('User Input'!I8=1,"Reliability &amp; Power Quality Maintained",0)</f>
        <v>Reliability &amp; Power Quality Maintained</v>
      </c>
      <c r="E17" s="604">
        <f>IF('User Input'!$I$6=Output!D17,100%,0)</f>
        <v>1</v>
      </c>
      <c r="F17" s="469"/>
      <c r="G17" s="607"/>
      <c r="H17" s="609"/>
      <c r="I17" s="604">
        <f>IF('User Input'!$I$6=Output!H17,100%,0)</f>
        <v>0</v>
      </c>
      <c r="J17" s="469"/>
      <c r="K17" s="469"/>
      <c r="L17" s="441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</row>
    <row r="18" spans="1:59" s="24" customFormat="1" ht="15.75" x14ac:dyDescent="0.25">
      <c r="A18" s="434"/>
      <c r="B18" s="440"/>
      <c r="C18" s="469"/>
      <c r="D18" s="603" t="str">
        <f>IF('User Input'!I8=1,"Reliability &amp; Power Quality Improved",0)</f>
        <v>Reliability &amp; Power Quality Improved</v>
      </c>
      <c r="E18" s="604">
        <f>IF('User Input'!$I$6=Output!D18,100%,0)</f>
        <v>0</v>
      </c>
      <c r="F18" s="469"/>
      <c r="G18" s="607"/>
      <c r="H18" s="609"/>
      <c r="I18" s="604">
        <f>IF('User Input'!$I$6=Output!H18,100%,0)</f>
        <v>0</v>
      </c>
      <c r="J18" s="469"/>
      <c r="K18" s="469"/>
      <c r="L18" s="441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</row>
    <row r="19" spans="1:59" s="24" customFormat="1" ht="15.75" x14ac:dyDescent="0.25">
      <c r="A19" s="434"/>
      <c r="B19" s="440"/>
      <c r="C19" s="469"/>
      <c r="D19" s="603" t="str">
        <f>IF('User Input'!I8=1,"SCADA &amp; Network Control",0)</f>
        <v>SCADA &amp; Network Control</v>
      </c>
      <c r="E19" s="604">
        <f>IF('User Input'!$I$6=Output!D19,100%,0)</f>
        <v>0</v>
      </c>
      <c r="F19" s="469"/>
      <c r="G19" s="607"/>
      <c r="H19" s="609"/>
      <c r="I19" s="604">
        <f>IF('User Input'!$I$6=Output!H19,100%,0)</f>
        <v>0</v>
      </c>
      <c r="J19" s="469"/>
      <c r="K19" s="469"/>
      <c r="L19" s="441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</row>
    <row r="20" spans="1:59" s="24" customFormat="1" ht="15.75" x14ac:dyDescent="0.25">
      <c r="A20" s="434"/>
      <c r="B20" s="440"/>
      <c r="C20" s="469"/>
      <c r="D20" s="603" t="str">
        <f>IF('User Input'!I8=1,"Environmental, Safety &amp; Legal",0)</f>
        <v>Environmental, Safety &amp; Legal</v>
      </c>
      <c r="E20" s="604">
        <f>IF('User Input'!$I$6=Output!D20,100%,0)</f>
        <v>0</v>
      </c>
      <c r="F20" s="469"/>
      <c r="G20" s="607"/>
      <c r="H20" s="609"/>
      <c r="I20" s="604">
        <f>IF('User Input'!$I$6=Output!H20,100%,0)</f>
        <v>0</v>
      </c>
      <c r="J20" s="469"/>
      <c r="K20" s="469"/>
      <c r="L20" s="441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</row>
    <row r="21" spans="1:59" s="24" customFormat="1" ht="15.75" x14ac:dyDescent="0.25">
      <c r="A21" s="434"/>
      <c r="B21" s="440"/>
      <c r="C21" s="469"/>
      <c r="D21" s="603" t="str">
        <f>IF('User Input'!I8=1,"Non-Network IT",0)</f>
        <v>Non-Network IT</v>
      </c>
      <c r="E21" s="604">
        <f>IF('User Input'!$I$6=Output!D21,100%,0)</f>
        <v>0</v>
      </c>
      <c r="F21" s="469"/>
      <c r="G21" s="607"/>
      <c r="H21" s="609"/>
      <c r="I21" s="604">
        <f>IF('User Input'!$I$6=Output!H21,100%,0)</f>
        <v>0</v>
      </c>
      <c r="J21" s="469"/>
      <c r="K21" s="469"/>
      <c r="L21" s="441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</row>
    <row r="22" spans="1:59" s="24" customFormat="1" ht="15.75" x14ac:dyDescent="0.25">
      <c r="A22" s="434"/>
      <c r="B22" s="440"/>
      <c r="C22" s="469"/>
      <c r="D22" s="603" t="str">
        <f>IF('User Input'!I8=1,"Non-Network general other",0)</f>
        <v>Non-Network general other</v>
      </c>
      <c r="E22" s="604">
        <f>IF('User Input'!$I$6=Output!D22,100%,0)</f>
        <v>0</v>
      </c>
      <c r="F22" s="469"/>
      <c r="G22" s="607"/>
      <c r="H22" s="609"/>
      <c r="I22" s="604">
        <f>IF('User Input'!$I$6=Output!H22,100%,0)</f>
        <v>0</v>
      </c>
      <c r="J22" s="469"/>
      <c r="K22" s="469"/>
      <c r="L22" s="441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</row>
    <row r="23" spans="1:59" s="24" customFormat="1" ht="15.75" x14ac:dyDescent="0.25">
      <c r="A23" s="434"/>
      <c r="B23" s="440"/>
      <c r="C23" s="469"/>
      <c r="D23" s="603" t="s">
        <v>35</v>
      </c>
      <c r="E23" s="604">
        <f>IF('User Input'!$I$6=Output!D23,100%,0)</f>
        <v>0</v>
      </c>
      <c r="F23" s="469"/>
      <c r="G23" s="607"/>
      <c r="H23" s="609"/>
      <c r="I23" s="604">
        <f>IF('User Input'!$I$6=Output!H23,100%,0)</f>
        <v>0</v>
      </c>
      <c r="J23" s="469"/>
      <c r="K23" s="469"/>
      <c r="L23" s="441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</row>
    <row r="24" spans="1:59" s="24" customFormat="1" ht="15" x14ac:dyDescent="0.2">
      <c r="A24" s="434"/>
      <c r="B24" s="440"/>
      <c r="C24" s="469"/>
      <c r="D24" s="469"/>
      <c r="E24" s="469"/>
      <c r="F24" s="469"/>
      <c r="G24" s="469"/>
      <c r="H24" s="469"/>
      <c r="I24" s="469"/>
      <c r="J24" s="469"/>
      <c r="K24" s="469"/>
      <c r="L24" s="441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4"/>
      <c r="BE24" s="434"/>
      <c r="BF24" s="434"/>
      <c r="BG24" s="434"/>
    </row>
    <row r="25" spans="1:59" s="25" customFormat="1" ht="18.75" thickBot="1" x14ac:dyDescent="0.3">
      <c r="A25" s="435"/>
      <c r="B25" s="456"/>
      <c r="C25" s="477" t="s">
        <v>19</v>
      </c>
      <c r="D25" s="610"/>
      <c r="E25" s="610"/>
      <c r="F25" s="610"/>
      <c r="G25" s="610"/>
      <c r="H25" s="610"/>
      <c r="I25" s="610"/>
      <c r="J25" s="610"/>
      <c r="K25" s="610"/>
      <c r="L25" s="457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  <c r="AW25" s="435"/>
      <c r="AX25" s="435"/>
      <c r="AY25" s="435"/>
      <c r="AZ25" s="435"/>
      <c r="BA25" s="435"/>
      <c r="BB25" s="435"/>
      <c r="BC25" s="435"/>
      <c r="BD25" s="435"/>
      <c r="BE25" s="435"/>
      <c r="BF25" s="435"/>
      <c r="BG25" s="435"/>
    </row>
    <row r="26" spans="1:59" s="24" customFormat="1" ht="15.75" thickTop="1" x14ac:dyDescent="0.2">
      <c r="A26" s="434"/>
      <c r="B26" s="440"/>
      <c r="C26" s="469"/>
      <c r="D26" s="469"/>
      <c r="E26" s="469"/>
      <c r="F26" s="469"/>
      <c r="G26" s="469"/>
      <c r="H26" s="469"/>
      <c r="I26" s="469"/>
      <c r="J26" s="469"/>
      <c r="K26" s="469"/>
      <c r="L26" s="441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4"/>
      <c r="AQ26" s="434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</row>
    <row r="27" spans="1:59" s="24" customFormat="1" ht="16.5" thickBot="1" x14ac:dyDescent="0.3">
      <c r="A27" s="434"/>
      <c r="B27" s="440"/>
      <c r="C27" s="592" t="s">
        <v>26</v>
      </c>
      <c r="D27" s="593"/>
      <c r="E27" s="593"/>
      <c r="F27" s="469"/>
      <c r="G27" s="469"/>
      <c r="H27" s="469"/>
      <c r="I27" s="469"/>
      <c r="J27" s="469"/>
      <c r="K27" s="469"/>
      <c r="L27" s="441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</row>
    <row r="28" spans="1:59" s="24" customFormat="1" ht="15" x14ac:dyDescent="0.2">
      <c r="A28" s="434"/>
      <c r="B28" s="440"/>
      <c r="C28" s="469"/>
      <c r="D28" s="469"/>
      <c r="E28" s="469"/>
      <c r="F28" s="469"/>
      <c r="G28" s="469"/>
      <c r="H28" s="469"/>
      <c r="I28" s="469"/>
      <c r="J28" s="469"/>
      <c r="K28" s="469"/>
      <c r="L28" s="441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</row>
    <row r="29" spans="1:59" s="24" customFormat="1" ht="15.75" x14ac:dyDescent="0.25">
      <c r="A29" s="434"/>
      <c r="B29" s="440"/>
      <c r="C29" s="469"/>
      <c r="D29" s="603" t="s">
        <v>22</v>
      </c>
      <c r="E29" s="611" t="str">
        <f>IF('User Input'!N8=0,"No","Yes")</f>
        <v>No</v>
      </c>
      <c r="F29" s="469"/>
      <c r="G29" s="469"/>
      <c r="H29" s="469"/>
      <c r="I29" s="469"/>
      <c r="J29" s="469"/>
      <c r="K29" s="469"/>
      <c r="L29" s="441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</row>
    <row r="30" spans="1:59" s="24" customFormat="1" ht="15.75" x14ac:dyDescent="0.25">
      <c r="A30" s="434"/>
      <c r="B30" s="440"/>
      <c r="C30" s="469"/>
      <c r="D30" s="603" t="s">
        <v>21</v>
      </c>
      <c r="E30" s="612">
        <f>'User Input'!N8</f>
        <v>0</v>
      </c>
      <c r="F30" s="469"/>
      <c r="G30" s="469"/>
      <c r="H30" s="469"/>
      <c r="I30" s="469"/>
      <c r="J30" s="469"/>
      <c r="K30" s="469"/>
      <c r="L30" s="441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</row>
    <row r="31" spans="1:59" s="24" customFormat="1" ht="15" x14ac:dyDescent="0.2">
      <c r="A31" s="434"/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434"/>
      <c r="AX31" s="434"/>
      <c r="AY31" s="434"/>
      <c r="AZ31" s="434"/>
      <c r="BA31" s="434"/>
      <c r="BB31" s="434"/>
      <c r="BC31" s="434"/>
      <c r="BD31" s="434"/>
      <c r="BE31" s="434"/>
      <c r="BF31" s="434"/>
      <c r="BG31" s="434"/>
    </row>
    <row r="32" spans="1:59" s="24" customFormat="1" ht="16.5" thickBot="1" x14ac:dyDescent="0.3">
      <c r="A32" s="434"/>
      <c r="B32" s="440"/>
      <c r="C32" s="592" t="s">
        <v>74</v>
      </c>
      <c r="D32" s="593"/>
      <c r="E32" s="593"/>
      <c r="F32" s="469"/>
      <c r="G32" s="469"/>
      <c r="H32" s="469"/>
      <c r="I32" s="469"/>
      <c r="J32" s="469"/>
      <c r="K32" s="469"/>
      <c r="L32" s="441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</row>
    <row r="33" spans="1:59" s="24" customFormat="1" ht="15" x14ac:dyDescent="0.2">
      <c r="A33" s="434"/>
      <c r="B33" s="440"/>
      <c r="C33" s="613" t="s">
        <v>78</v>
      </c>
      <c r="D33" s="469"/>
      <c r="E33" s="469"/>
      <c r="F33" s="469"/>
      <c r="G33" s="469"/>
      <c r="H33" s="469"/>
      <c r="I33" s="469"/>
      <c r="J33" s="469"/>
      <c r="K33" s="469"/>
      <c r="L33" s="441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</row>
    <row r="34" spans="1:59" s="24" customFormat="1" ht="15" x14ac:dyDescent="0.2">
      <c r="A34" s="434"/>
      <c r="B34" s="440"/>
      <c r="C34" s="469"/>
      <c r="D34" s="469"/>
      <c r="E34" s="469"/>
      <c r="F34" s="469"/>
      <c r="G34" s="469"/>
      <c r="H34" s="469"/>
      <c r="I34" s="469"/>
      <c r="J34" s="469"/>
      <c r="K34" s="469"/>
      <c r="L34" s="441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</row>
    <row r="35" spans="1:59" s="24" customFormat="1" ht="16.5" thickBot="1" x14ac:dyDescent="0.3">
      <c r="A35" s="434"/>
      <c r="B35" s="440"/>
      <c r="C35" s="469"/>
      <c r="D35" s="592" t="s">
        <v>81</v>
      </c>
      <c r="E35" s="592" t="str">
        <f>Calculations!D222</f>
        <v>Option 1: Provide In Meter Capabilities</v>
      </c>
      <c r="F35" s="593"/>
      <c r="G35" s="593"/>
      <c r="H35" s="469"/>
      <c r="I35" s="469"/>
      <c r="J35" s="469"/>
      <c r="K35" s="469"/>
      <c r="L35" s="441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</row>
    <row r="36" spans="1:59" s="24" customFormat="1" ht="16.5" thickBot="1" x14ac:dyDescent="0.3">
      <c r="A36" s="434"/>
      <c r="B36" s="440"/>
      <c r="C36" s="469"/>
      <c r="D36" s="614" t="s">
        <v>106</v>
      </c>
      <c r="E36" s="615">
        <f>Calculations!D221</f>
        <v>1801.3927485540428</v>
      </c>
      <c r="F36" s="469"/>
      <c r="G36" s="469"/>
      <c r="H36" s="469"/>
      <c r="I36" s="469"/>
      <c r="J36" s="469"/>
      <c r="K36" s="469"/>
      <c r="L36" s="441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</row>
    <row r="37" spans="1:59" s="24" customFormat="1" ht="15.75" x14ac:dyDescent="0.25">
      <c r="A37" s="434"/>
      <c r="B37" s="440"/>
      <c r="C37" s="469"/>
      <c r="D37" s="499"/>
      <c r="E37" s="469"/>
      <c r="F37" s="469"/>
      <c r="G37" s="469"/>
      <c r="H37" s="469"/>
      <c r="I37" s="469"/>
      <c r="J37" s="469"/>
      <c r="K37" s="469"/>
      <c r="L37" s="441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434"/>
    </row>
    <row r="38" spans="1:59" s="24" customFormat="1" ht="15" x14ac:dyDescent="0.2">
      <c r="A38" s="434"/>
      <c r="B38" s="440"/>
      <c r="C38" s="469"/>
      <c r="D38" s="469"/>
      <c r="E38" s="469"/>
      <c r="F38" s="469"/>
      <c r="G38" s="469"/>
      <c r="H38" s="469"/>
      <c r="I38" s="469"/>
      <c r="J38" s="469"/>
      <c r="K38" s="469"/>
      <c r="L38" s="441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</row>
    <row r="39" spans="1:59" s="24" customFormat="1" ht="126" x14ac:dyDescent="0.25">
      <c r="A39" s="434"/>
      <c r="B39" s="440"/>
      <c r="C39" s="469"/>
      <c r="D39" s="620" t="s">
        <v>75</v>
      </c>
      <c r="E39" s="619" t="str">
        <f>'User Input'!D24</f>
        <v>"Status Quo" Reference Case</v>
      </c>
      <c r="F39" s="619" t="str">
        <f>'User Input'!D16&amp;" "&amp;'User Input'!E16</f>
        <v>Option 1 Provide In Meter Capabilities</v>
      </c>
      <c r="G39" s="619" t="str">
        <f>'User Input'!D17&amp;" "&amp;'User Input'!E17</f>
        <v>Option 2 Provide In Meter Capabilities with Near Real-time Centralised Analytics</v>
      </c>
      <c r="H39" s="619" t="str">
        <f>'User Input'!D18&amp;" "&amp;'User Input'!E18</f>
        <v xml:space="preserve">Option 3 </v>
      </c>
      <c r="I39" s="619" t="str">
        <f>'User Input'!D19&amp;" "&amp;'User Input'!E19</f>
        <v xml:space="preserve">Option 4 </v>
      </c>
      <c r="J39" s="619" t="str">
        <f>'User Input'!D20&amp;" "&amp;'User Input'!E20</f>
        <v xml:space="preserve">Option 5 </v>
      </c>
      <c r="K39" s="469"/>
      <c r="L39" s="441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4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434"/>
    </row>
    <row r="40" spans="1:59" s="24" customFormat="1" ht="15.75" x14ac:dyDescent="0.25">
      <c r="A40" s="434"/>
      <c r="B40" s="440"/>
      <c r="C40" s="469"/>
      <c r="D40" s="603" t="str">
        <f>Calculations!C14</f>
        <v>Capital Costs</v>
      </c>
      <c r="E40" s="621">
        <f>Calculations!D206</f>
        <v>6509.4526856466355</v>
      </c>
      <c r="F40" s="621">
        <f>Calculations!E206</f>
        <v>2604.4397945063315</v>
      </c>
      <c r="G40" s="621">
        <f>Calculations!F206</f>
        <v>11654.361307086248</v>
      </c>
      <c r="H40" s="621">
        <f>Calculations!G206</f>
        <v>0</v>
      </c>
      <c r="I40" s="621">
        <f>Calculations!H206</f>
        <v>0</v>
      </c>
      <c r="J40" s="621">
        <f>Calculations!I206</f>
        <v>0</v>
      </c>
      <c r="K40" s="469"/>
      <c r="L40" s="441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</row>
    <row r="41" spans="1:59" s="24" customFormat="1" ht="15.75" x14ac:dyDescent="0.25">
      <c r="A41" s="434"/>
      <c r="B41" s="440"/>
      <c r="C41" s="469"/>
      <c r="D41" s="603" t="str">
        <f>Calculations!C15</f>
        <v>Maintenance Costs</v>
      </c>
      <c r="E41" s="621">
        <f>Calculations!D207</f>
        <v>0</v>
      </c>
      <c r="F41" s="621">
        <f>Calculations!E207</f>
        <v>0</v>
      </c>
      <c r="G41" s="621">
        <f>Calculations!F207</f>
        <v>0</v>
      </c>
      <c r="H41" s="621">
        <f>Calculations!G207</f>
        <v>0</v>
      </c>
      <c r="I41" s="621">
        <f>Calculations!H207</f>
        <v>0</v>
      </c>
      <c r="J41" s="621">
        <f>Calculations!I207</f>
        <v>0</v>
      </c>
      <c r="K41" s="469"/>
      <c r="L41" s="441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434"/>
    </row>
    <row r="42" spans="1:59" s="24" customFormat="1" ht="15.75" x14ac:dyDescent="0.25">
      <c r="A42" s="434"/>
      <c r="B42" s="440"/>
      <c r="C42" s="469"/>
      <c r="D42" s="603" t="str">
        <f>Calculations!C16</f>
        <v>Negative Impact on Revenue (STPIS)</v>
      </c>
      <c r="E42" s="621">
        <f>Calculations!D208</f>
        <v>0</v>
      </c>
      <c r="F42" s="621">
        <f>Calculations!E208</f>
        <v>0</v>
      </c>
      <c r="G42" s="621">
        <f>Calculations!F208</f>
        <v>0</v>
      </c>
      <c r="H42" s="621">
        <f>Calculations!G208</f>
        <v>0</v>
      </c>
      <c r="I42" s="621">
        <f>Calculations!H208</f>
        <v>0</v>
      </c>
      <c r="J42" s="621">
        <f>Calculations!I208</f>
        <v>0</v>
      </c>
      <c r="K42" s="469"/>
      <c r="L42" s="441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434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</row>
    <row r="43" spans="1:59" s="24" customFormat="1" ht="15.75" x14ac:dyDescent="0.25">
      <c r="A43" s="434"/>
      <c r="B43" s="440"/>
      <c r="C43" s="469"/>
      <c r="D43" s="603" t="str">
        <f>Calculations!C21</f>
        <v>Network Outage Costs</v>
      </c>
      <c r="E43" s="621">
        <f>Calculations!D209</f>
        <v>0</v>
      </c>
      <c r="F43" s="621">
        <f>Calculations!E209</f>
        <v>0</v>
      </c>
      <c r="G43" s="621">
        <f>Calculations!F209</f>
        <v>0</v>
      </c>
      <c r="H43" s="621">
        <f>Calculations!G209</f>
        <v>0</v>
      </c>
      <c r="I43" s="621">
        <f>Calculations!H209</f>
        <v>0</v>
      </c>
      <c r="J43" s="621">
        <f>Calculations!I209</f>
        <v>0</v>
      </c>
      <c r="K43" s="469"/>
      <c r="L43" s="441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4"/>
      <c r="AR43" s="434"/>
      <c r="AS43" s="434"/>
      <c r="AT43" s="434"/>
      <c r="AU43" s="434"/>
      <c r="AV43" s="434"/>
      <c r="AW43" s="434"/>
      <c r="AX43" s="434"/>
      <c r="AY43" s="434"/>
      <c r="AZ43" s="434"/>
      <c r="BA43" s="434"/>
      <c r="BB43" s="434"/>
      <c r="BC43" s="434"/>
      <c r="BD43" s="434"/>
      <c r="BE43" s="434"/>
      <c r="BF43" s="434"/>
      <c r="BG43" s="434"/>
    </row>
    <row r="44" spans="1:59" s="24" customFormat="1" ht="15.75" x14ac:dyDescent="0.25">
      <c r="A44" s="434"/>
      <c r="B44" s="440"/>
      <c r="C44" s="469"/>
      <c r="D44" s="603" t="str">
        <f>Calculations!C22</f>
        <v>Loss of F Factor Benefit</v>
      </c>
      <c r="E44" s="621">
        <f>Calculations!D210</f>
        <v>0</v>
      </c>
      <c r="F44" s="621">
        <f>Calculations!E210</f>
        <v>0</v>
      </c>
      <c r="G44" s="621">
        <f>Calculations!F210</f>
        <v>0</v>
      </c>
      <c r="H44" s="621">
        <f>Calculations!G210</f>
        <v>0</v>
      </c>
      <c r="I44" s="621">
        <f>Calculations!H210</f>
        <v>0</v>
      </c>
      <c r="J44" s="621">
        <f>Calculations!I210</f>
        <v>0</v>
      </c>
      <c r="K44" s="469"/>
      <c r="L44" s="441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4"/>
      <c r="AR44" s="434"/>
      <c r="AS44" s="434"/>
      <c r="AT44" s="434"/>
      <c r="AU44" s="434"/>
      <c r="AV44" s="434"/>
      <c r="AW44" s="434"/>
      <c r="AX44" s="434"/>
      <c r="AY44" s="434"/>
      <c r="AZ44" s="434"/>
      <c r="BA44" s="434"/>
      <c r="BB44" s="434"/>
      <c r="BC44" s="434"/>
      <c r="BD44" s="434"/>
      <c r="BE44" s="434"/>
      <c r="BF44" s="434"/>
      <c r="BG44" s="434"/>
    </row>
    <row r="45" spans="1:59" s="24" customFormat="1" ht="15.75" x14ac:dyDescent="0.25">
      <c r="A45" s="434"/>
      <c r="B45" s="440"/>
      <c r="C45" s="469"/>
      <c r="D45" s="603" t="str">
        <f>Calculations!C23</f>
        <v>Cost 1</v>
      </c>
      <c r="E45" s="621">
        <f>Calculations!D211</f>
        <v>0</v>
      </c>
      <c r="F45" s="621">
        <f>Calculations!E211</f>
        <v>0</v>
      </c>
      <c r="G45" s="621">
        <f>Calculations!F211</f>
        <v>0</v>
      </c>
      <c r="H45" s="621">
        <f>Calculations!G211</f>
        <v>0</v>
      </c>
      <c r="I45" s="621">
        <f>Calculations!H211</f>
        <v>0</v>
      </c>
      <c r="J45" s="621">
        <f>Calculations!I211</f>
        <v>0</v>
      </c>
      <c r="K45" s="469"/>
      <c r="L45" s="441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4"/>
      <c r="AR45" s="434"/>
      <c r="AS45" s="434"/>
      <c r="AT45" s="434"/>
      <c r="AU45" s="434"/>
      <c r="AV45" s="434"/>
      <c r="AW45" s="434"/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</row>
    <row r="46" spans="1:59" s="24" customFormat="1" ht="15.75" x14ac:dyDescent="0.25">
      <c r="A46" s="434"/>
      <c r="B46" s="440"/>
      <c r="C46" s="469"/>
      <c r="D46" s="603" t="str">
        <f>Calculations!C24</f>
        <v>Cost 2</v>
      </c>
      <c r="E46" s="621">
        <f>Calculations!D212</f>
        <v>0</v>
      </c>
      <c r="F46" s="621">
        <f>Calculations!E212</f>
        <v>0</v>
      </c>
      <c r="G46" s="621">
        <f>Calculations!F212</f>
        <v>0</v>
      </c>
      <c r="H46" s="621">
        <f>Calculations!G212</f>
        <v>0</v>
      </c>
      <c r="I46" s="621">
        <f>Calculations!H212</f>
        <v>0</v>
      </c>
      <c r="J46" s="621">
        <f>Calculations!I212</f>
        <v>0</v>
      </c>
      <c r="K46" s="469"/>
      <c r="L46" s="441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434"/>
      <c r="AN46" s="434"/>
      <c r="AO46" s="434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</row>
    <row r="47" spans="1:59" s="24" customFormat="1" ht="15.75" x14ac:dyDescent="0.25">
      <c r="A47" s="434"/>
      <c r="B47" s="440"/>
      <c r="C47" s="469"/>
      <c r="D47" s="603" t="str">
        <f>Calculations!C25</f>
        <v>Cost 3</v>
      </c>
      <c r="E47" s="621">
        <f>Calculations!D213</f>
        <v>0</v>
      </c>
      <c r="F47" s="621">
        <f>Calculations!E213</f>
        <v>0</v>
      </c>
      <c r="G47" s="621">
        <f>Calculations!F213</f>
        <v>0</v>
      </c>
      <c r="H47" s="621">
        <f>Calculations!G213</f>
        <v>0</v>
      </c>
      <c r="I47" s="621">
        <f>Calculations!H213</f>
        <v>0</v>
      </c>
      <c r="J47" s="621">
        <f>Calculations!I213</f>
        <v>0</v>
      </c>
      <c r="K47" s="469"/>
      <c r="L47" s="441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  <c r="AS47" s="434"/>
      <c r="AT47" s="434"/>
      <c r="AU47" s="434"/>
      <c r="AV47" s="434"/>
      <c r="AW47" s="434"/>
      <c r="AX47" s="434"/>
      <c r="AY47" s="434"/>
      <c r="AZ47" s="434"/>
      <c r="BA47" s="434"/>
      <c r="BB47" s="434"/>
      <c r="BC47" s="434"/>
      <c r="BD47" s="434"/>
      <c r="BE47" s="434"/>
      <c r="BF47" s="434"/>
      <c r="BG47" s="434"/>
    </row>
    <row r="48" spans="1:59" s="24" customFormat="1" ht="15.75" x14ac:dyDescent="0.25">
      <c r="A48" s="434"/>
      <c r="B48" s="440"/>
      <c r="C48" s="469"/>
      <c r="D48" s="603" t="str">
        <f>Calculations!C26</f>
        <v>Cost 4</v>
      </c>
      <c r="E48" s="621">
        <f>Calculations!D214</f>
        <v>0</v>
      </c>
      <c r="F48" s="621">
        <f>Calculations!E214</f>
        <v>0</v>
      </c>
      <c r="G48" s="621">
        <f>Calculations!F214</f>
        <v>0</v>
      </c>
      <c r="H48" s="621">
        <f>Calculations!G214</f>
        <v>0</v>
      </c>
      <c r="I48" s="621">
        <f>Calculations!H214</f>
        <v>0</v>
      </c>
      <c r="J48" s="621">
        <f>Calculations!I214</f>
        <v>0</v>
      </c>
      <c r="K48" s="469"/>
      <c r="L48" s="441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</row>
    <row r="49" spans="1:59" s="24" customFormat="1" ht="15.75" x14ac:dyDescent="0.25">
      <c r="A49" s="434"/>
      <c r="B49" s="440"/>
      <c r="C49" s="469"/>
      <c r="D49" s="603" t="str">
        <f>Calculations!C27</f>
        <v>Cost 5</v>
      </c>
      <c r="E49" s="621">
        <f>Calculations!D215</f>
        <v>0</v>
      </c>
      <c r="F49" s="621">
        <f>Calculations!E215</f>
        <v>0</v>
      </c>
      <c r="G49" s="621">
        <f>Calculations!F215</f>
        <v>0</v>
      </c>
      <c r="H49" s="621">
        <f>Calculations!G215</f>
        <v>0</v>
      </c>
      <c r="I49" s="621">
        <f>Calculations!H215</f>
        <v>0</v>
      </c>
      <c r="J49" s="621">
        <f>Calculations!I215</f>
        <v>0</v>
      </c>
      <c r="K49" s="469"/>
      <c r="L49" s="441"/>
      <c r="M49" s="434"/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  <c r="Y49" s="434"/>
      <c r="Z49" s="434"/>
      <c r="AA49" s="434"/>
      <c r="AB49" s="434"/>
      <c r="AC49" s="434"/>
      <c r="AD49" s="434"/>
      <c r="AE49" s="434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4"/>
      <c r="AW49" s="434"/>
      <c r="AX49" s="434"/>
      <c r="AY49" s="434"/>
      <c r="AZ49" s="434"/>
      <c r="BA49" s="434"/>
      <c r="BB49" s="434"/>
      <c r="BC49" s="434"/>
      <c r="BD49" s="434"/>
      <c r="BE49" s="434"/>
      <c r="BF49" s="434"/>
      <c r="BG49" s="434"/>
    </row>
    <row r="50" spans="1:59" s="24" customFormat="1" ht="16.5" thickBot="1" x14ac:dyDescent="0.3">
      <c r="A50" s="434"/>
      <c r="B50" s="440"/>
      <c r="C50" s="469"/>
      <c r="D50" s="618" t="s">
        <v>293</v>
      </c>
      <c r="E50" s="622">
        <f>Calculations!D216</f>
        <v>0</v>
      </c>
      <c r="F50" s="622">
        <f>Calculations!E216</f>
        <v>0</v>
      </c>
      <c r="G50" s="622">
        <f>Calculations!F216</f>
        <v>0</v>
      </c>
      <c r="H50" s="622">
        <f>Calculations!G216</f>
        <v>0</v>
      </c>
      <c r="I50" s="622">
        <f>Calculations!H216</f>
        <v>0</v>
      </c>
      <c r="J50" s="622">
        <f>Calculations!I216</f>
        <v>0</v>
      </c>
      <c r="K50" s="469"/>
      <c r="L50" s="441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4"/>
      <c r="AH50" s="434"/>
      <c r="AI50" s="434"/>
      <c r="AJ50" s="434"/>
      <c r="AK50" s="434"/>
      <c r="AL50" s="434"/>
      <c r="AM50" s="434"/>
      <c r="AN50" s="434"/>
      <c r="AO50" s="434"/>
      <c r="AP50" s="434"/>
      <c r="AQ50" s="434"/>
      <c r="AR50" s="434"/>
      <c r="AS50" s="434"/>
      <c r="AT50" s="434"/>
      <c r="AU50" s="434"/>
      <c r="AV50" s="434"/>
      <c r="AW50" s="434"/>
      <c r="AX50" s="434"/>
      <c r="AY50" s="434"/>
      <c r="AZ50" s="434"/>
      <c r="BA50" s="434"/>
      <c r="BB50" s="434"/>
      <c r="BC50" s="434"/>
      <c r="BD50" s="434"/>
      <c r="BE50" s="434"/>
      <c r="BF50" s="434"/>
      <c r="BG50" s="434"/>
    </row>
    <row r="51" spans="1:59" s="24" customFormat="1" ht="17.25" thickTop="1" thickBot="1" x14ac:dyDescent="0.3">
      <c r="A51" s="434"/>
      <c r="B51" s="440"/>
      <c r="C51" s="469"/>
      <c r="D51" s="617" t="str">
        <f>Calculations!C33</f>
        <v>Total Costs</v>
      </c>
      <c r="E51" s="623">
        <f>Calculations!D217</f>
        <v>6509.4526856466355</v>
      </c>
      <c r="F51" s="623">
        <f>Calculations!E217</f>
        <v>2604.4397945063315</v>
      </c>
      <c r="G51" s="623">
        <f>Calculations!F217</f>
        <v>11654.361307086248</v>
      </c>
      <c r="H51" s="623">
        <f>Calculations!G217</f>
        <v>0</v>
      </c>
      <c r="I51" s="623">
        <f>Calculations!H217</f>
        <v>0</v>
      </c>
      <c r="J51" s="623">
        <f>Calculations!I217</f>
        <v>0</v>
      </c>
      <c r="K51" s="469"/>
      <c r="L51" s="441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  <c r="AQ51" s="434"/>
      <c r="AR51" s="434"/>
      <c r="AS51" s="434"/>
      <c r="AT51" s="434"/>
      <c r="AU51" s="434"/>
      <c r="AV51" s="434"/>
      <c r="AW51" s="434"/>
      <c r="AX51" s="434"/>
      <c r="AY51" s="434"/>
      <c r="AZ51" s="434"/>
      <c r="BA51" s="434"/>
      <c r="BB51" s="434"/>
      <c r="BC51" s="434"/>
      <c r="BD51" s="434"/>
      <c r="BE51" s="434"/>
      <c r="BF51" s="434"/>
      <c r="BG51" s="434"/>
    </row>
    <row r="52" spans="1:59" s="24" customFormat="1" ht="15.75" thickTop="1" x14ac:dyDescent="0.2">
      <c r="A52" s="434"/>
      <c r="B52" s="440"/>
      <c r="C52" s="469"/>
      <c r="D52" s="469"/>
      <c r="E52" s="469"/>
      <c r="F52" s="469"/>
      <c r="G52" s="469"/>
      <c r="H52" s="469"/>
      <c r="I52" s="469"/>
      <c r="J52" s="469"/>
      <c r="K52" s="469"/>
      <c r="L52" s="441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</row>
    <row r="53" spans="1:59" s="24" customFormat="1" ht="15.75" x14ac:dyDescent="0.25">
      <c r="A53" s="434"/>
      <c r="B53" s="440"/>
      <c r="C53" s="469"/>
      <c r="D53" s="603" t="s">
        <v>84</v>
      </c>
      <c r="E53" s="633">
        <f>Calculations!D219</f>
        <v>2025.0964560491279</v>
      </c>
      <c r="F53" s="633">
        <f>Calculations!E219</f>
        <v>1801.3927485540428</v>
      </c>
      <c r="G53" s="633">
        <f>Calculations!F219</f>
        <v>8060.9255822332543</v>
      </c>
      <c r="H53" s="633" t="str">
        <f>Calculations!G219</f>
        <v xml:space="preserve"> </v>
      </c>
      <c r="I53" s="633" t="str">
        <f>Calculations!H219</f>
        <v xml:space="preserve"> </v>
      </c>
      <c r="J53" s="633" t="str">
        <f>Calculations!I219</f>
        <v xml:space="preserve"> </v>
      </c>
      <c r="K53" s="469"/>
      <c r="L53" s="441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4"/>
      <c r="AM53" s="434"/>
      <c r="AN53" s="434"/>
      <c r="AO53" s="434"/>
      <c r="AP53" s="434"/>
      <c r="AQ53" s="434"/>
      <c r="AR53" s="434"/>
      <c r="AS53" s="434"/>
      <c r="AT53" s="434"/>
      <c r="AU53" s="434"/>
      <c r="AV53" s="434"/>
      <c r="AW53" s="434"/>
      <c r="AX53" s="434"/>
      <c r="AY53" s="434"/>
      <c r="AZ53" s="434"/>
      <c r="BA53" s="434"/>
      <c r="BB53" s="434"/>
      <c r="BC53" s="434"/>
      <c r="BD53" s="434"/>
      <c r="BE53" s="434"/>
      <c r="BF53" s="434"/>
      <c r="BG53" s="434"/>
    </row>
    <row r="54" spans="1:59" s="24" customFormat="1" ht="15" x14ac:dyDescent="0.2">
      <c r="A54" s="434"/>
      <c r="B54" s="440"/>
      <c r="C54" s="469"/>
      <c r="D54" s="616" t="s">
        <v>126</v>
      </c>
      <c r="E54" s="634">
        <f t="shared" ref="E54:J54" si="0">IF(E53=" "," ",RANK(E53,$E$53:$J$53,1))</f>
        <v>2</v>
      </c>
      <c r="F54" s="634">
        <f t="shared" si="0"/>
        <v>1</v>
      </c>
      <c r="G54" s="634">
        <f t="shared" si="0"/>
        <v>3</v>
      </c>
      <c r="H54" s="634" t="str">
        <f t="shared" si="0"/>
        <v xml:space="preserve"> </v>
      </c>
      <c r="I54" s="634" t="str">
        <f t="shared" si="0"/>
        <v xml:space="preserve"> </v>
      </c>
      <c r="J54" s="634" t="str">
        <f t="shared" si="0"/>
        <v xml:space="preserve"> </v>
      </c>
      <c r="K54" s="469"/>
      <c r="L54" s="441"/>
      <c r="M54" s="434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4"/>
      <c r="AM54" s="434"/>
      <c r="AN54" s="434"/>
      <c r="AO54" s="434"/>
      <c r="AP54" s="434"/>
      <c r="AQ54" s="434"/>
      <c r="AR54" s="434"/>
      <c r="AS54" s="434"/>
      <c r="AT54" s="434"/>
      <c r="AU54" s="434"/>
      <c r="AV54" s="434"/>
      <c r="AW54" s="434"/>
      <c r="AX54" s="434"/>
      <c r="AY54" s="434"/>
      <c r="AZ54" s="434"/>
      <c r="BA54" s="434"/>
      <c r="BB54" s="434"/>
      <c r="BC54" s="434"/>
      <c r="BD54" s="434"/>
      <c r="BE54" s="434"/>
      <c r="BF54" s="434"/>
      <c r="BG54" s="434"/>
    </row>
    <row r="55" spans="1:59" s="24" customFormat="1" ht="15" x14ac:dyDescent="0.2">
      <c r="A55" s="434"/>
      <c r="B55" s="440"/>
      <c r="C55" s="469"/>
      <c r="D55" s="469"/>
      <c r="E55" s="469"/>
      <c r="F55" s="688"/>
      <c r="G55" s="688"/>
      <c r="H55" s="688"/>
      <c r="I55" s="688"/>
      <c r="J55" s="469"/>
      <c r="K55" s="469"/>
      <c r="L55" s="441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34"/>
      <c r="AL55" s="434"/>
      <c r="AM55" s="434"/>
      <c r="AN55" s="434"/>
      <c r="AO55" s="434"/>
      <c r="AP55" s="434"/>
      <c r="AQ55" s="434"/>
      <c r="AR55" s="434"/>
      <c r="AS55" s="434"/>
      <c r="AT55" s="434"/>
      <c r="AU55" s="434"/>
      <c r="AV55" s="434"/>
      <c r="AW55" s="434"/>
      <c r="AX55" s="434"/>
      <c r="AY55" s="434"/>
      <c r="AZ55" s="434"/>
      <c r="BA55" s="434"/>
      <c r="BB55" s="434"/>
      <c r="BC55" s="434"/>
      <c r="BD55" s="434"/>
      <c r="BE55" s="434"/>
      <c r="BF55" s="434"/>
      <c r="BG55" s="434"/>
    </row>
    <row r="56" spans="1:59" s="24" customFormat="1" ht="15" x14ac:dyDescent="0.2">
      <c r="A56" s="434"/>
      <c r="B56" s="440"/>
      <c r="C56" s="469"/>
      <c r="D56" s="640" t="s">
        <v>235</v>
      </c>
      <c r="E56" s="605"/>
      <c r="F56" s="630"/>
      <c r="G56" s="606"/>
      <c r="H56" s="469"/>
      <c r="I56" s="469"/>
      <c r="J56" s="469"/>
      <c r="K56" s="469"/>
      <c r="L56" s="441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AP56" s="434"/>
      <c r="AQ56" s="434"/>
      <c r="AR56" s="434"/>
      <c r="AS56" s="434"/>
      <c r="AT56" s="434"/>
      <c r="AU56" s="434"/>
      <c r="AV56" s="434"/>
      <c r="AW56" s="434"/>
      <c r="AX56" s="434"/>
      <c r="AY56" s="434"/>
      <c r="AZ56" s="434"/>
      <c r="BA56" s="434"/>
      <c r="BB56" s="434"/>
      <c r="BC56" s="434"/>
      <c r="BD56" s="434"/>
      <c r="BE56" s="434"/>
      <c r="BF56" s="434"/>
      <c r="BG56" s="434"/>
    </row>
    <row r="57" spans="1:59" s="24" customFormat="1" ht="15" x14ac:dyDescent="0.2">
      <c r="A57" s="434"/>
      <c r="B57" s="440"/>
      <c r="C57" s="469"/>
      <c r="D57" s="641" t="str">
        <f>'User Input'!D53</f>
        <v>Option 1: Provide In Meter Capabilities</v>
      </c>
      <c r="E57" s="627"/>
      <c r="F57" s="628"/>
      <c r="G57" s="629"/>
      <c r="H57" s="469"/>
      <c r="I57" s="469"/>
      <c r="J57" s="469"/>
      <c r="K57" s="469"/>
      <c r="L57" s="441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</row>
    <row r="58" spans="1:59" s="24" customFormat="1" ht="15" x14ac:dyDescent="0.2">
      <c r="A58" s="434"/>
      <c r="B58" s="440"/>
      <c r="C58" s="469"/>
      <c r="D58" s="641" t="str">
        <f>'User Input'!D82</f>
        <v>Option 2: Provide In Meter Capabilities with Near Real-time Centralised Analytics</v>
      </c>
      <c r="E58" s="624"/>
      <c r="F58" s="625"/>
      <c r="G58" s="626"/>
      <c r="H58" s="469"/>
      <c r="I58" s="469"/>
      <c r="J58" s="469"/>
      <c r="K58" s="469"/>
      <c r="L58" s="441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4"/>
      <c r="AN58" s="434"/>
      <c r="AO58" s="434"/>
      <c r="AP58" s="434"/>
      <c r="AQ58" s="434"/>
      <c r="AR58" s="434"/>
      <c r="AS58" s="434"/>
      <c r="AT58" s="434"/>
      <c r="AU58" s="434"/>
      <c r="AV58" s="434"/>
      <c r="AW58" s="434"/>
      <c r="AX58" s="434"/>
      <c r="AY58" s="434"/>
      <c r="AZ58" s="434"/>
      <c r="BA58" s="434"/>
      <c r="BB58" s="434"/>
      <c r="BC58" s="434"/>
      <c r="BD58" s="434"/>
      <c r="BE58" s="434"/>
      <c r="BF58" s="434"/>
      <c r="BG58" s="434"/>
    </row>
    <row r="59" spans="1:59" s="24" customFormat="1" ht="15" x14ac:dyDescent="0.2">
      <c r="A59" s="434"/>
      <c r="B59" s="440"/>
      <c r="C59" s="469"/>
      <c r="D59" s="641" t="str">
        <f>'User Input'!D111</f>
        <v xml:space="preserve">Option 3: </v>
      </c>
      <c r="E59" s="624"/>
      <c r="F59" s="625"/>
      <c r="G59" s="626"/>
      <c r="H59" s="469"/>
      <c r="I59" s="469"/>
      <c r="J59" s="469"/>
      <c r="K59" s="469"/>
      <c r="L59" s="441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4"/>
      <c r="BB59" s="434"/>
      <c r="BC59" s="434"/>
      <c r="BD59" s="434"/>
      <c r="BE59" s="434"/>
      <c r="BF59" s="434"/>
      <c r="BG59" s="434"/>
    </row>
    <row r="60" spans="1:59" s="24" customFormat="1" ht="15" x14ac:dyDescent="0.2">
      <c r="A60" s="434"/>
      <c r="B60" s="440"/>
      <c r="C60" s="469"/>
      <c r="D60" s="641" t="str">
        <f>'User Input'!D140</f>
        <v xml:space="preserve">Option 4: </v>
      </c>
      <c r="E60" s="624"/>
      <c r="F60" s="625"/>
      <c r="G60" s="626"/>
      <c r="H60" s="469"/>
      <c r="I60" s="469"/>
      <c r="J60" s="469"/>
      <c r="K60" s="469"/>
      <c r="L60" s="441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4"/>
      <c r="AK60" s="434"/>
      <c r="AL60" s="434"/>
      <c r="AM60" s="434"/>
      <c r="AN60" s="434"/>
      <c r="AO60" s="434"/>
      <c r="AP60" s="434"/>
      <c r="AQ60" s="434"/>
      <c r="AR60" s="434"/>
      <c r="AS60" s="434"/>
      <c r="AT60" s="434"/>
      <c r="AU60" s="434"/>
      <c r="AV60" s="434"/>
      <c r="AW60" s="434"/>
      <c r="AX60" s="434"/>
      <c r="AY60" s="434"/>
      <c r="AZ60" s="434"/>
      <c r="BA60" s="434"/>
      <c r="BB60" s="434"/>
      <c r="BC60" s="434"/>
      <c r="BD60" s="434"/>
      <c r="BE60" s="434"/>
      <c r="BF60" s="434"/>
      <c r="BG60" s="434"/>
    </row>
    <row r="61" spans="1:59" s="24" customFormat="1" ht="15" x14ac:dyDescent="0.2">
      <c r="A61" s="434"/>
      <c r="B61" s="440"/>
      <c r="C61" s="469"/>
      <c r="D61" s="641" t="str">
        <f>'User Input'!D169</f>
        <v xml:space="preserve">Option 5: </v>
      </c>
      <c r="E61" s="624"/>
      <c r="F61" s="625"/>
      <c r="G61" s="626"/>
      <c r="H61" s="469"/>
      <c r="I61" s="469"/>
      <c r="J61" s="469"/>
      <c r="K61" s="469"/>
      <c r="L61" s="441"/>
      <c r="M61" s="434"/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434"/>
      <c r="AJ61" s="434"/>
      <c r="AK61" s="434"/>
      <c r="AL61" s="434"/>
      <c r="AM61" s="434"/>
      <c r="AN61" s="434"/>
      <c r="AO61" s="434"/>
      <c r="AP61" s="434"/>
      <c r="AQ61" s="434"/>
      <c r="AR61" s="434"/>
      <c r="AS61" s="434"/>
      <c r="AT61" s="434"/>
      <c r="AU61" s="434"/>
      <c r="AV61" s="434"/>
      <c r="AW61" s="434"/>
      <c r="AX61" s="434"/>
      <c r="AY61" s="434"/>
      <c r="AZ61" s="434"/>
      <c r="BA61" s="434"/>
      <c r="BB61" s="434"/>
      <c r="BC61" s="434"/>
      <c r="BD61" s="434"/>
      <c r="BE61" s="434"/>
      <c r="BF61" s="434"/>
      <c r="BG61" s="434"/>
    </row>
    <row r="62" spans="1:59" s="24" customFormat="1" ht="15" x14ac:dyDescent="0.2">
      <c r="A62" s="434"/>
      <c r="B62" s="440"/>
      <c r="C62" s="469"/>
      <c r="D62" s="469"/>
      <c r="E62" s="469"/>
      <c r="F62" s="469"/>
      <c r="G62" s="469"/>
      <c r="H62" s="469"/>
      <c r="I62" s="469"/>
      <c r="J62" s="469"/>
      <c r="K62" s="469"/>
      <c r="L62" s="441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434"/>
      <c r="AP62" s="434"/>
      <c r="AQ62" s="434"/>
      <c r="AR62" s="434"/>
      <c r="AS62" s="434"/>
      <c r="AT62" s="434"/>
      <c r="AU62" s="434"/>
      <c r="AV62" s="434"/>
      <c r="AW62" s="434"/>
      <c r="AX62" s="434"/>
      <c r="AY62" s="434"/>
      <c r="AZ62" s="434"/>
      <c r="BA62" s="434"/>
      <c r="BB62" s="434"/>
      <c r="BC62" s="434"/>
      <c r="BD62" s="434"/>
      <c r="BE62" s="434"/>
      <c r="BF62" s="434"/>
      <c r="BG62" s="434"/>
    </row>
    <row r="63" spans="1:59" s="24" customFormat="1" ht="16.5" hidden="1" thickBot="1" x14ac:dyDescent="0.3">
      <c r="A63" s="434"/>
      <c r="B63" s="440"/>
      <c r="C63" s="469"/>
      <c r="D63" s="592" t="str">
        <f>"Timing Analysis - "&amp;+E4</f>
        <v>Timing Analysis - In meter capability</v>
      </c>
      <c r="E63" s="593"/>
      <c r="F63" s="469"/>
      <c r="G63" s="469"/>
      <c r="H63" s="469"/>
      <c r="I63" s="469"/>
      <c r="J63" s="469"/>
      <c r="K63" s="469"/>
      <c r="L63" s="441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4"/>
      <c r="AK63" s="434"/>
      <c r="AL63" s="434"/>
      <c r="AM63" s="434"/>
      <c r="AN63" s="434"/>
      <c r="AO63" s="434"/>
      <c r="AP63" s="434"/>
      <c r="AQ63" s="434"/>
      <c r="AR63" s="434"/>
      <c r="AS63" s="434"/>
      <c r="AT63" s="434"/>
      <c r="AU63" s="434"/>
      <c r="AV63" s="434"/>
      <c r="AW63" s="434"/>
      <c r="AX63" s="434"/>
      <c r="AY63" s="434"/>
      <c r="AZ63" s="434"/>
      <c r="BA63" s="434"/>
      <c r="BB63" s="434"/>
      <c r="BC63" s="434"/>
      <c r="BD63" s="434"/>
      <c r="BE63" s="434"/>
      <c r="BF63" s="434"/>
      <c r="BG63" s="434"/>
    </row>
    <row r="64" spans="1:59" s="24" customFormat="1" ht="15" hidden="1" x14ac:dyDescent="0.2">
      <c r="A64" s="434"/>
      <c r="B64" s="440"/>
      <c r="C64" s="469"/>
      <c r="D64" s="469"/>
      <c r="E64" s="469"/>
      <c r="F64" s="469"/>
      <c r="G64" s="469"/>
      <c r="H64" s="469"/>
      <c r="I64" s="469"/>
      <c r="J64" s="469"/>
      <c r="K64" s="469"/>
      <c r="L64" s="441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434"/>
      <c r="AP64" s="434"/>
      <c r="AQ64" s="434"/>
      <c r="AR64" s="434"/>
      <c r="AS64" s="434"/>
      <c r="AT64" s="434"/>
      <c r="AU64" s="434"/>
      <c r="AV64" s="434"/>
      <c r="AW64" s="434"/>
      <c r="AX64" s="434"/>
      <c r="AY64" s="434"/>
      <c r="AZ64" s="434"/>
      <c r="BA64" s="434"/>
      <c r="BB64" s="434"/>
      <c r="BC64" s="434"/>
      <c r="BD64" s="434"/>
      <c r="BE64" s="434"/>
      <c r="BF64" s="434"/>
      <c r="BG64" s="434"/>
    </row>
    <row r="65" spans="1:59" s="24" customFormat="1" ht="15" hidden="1" x14ac:dyDescent="0.2">
      <c r="A65" s="434"/>
      <c r="B65" s="440"/>
      <c r="C65" s="469"/>
      <c r="D65" s="469"/>
      <c r="E65" s="469"/>
      <c r="F65" s="469"/>
      <c r="G65" s="469"/>
      <c r="H65" s="469"/>
      <c r="I65" s="469"/>
      <c r="J65" s="469"/>
      <c r="K65" s="469"/>
      <c r="L65" s="441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434"/>
      <c r="AP65" s="434"/>
      <c r="AQ65" s="434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434"/>
      <c r="BC65" s="434"/>
      <c r="BD65" s="434"/>
      <c r="BE65" s="434"/>
      <c r="BF65" s="434"/>
      <c r="BG65" s="434"/>
    </row>
    <row r="66" spans="1:59" s="24" customFormat="1" ht="15" hidden="1" x14ac:dyDescent="0.2">
      <c r="A66" s="434"/>
      <c r="B66" s="440"/>
      <c r="C66" s="469"/>
      <c r="D66" s="469"/>
      <c r="E66" s="469"/>
      <c r="F66" s="469"/>
      <c r="G66" s="469"/>
      <c r="H66" s="469"/>
      <c r="I66" s="469"/>
      <c r="J66" s="469"/>
      <c r="K66" s="469"/>
      <c r="L66" s="441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434"/>
      <c r="BC66" s="434"/>
      <c r="BD66" s="434"/>
      <c r="BE66" s="434"/>
      <c r="BF66" s="434"/>
      <c r="BG66" s="434"/>
    </row>
    <row r="67" spans="1:59" s="24" customFormat="1" ht="15" hidden="1" x14ac:dyDescent="0.2">
      <c r="A67" s="434"/>
      <c r="B67" s="440"/>
      <c r="C67" s="469"/>
      <c r="D67" s="469"/>
      <c r="E67" s="469"/>
      <c r="F67" s="469"/>
      <c r="G67" s="469"/>
      <c r="H67" s="469"/>
      <c r="I67" s="469"/>
      <c r="J67" s="469"/>
      <c r="K67" s="469"/>
      <c r="L67" s="441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4"/>
      <c r="AK67" s="434"/>
      <c r="AL67" s="434"/>
      <c r="AM67" s="434"/>
      <c r="AN67" s="434"/>
      <c r="AO67" s="434"/>
      <c r="AP67" s="434"/>
      <c r="AQ67" s="434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4"/>
      <c r="BD67" s="434"/>
      <c r="BE67" s="434"/>
      <c r="BF67" s="434"/>
      <c r="BG67" s="434"/>
    </row>
    <row r="68" spans="1:59" s="24" customFormat="1" ht="15" hidden="1" x14ac:dyDescent="0.2">
      <c r="A68" s="434"/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434"/>
      <c r="AB68" s="434"/>
      <c r="AC68" s="434"/>
      <c r="AD68" s="434"/>
      <c r="AE68" s="434"/>
      <c r="AF68" s="434"/>
      <c r="AG68" s="434"/>
      <c r="AH68" s="434"/>
      <c r="AI68" s="434"/>
      <c r="AJ68" s="434"/>
      <c r="AK68" s="434"/>
      <c r="AL68" s="434"/>
      <c r="AM68" s="434"/>
      <c r="AN68" s="434"/>
      <c r="AO68" s="434"/>
      <c r="AP68" s="434"/>
      <c r="AQ68" s="434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4"/>
      <c r="BC68" s="434"/>
      <c r="BD68" s="434"/>
      <c r="BE68" s="434"/>
      <c r="BF68" s="434"/>
      <c r="BG68" s="434"/>
    </row>
    <row r="69" spans="1:59" s="24" customFormat="1" ht="15" hidden="1" x14ac:dyDescent="0.2">
      <c r="A69" s="434"/>
      <c r="B69" s="440"/>
      <c r="C69" s="469"/>
      <c r="D69" s="469"/>
      <c r="E69" s="469"/>
      <c r="F69" s="469"/>
      <c r="G69" s="469"/>
      <c r="H69" s="469"/>
      <c r="I69" s="469"/>
      <c r="J69" s="469"/>
      <c r="K69" s="469"/>
      <c r="L69" s="441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4"/>
      <c r="AN69" s="434"/>
      <c r="AO69" s="434"/>
      <c r="AP69" s="434"/>
      <c r="AQ69" s="434"/>
      <c r="AR69" s="434"/>
      <c r="AS69" s="434"/>
      <c r="AT69" s="434"/>
      <c r="AU69" s="434"/>
      <c r="AV69" s="434"/>
      <c r="AW69" s="434"/>
      <c r="AX69" s="434"/>
      <c r="AY69" s="434"/>
      <c r="AZ69" s="434"/>
      <c r="BA69" s="434"/>
      <c r="BB69" s="434"/>
      <c r="BC69" s="434"/>
      <c r="BD69" s="434"/>
      <c r="BE69" s="434"/>
      <c r="BF69" s="434"/>
      <c r="BG69" s="434"/>
    </row>
    <row r="70" spans="1:59" s="24" customFormat="1" ht="15" hidden="1" x14ac:dyDescent="0.2">
      <c r="A70" s="434"/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4"/>
      <c r="AP70" s="434"/>
      <c r="AQ70" s="434"/>
      <c r="AR70" s="434"/>
      <c r="AS70" s="434"/>
      <c r="AT70" s="434"/>
      <c r="AU70" s="434"/>
      <c r="AV70" s="434"/>
      <c r="AW70" s="434"/>
      <c r="AX70" s="434"/>
      <c r="AY70" s="434"/>
      <c r="AZ70" s="434"/>
      <c r="BA70" s="434"/>
      <c r="BB70" s="434"/>
      <c r="BC70" s="434"/>
      <c r="BD70" s="434"/>
      <c r="BE70" s="434"/>
      <c r="BF70" s="434"/>
      <c r="BG70" s="434"/>
    </row>
    <row r="71" spans="1:59" s="24" customFormat="1" ht="15" hidden="1" x14ac:dyDescent="0.2">
      <c r="A71" s="434"/>
      <c r="B71" s="440"/>
      <c r="C71" s="469"/>
      <c r="D71" s="469"/>
      <c r="E71" s="469"/>
      <c r="F71" s="469"/>
      <c r="G71" s="469"/>
      <c r="H71" s="469"/>
      <c r="I71" s="469"/>
      <c r="J71" s="469"/>
      <c r="K71" s="469"/>
      <c r="L71" s="441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</row>
    <row r="72" spans="1:59" s="24" customFormat="1" ht="15" hidden="1" x14ac:dyDescent="0.2">
      <c r="A72" s="434"/>
      <c r="B72" s="440"/>
      <c r="C72" s="469"/>
      <c r="D72" s="469"/>
      <c r="E72" s="469"/>
      <c r="F72" s="469"/>
      <c r="G72" s="469"/>
      <c r="H72" s="469"/>
      <c r="I72" s="469"/>
      <c r="J72" s="469"/>
      <c r="K72" s="469"/>
      <c r="L72" s="441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</row>
    <row r="73" spans="1:59" s="24" customFormat="1" ht="15" hidden="1" x14ac:dyDescent="0.2">
      <c r="A73" s="434"/>
      <c r="B73" s="440"/>
      <c r="C73" s="469"/>
      <c r="D73" s="469"/>
      <c r="E73" s="469"/>
      <c r="F73" s="469"/>
      <c r="G73" s="469"/>
      <c r="H73" s="469"/>
      <c r="I73" s="469"/>
      <c r="J73" s="469"/>
      <c r="K73" s="469"/>
      <c r="L73" s="441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4"/>
      <c r="AV73" s="434"/>
      <c r="AW73" s="434"/>
      <c r="AX73" s="434"/>
      <c r="AY73" s="434"/>
      <c r="AZ73" s="434"/>
      <c r="BA73" s="434"/>
      <c r="BB73" s="434"/>
      <c r="BC73" s="434"/>
      <c r="BD73" s="434"/>
      <c r="BE73" s="434"/>
      <c r="BF73" s="434"/>
      <c r="BG73" s="434"/>
    </row>
    <row r="74" spans="1:59" s="24" customFormat="1" ht="15" hidden="1" x14ac:dyDescent="0.2">
      <c r="A74" s="434"/>
      <c r="B74" s="440"/>
      <c r="C74" s="469"/>
      <c r="D74" s="469"/>
      <c r="E74" s="469"/>
      <c r="F74" s="469"/>
      <c r="G74" s="469"/>
      <c r="H74" s="469"/>
      <c r="I74" s="469"/>
      <c r="J74" s="469"/>
      <c r="K74" s="469"/>
      <c r="L74" s="441"/>
      <c r="M74" s="434"/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  <c r="Z74" s="434"/>
      <c r="AA74" s="434"/>
      <c r="AB74" s="434"/>
      <c r="AC74" s="434"/>
      <c r="AD74" s="434"/>
      <c r="AE74" s="434"/>
      <c r="AF74" s="434"/>
      <c r="AG74" s="434"/>
      <c r="AH74" s="434"/>
      <c r="AI74" s="434"/>
      <c r="AJ74" s="434"/>
      <c r="AK74" s="434"/>
      <c r="AL74" s="434"/>
      <c r="AM74" s="434"/>
      <c r="AN74" s="434"/>
      <c r="AO74" s="434"/>
      <c r="AP74" s="434"/>
      <c r="AQ74" s="434"/>
      <c r="AR74" s="434"/>
      <c r="AS74" s="434"/>
      <c r="AT74" s="434"/>
      <c r="AU74" s="434"/>
      <c r="AV74" s="434"/>
      <c r="AW74" s="434"/>
      <c r="AX74" s="434"/>
      <c r="AY74" s="434"/>
      <c r="AZ74" s="434"/>
      <c r="BA74" s="434"/>
      <c r="BB74" s="434"/>
      <c r="BC74" s="434"/>
      <c r="BD74" s="434"/>
      <c r="BE74" s="434"/>
      <c r="BF74" s="434"/>
      <c r="BG74" s="434"/>
    </row>
    <row r="75" spans="1:59" s="24" customFormat="1" ht="15" hidden="1" x14ac:dyDescent="0.2">
      <c r="A75" s="434"/>
      <c r="B75" s="440"/>
      <c r="C75" s="469"/>
      <c r="D75" s="469"/>
      <c r="E75" s="469"/>
      <c r="F75" s="469"/>
      <c r="G75" s="469"/>
      <c r="H75" s="469"/>
      <c r="I75" s="469"/>
      <c r="J75" s="469"/>
      <c r="K75" s="469"/>
      <c r="L75" s="441"/>
      <c r="M75" s="434"/>
      <c r="N75" s="434"/>
      <c r="O75" s="434"/>
      <c r="P75" s="434"/>
      <c r="Q75" s="434"/>
      <c r="R75" s="434"/>
      <c r="S75" s="434"/>
      <c r="T75" s="434"/>
      <c r="U75" s="434"/>
      <c r="V75" s="434"/>
      <c r="W75" s="434"/>
      <c r="X75" s="434"/>
      <c r="Y75" s="434"/>
      <c r="Z75" s="434"/>
      <c r="AA75" s="434"/>
      <c r="AB75" s="434"/>
      <c r="AC75" s="434"/>
      <c r="AD75" s="434"/>
      <c r="AE75" s="434"/>
      <c r="AF75" s="434"/>
      <c r="AG75" s="434"/>
      <c r="AH75" s="434"/>
      <c r="AI75" s="434"/>
      <c r="AJ75" s="434"/>
      <c r="AK75" s="434"/>
      <c r="AL75" s="434"/>
      <c r="AM75" s="434"/>
      <c r="AN75" s="434"/>
      <c r="AO75" s="434"/>
      <c r="AP75" s="434"/>
      <c r="AQ75" s="434"/>
      <c r="AR75" s="434"/>
      <c r="AS75" s="434"/>
      <c r="AT75" s="434"/>
      <c r="AU75" s="434"/>
      <c r="AV75" s="434"/>
      <c r="AW75" s="434"/>
      <c r="AX75" s="434"/>
      <c r="AY75" s="434"/>
      <c r="AZ75" s="434"/>
      <c r="BA75" s="434"/>
      <c r="BB75" s="434"/>
      <c r="BC75" s="434"/>
      <c r="BD75" s="434"/>
      <c r="BE75" s="434"/>
      <c r="BF75" s="434"/>
      <c r="BG75" s="434"/>
    </row>
    <row r="76" spans="1:59" s="24" customFormat="1" ht="15" hidden="1" x14ac:dyDescent="0.2">
      <c r="A76" s="434"/>
      <c r="B76" s="440"/>
      <c r="C76" s="469"/>
      <c r="D76" s="469"/>
      <c r="E76" s="469"/>
      <c r="F76" s="469"/>
      <c r="G76" s="469"/>
      <c r="H76" s="469"/>
      <c r="I76" s="469"/>
      <c r="J76" s="469"/>
      <c r="K76" s="469"/>
      <c r="L76" s="441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434"/>
      <c r="AE76" s="434"/>
      <c r="AF76" s="434"/>
      <c r="AG76" s="434"/>
      <c r="AH76" s="434"/>
      <c r="AI76" s="434"/>
      <c r="AJ76" s="434"/>
      <c r="AK76" s="434"/>
      <c r="AL76" s="434"/>
      <c r="AM76" s="434"/>
      <c r="AN76" s="434"/>
      <c r="AO76" s="434"/>
      <c r="AP76" s="434"/>
      <c r="AQ76" s="434"/>
      <c r="AR76" s="434"/>
      <c r="AS76" s="434"/>
      <c r="AT76" s="434"/>
      <c r="AU76" s="434"/>
      <c r="AV76" s="434"/>
      <c r="AW76" s="434"/>
      <c r="AX76" s="434"/>
      <c r="AY76" s="434"/>
      <c r="AZ76" s="434"/>
      <c r="BA76" s="434"/>
      <c r="BB76" s="434"/>
      <c r="BC76" s="434"/>
      <c r="BD76" s="434"/>
      <c r="BE76" s="434"/>
      <c r="BF76" s="434"/>
      <c r="BG76" s="434"/>
    </row>
    <row r="77" spans="1:59" s="24" customFormat="1" ht="15" hidden="1" x14ac:dyDescent="0.2">
      <c r="A77" s="434"/>
      <c r="B77" s="440"/>
      <c r="C77" s="469"/>
      <c r="D77" s="469"/>
      <c r="E77" s="469"/>
      <c r="F77" s="469"/>
      <c r="G77" s="469"/>
      <c r="H77" s="469"/>
      <c r="I77" s="469"/>
      <c r="J77" s="469"/>
      <c r="K77" s="469"/>
      <c r="L77" s="441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  <c r="Z77" s="434"/>
      <c r="AA77" s="434"/>
      <c r="AB77" s="434"/>
      <c r="AC77" s="434"/>
      <c r="AD77" s="434"/>
      <c r="AE77" s="434"/>
      <c r="AF77" s="434"/>
      <c r="AG77" s="434"/>
      <c r="AH77" s="434"/>
      <c r="AI77" s="434"/>
      <c r="AJ77" s="434"/>
      <c r="AK77" s="434"/>
      <c r="AL77" s="434"/>
      <c r="AM77" s="434"/>
      <c r="AN77" s="434"/>
      <c r="AO77" s="434"/>
      <c r="AP77" s="434"/>
      <c r="AQ77" s="434"/>
      <c r="AR77" s="434"/>
      <c r="AS77" s="434"/>
      <c r="AT77" s="434"/>
      <c r="AU77" s="434"/>
      <c r="AV77" s="434"/>
      <c r="AW77" s="434"/>
      <c r="AX77" s="434"/>
      <c r="AY77" s="434"/>
      <c r="AZ77" s="434"/>
      <c r="BA77" s="434"/>
      <c r="BB77" s="434"/>
      <c r="BC77" s="434"/>
      <c r="BD77" s="434"/>
      <c r="BE77" s="434"/>
      <c r="BF77" s="434"/>
      <c r="BG77" s="434"/>
    </row>
    <row r="78" spans="1:59" s="24" customFormat="1" ht="15" hidden="1" x14ac:dyDescent="0.2">
      <c r="A78" s="434"/>
      <c r="B78" s="440"/>
      <c r="C78" s="469"/>
      <c r="D78" s="469"/>
      <c r="E78" s="469"/>
      <c r="F78" s="469"/>
      <c r="G78" s="469"/>
      <c r="H78" s="469"/>
      <c r="I78" s="469"/>
      <c r="J78" s="469"/>
      <c r="K78" s="469"/>
      <c r="L78" s="441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4"/>
      <c r="AG78" s="434"/>
      <c r="AH78" s="434"/>
      <c r="AI78" s="434"/>
      <c r="AJ78" s="434"/>
      <c r="AK78" s="434"/>
      <c r="AL78" s="434"/>
      <c r="AM78" s="434"/>
      <c r="AN78" s="434"/>
      <c r="AO78" s="434"/>
      <c r="AP78" s="434"/>
      <c r="AQ78" s="434"/>
      <c r="AR78" s="434"/>
      <c r="AS78" s="434"/>
      <c r="AT78" s="434"/>
      <c r="AU78" s="434"/>
      <c r="AV78" s="434"/>
      <c r="AW78" s="434"/>
      <c r="AX78" s="434"/>
      <c r="AY78" s="434"/>
      <c r="AZ78" s="434"/>
      <c r="BA78" s="434"/>
      <c r="BB78" s="434"/>
      <c r="BC78" s="434"/>
      <c r="BD78" s="434"/>
      <c r="BE78" s="434"/>
      <c r="BF78" s="434"/>
      <c r="BG78" s="434"/>
    </row>
    <row r="79" spans="1:59" s="24" customFormat="1" ht="15" hidden="1" x14ac:dyDescent="0.2">
      <c r="A79" s="434"/>
      <c r="B79" s="440"/>
      <c r="C79" s="469"/>
      <c r="D79" s="469"/>
      <c r="E79" s="469"/>
      <c r="F79" s="469"/>
      <c r="G79" s="469"/>
      <c r="H79" s="469"/>
      <c r="I79" s="469"/>
      <c r="J79" s="469"/>
      <c r="K79" s="469"/>
      <c r="L79" s="441"/>
      <c r="M79" s="434"/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4"/>
      <c r="AF79" s="434"/>
      <c r="AG79" s="434"/>
      <c r="AH79" s="434"/>
      <c r="AI79" s="434"/>
      <c r="AJ79" s="434"/>
      <c r="AK79" s="434"/>
      <c r="AL79" s="434"/>
      <c r="AM79" s="434"/>
      <c r="AN79" s="434"/>
      <c r="AO79" s="434"/>
      <c r="AP79" s="434"/>
      <c r="AQ79" s="434"/>
      <c r="AR79" s="434"/>
      <c r="AS79" s="434"/>
      <c r="AT79" s="434"/>
      <c r="AU79" s="434"/>
      <c r="AV79" s="434"/>
      <c r="AW79" s="434"/>
      <c r="AX79" s="434"/>
      <c r="AY79" s="434"/>
      <c r="AZ79" s="434"/>
      <c r="BA79" s="434"/>
      <c r="BB79" s="434"/>
      <c r="BC79" s="434"/>
      <c r="BD79" s="434"/>
      <c r="BE79" s="434"/>
      <c r="BF79" s="434"/>
      <c r="BG79" s="434"/>
    </row>
    <row r="80" spans="1:59" s="24" customFormat="1" ht="15" hidden="1" x14ac:dyDescent="0.2">
      <c r="A80" s="434"/>
      <c r="B80" s="440"/>
      <c r="C80" s="469"/>
      <c r="D80" s="469"/>
      <c r="E80" s="469"/>
      <c r="F80" s="469"/>
      <c r="G80" s="469"/>
      <c r="H80" s="469"/>
      <c r="I80" s="469"/>
      <c r="J80" s="469"/>
      <c r="K80" s="469"/>
      <c r="L80" s="441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4"/>
      <c r="AN80" s="434"/>
      <c r="AO80" s="434"/>
      <c r="AP80" s="434"/>
      <c r="AQ80" s="434"/>
      <c r="AR80" s="434"/>
      <c r="AS80" s="434"/>
      <c r="AT80" s="434"/>
      <c r="AU80" s="434"/>
      <c r="AV80" s="434"/>
      <c r="AW80" s="434"/>
      <c r="AX80" s="434"/>
      <c r="AY80" s="434"/>
      <c r="AZ80" s="434"/>
      <c r="BA80" s="434"/>
      <c r="BB80" s="434"/>
      <c r="BC80" s="434"/>
      <c r="BD80" s="434"/>
      <c r="BE80" s="434"/>
      <c r="BF80" s="434"/>
      <c r="BG80" s="434"/>
    </row>
    <row r="81" spans="1:59" s="24" customFormat="1" ht="15" hidden="1" x14ac:dyDescent="0.2">
      <c r="A81" s="434"/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4"/>
      <c r="AF81" s="434"/>
      <c r="AG81" s="434"/>
      <c r="AH81" s="434"/>
      <c r="AI81" s="434"/>
      <c r="AJ81" s="434"/>
      <c r="AK81" s="434"/>
      <c r="AL81" s="434"/>
      <c r="AM81" s="434"/>
      <c r="AN81" s="434"/>
      <c r="AO81" s="434"/>
      <c r="AP81" s="434"/>
      <c r="AQ81" s="434"/>
      <c r="AR81" s="434"/>
      <c r="AS81" s="434"/>
      <c r="AT81" s="434"/>
      <c r="AU81" s="434"/>
      <c r="AV81" s="434"/>
      <c r="AW81" s="434"/>
      <c r="AX81" s="434"/>
      <c r="AY81" s="434"/>
      <c r="AZ81" s="434"/>
      <c r="BA81" s="434"/>
      <c r="BB81" s="434"/>
      <c r="BC81" s="434"/>
      <c r="BD81" s="434"/>
      <c r="BE81" s="434"/>
      <c r="BF81" s="434"/>
      <c r="BG81" s="434"/>
    </row>
    <row r="82" spans="1:59" s="24" customFormat="1" ht="15" x14ac:dyDescent="0.2">
      <c r="A82" s="434"/>
      <c r="B82" s="440"/>
      <c r="C82" s="469"/>
      <c r="D82" s="469"/>
      <c r="E82" s="469"/>
      <c r="F82" s="469"/>
      <c r="G82" s="469"/>
      <c r="H82" s="469"/>
      <c r="I82" s="469"/>
      <c r="J82" s="469"/>
      <c r="K82" s="469"/>
      <c r="L82" s="441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4"/>
      <c r="AG82" s="434"/>
      <c r="AH82" s="434"/>
      <c r="AI82" s="434"/>
      <c r="AJ82" s="434"/>
      <c r="AK82" s="434"/>
      <c r="AL82" s="434"/>
      <c r="AM82" s="434"/>
      <c r="AN82" s="434"/>
      <c r="AO82" s="434"/>
      <c r="AP82" s="434"/>
      <c r="AQ82" s="434"/>
      <c r="AR82" s="434"/>
      <c r="AS82" s="434"/>
      <c r="AT82" s="434"/>
      <c r="AU82" s="434"/>
      <c r="AV82" s="434"/>
      <c r="AW82" s="434"/>
      <c r="AX82" s="434"/>
      <c r="AY82" s="434"/>
      <c r="AZ82" s="434"/>
      <c r="BA82" s="434"/>
      <c r="BB82" s="434"/>
      <c r="BC82" s="434"/>
      <c r="BD82" s="434"/>
      <c r="BE82" s="434"/>
      <c r="BF82" s="434"/>
      <c r="BG82" s="434"/>
    </row>
    <row r="83" spans="1:59" s="24" customFormat="1" ht="15.75" hidden="1" x14ac:dyDescent="0.25">
      <c r="A83" s="434"/>
      <c r="B83" s="440"/>
      <c r="C83" s="499" t="s">
        <v>85</v>
      </c>
      <c r="D83" s="469"/>
      <c r="E83" s="469"/>
      <c r="F83" s="469"/>
      <c r="G83" s="469"/>
      <c r="H83" s="469"/>
      <c r="I83" s="469"/>
      <c r="J83" s="469"/>
      <c r="K83" s="469"/>
      <c r="L83" s="441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4"/>
      <c r="AF83" s="434"/>
      <c r="AG83" s="434"/>
      <c r="AH83" s="434"/>
      <c r="AI83" s="434"/>
      <c r="AJ83" s="434"/>
      <c r="AK83" s="434"/>
      <c r="AL83" s="434"/>
      <c r="AM83" s="434"/>
      <c r="AN83" s="434"/>
      <c r="AO83" s="434"/>
      <c r="AP83" s="434"/>
      <c r="AQ83" s="434"/>
      <c r="AR83" s="434"/>
      <c r="AS83" s="434"/>
      <c r="AT83" s="434"/>
      <c r="AU83" s="434"/>
      <c r="AV83" s="434"/>
      <c r="AW83" s="434"/>
      <c r="AX83" s="434"/>
      <c r="AY83" s="434"/>
      <c r="AZ83" s="434"/>
      <c r="BA83" s="434"/>
      <c r="BB83" s="434"/>
      <c r="BC83" s="434"/>
      <c r="BD83" s="434"/>
      <c r="BE83" s="434"/>
      <c r="BF83" s="434"/>
      <c r="BG83" s="434"/>
    </row>
    <row r="84" spans="1:59" s="24" customFormat="1" ht="15" hidden="1" x14ac:dyDescent="0.2">
      <c r="A84" s="434"/>
      <c r="B84" s="440"/>
      <c r="C84" s="599" t="s">
        <v>207</v>
      </c>
      <c r="D84" s="469"/>
      <c r="E84" s="469"/>
      <c r="F84" s="469"/>
      <c r="G84" s="469"/>
      <c r="H84" s="469"/>
      <c r="I84" s="469"/>
      <c r="J84" s="469"/>
      <c r="K84" s="469"/>
      <c r="L84" s="441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4"/>
      <c r="AJ84" s="434"/>
      <c r="AK84" s="434"/>
      <c r="AL84" s="434"/>
      <c r="AM84" s="434"/>
      <c r="AN84" s="434"/>
      <c r="AO84" s="434"/>
      <c r="AP84" s="434"/>
      <c r="AQ84" s="434"/>
      <c r="AR84" s="434"/>
      <c r="AS84" s="434"/>
      <c r="AT84" s="434"/>
      <c r="AU84" s="434"/>
      <c r="AV84" s="434"/>
      <c r="AW84" s="434"/>
      <c r="AX84" s="434"/>
      <c r="AY84" s="434"/>
      <c r="AZ84" s="434"/>
      <c r="BA84" s="434"/>
      <c r="BB84" s="434"/>
      <c r="BC84" s="434"/>
      <c r="BD84" s="434"/>
      <c r="BE84" s="434"/>
      <c r="BF84" s="434"/>
      <c r="BG84" s="434"/>
    </row>
    <row r="85" spans="1:59" s="24" customFormat="1" ht="15" hidden="1" x14ac:dyDescent="0.2">
      <c r="A85" s="434"/>
      <c r="B85" s="440"/>
      <c r="C85" s="469"/>
      <c r="D85" s="469"/>
      <c r="E85" s="469"/>
      <c r="F85" s="469"/>
      <c r="G85" s="469"/>
      <c r="H85" s="469"/>
      <c r="I85" s="469"/>
      <c r="J85" s="469"/>
      <c r="K85" s="469"/>
      <c r="L85" s="441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  <c r="AK85" s="434"/>
      <c r="AL85" s="434"/>
      <c r="AM85" s="434"/>
      <c r="AN85" s="434"/>
      <c r="AO85" s="434"/>
      <c r="AP85" s="434"/>
      <c r="AQ85" s="434"/>
      <c r="AR85" s="434"/>
      <c r="AS85" s="434"/>
      <c r="AT85" s="434"/>
      <c r="AU85" s="434"/>
      <c r="AV85" s="434"/>
      <c r="AW85" s="434"/>
      <c r="AX85" s="434"/>
      <c r="AY85" s="434"/>
      <c r="AZ85" s="434"/>
      <c r="BA85" s="434"/>
      <c r="BB85" s="434"/>
      <c r="BC85" s="434"/>
      <c r="BD85" s="434"/>
      <c r="BE85" s="434"/>
      <c r="BF85" s="434"/>
      <c r="BG85" s="434"/>
    </row>
    <row r="86" spans="1:59" s="24" customFormat="1" ht="15.75" hidden="1" x14ac:dyDescent="0.25">
      <c r="A86" s="434"/>
      <c r="B86" s="440"/>
      <c r="C86" s="469"/>
      <c r="D86" s="499" t="s">
        <v>93</v>
      </c>
      <c r="E86" s="469"/>
      <c r="F86" s="631">
        <f>Calculations!D198</f>
        <v>223.70370749508487</v>
      </c>
      <c r="G86" s="469"/>
      <c r="H86" s="469"/>
      <c r="I86" s="469"/>
      <c r="J86" s="469"/>
      <c r="K86" s="469"/>
      <c r="L86" s="441"/>
      <c r="M86" s="43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  <c r="Z86" s="434"/>
      <c r="AA86" s="434"/>
      <c r="AB86" s="434"/>
      <c r="AC86" s="434"/>
      <c r="AD86" s="434"/>
      <c r="AE86" s="434"/>
      <c r="AF86" s="434"/>
      <c r="AG86" s="434"/>
      <c r="AH86" s="434"/>
      <c r="AI86" s="434"/>
      <c r="AJ86" s="434"/>
      <c r="AK86" s="434"/>
      <c r="AL86" s="434"/>
      <c r="AM86" s="434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4"/>
      <c r="BE86" s="434"/>
      <c r="BF86" s="434"/>
      <c r="BG86" s="434"/>
    </row>
    <row r="87" spans="1:59" s="24" customFormat="1" ht="15.75" hidden="1" x14ac:dyDescent="0.25">
      <c r="A87" s="434"/>
      <c r="B87" s="440"/>
      <c r="C87" s="469"/>
      <c r="D87" s="499" t="s">
        <v>233</v>
      </c>
      <c r="E87" s="469"/>
      <c r="F87" s="631">
        <f>E53/E36</f>
        <v>1.12418375042014</v>
      </c>
      <c r="G87" s="469"/>
      <c r="H87" s="469"/>
      <c r="I87" s="469"/>
      <c r="J87" s="469"/>
      <c r="K87" s="469"/>
      <c r="L87" s="441"/>
      <c r="M87" s="434"/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  <c r="Z87" s="434"/>
      <c r="AA87" s="434"/>
      <c r="AB87" s="434"/>
      <c r="AC87" s="434"/>
      <c r="AD87" s="434"/>
      <c r="AE87" s="434"/>
      <c r="AF87" s="434"/>
      <c r="AG87" s="434"/>
      <c r="AH87" s="434"/>
      <c r="AI87" s="434"/>
      <c r="AJ87" s="434"/>
      <c r="AK87" s="434"/>
      <c r="AL87" s="434"/>
      <c r="AM87" s="434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4"/>
      <c r="BE87" s="434"/>
      <c r="BF87" s="434"/>
      <c r="BG87" s="434"/>
    </row>
    <row r="88" spans="1:59" s="24" customFormat="1" ht="15.75" hidden="1" x14ac:dyDescent="0.25">
      <c r="A88" s="434"/>
      <c r="B88" s="440"/>
      <c r="C88" s="469"/>
      <c r="D88" s="499" t="s">
        <v>86</v>
      </c>
      <c r="E88" s="469"/>
      <c r="F88" s="632">
        <f>Calculations!D199</f>
        <v>0.1024565352132738</v>
      </c>
      <c r="G88" s="469"/>
      <c r="H88" s="469"/>
      <c r="I88" s="469"/>
      <c r="J88" s="469"/>
      <c r="K88" s="469"/>
      <c r="L88" s="441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434"/>
      <c r="BE88" s="434"/>
      <c r="BF88" s="434"/>
      <c r="BG88" s="434"/>
    </row>
    <row r="89" spans="1:59" s="24" customFormat="1" ht="15.75" hidden="1" x14ac:dyDescent="0.25">
      <c r="A89" s="434"/>
      <c r="B89" s="440"/>
      <c r="C89" s="469"/>
      <c r="D89" s="499" t="s">
        <v>31</v>
      </c>
      <c r="E89" s="469"/>
      <c r="F89" s="631">
        <f>Calculations!D200</f>
        <v>17</v>
      </c>
      <c r="G89" s="469"/>
      <c r="H89" s="469"/>
      <c r="I89" s="469"/>
      <c r="J89" s="469"/>
      <c r="K89" s="469"/>
      <c r="L89" s="441"/>
      <c r="M89" s="434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434"/>
      <c r="AC89" s="434"/>
      <c r="AD89" s="434"/>
      <c r="AE89" s="434"/>
      <c r="AF89" s="434"/>
      <c r="AG89" s="434"/>
      <c r="AH89" s="434"/>
      <c r="AI89" s="434"/>
      <c r="AJ89" s="434"/>
      <c r="AK89" s="434"/>
      <c r="AL89" s="434"/>
      <c r="AM89" s="434"/>
      <c r="AN89" s="434"/>
      <c r="AO89" s="434"/>
      <c r="AP89" s="434"/>
      <c r="AQ89" s="434"/>
      <c r="AR89" s="434"/>
      <c r="AS89" s="434"/>
      <c r="AT89" s="434"/>
      <c r="AU89" s="434"/>
      <c r="AV89" s="434"/>
      <c r="AW89" s="434"/>
      <c r="AX89" s="434"/>
      <c r="AY89" s="434"/>
      <c r="AZ89" s="434"/>
      <c r="BA89" s="434"/>
      <c r="BB89" s="434"/>
      <c r="BC89" s="434"/>
      <c r="BD89" s="434"/>
      <c r="BE89" s="434"/>
      <c r="BF89" s="434"/>
      <c r="BG89" s="434"/>
    </row>
    <row r="90" spans="1:59" s="24" customFormat="1" ht="15" hidden="1" x14ac:dyDescent="0.2">
      <c r="A90" s="434"/>
      <c r="B90" s="440"/>
      <c r="C90" s="469"/>
      <c r="D90" s="469"/>
      <c r="E90" s="469"/>
      <c r="F90" s="469"/>
      <c r="G90" s="469"/>
      <c r="H90" s="469"/>
      <c r="I90" s="469"/>
      <c r="J90" s="469"/>
      <c r="K90" s="469"/>
      <c r="L90" s="441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434"/>
      <c r="AP90" s="434"/>
      <c r="AQ90" s="434"/>
      <c r="AR90" s="434"/>
      <c r="AS90" s="434"/>
      <c r="AT90" s="434"/>
      <c r="AU90" s="434"/>
      <c r="AV90" s="434"/>
      <c r="AW90" s="434"/>
      <c r="AX90" s="434"/>
      <c r="AY90" s="434"/>
      <c r="AZ90" s="434"/>
      <c r="BA90" s="434"/>
      <c r="BB90" s="434"/>
      <c r="BC90" s="434"/>
      <c r="BD90" s="434"/>
      <c r="BE90" s="434"/>
      <c r="BF90" s="434"/>
      <c r="BG90" s="434"/>
    </row>
    <row r="91" spans="1:59" ht="18.75" thickBot="1" x14ac:dyDescent="0.3">
      <c r="B91" s="445"/>
      <c r="C91" s="477" t="s">
        <v>197</v>
      </c>
      <c r="D91" s="479"/>
      <c r="E91" s="479"/>
      <c r="F91" s="479"/>
      <c r="G91" s="479"/>
      <c r="H91" s="479"/>
      <c r="I91" s="479"/>
      <c r="J91" s="479"/>
      <c r="K91" s="479"/>
      <c r="L91" s="447"/>
    </row>
    <row r="92" spans="1:59" s="24" customFormat="1" ht="15.75" thickTop="1" x14ac:dyDescent="0.2">
      <c r="A92" s="434"/>
      <c r="B92" s="440"/>
      <c r="C92" s="469"/>
      <c r="D92" s="469"/>
      <c r="E92" s="469"/>
      <c r="F92" s="469"/>
      <c r="G92" s="469"/>
      <c r="H92" s="469"/>
      <c r="I92" s="469"/>
      <c r="J92" s="469"/>
      <c r="K92" s="469"/>
      <c r="L92" s="441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434"/>
      <c r="AF92" s="434"/>
      <c r="AG92" s="434"/>
      <c r="AH92" s="434"/>
      <c r="AI92" s="434"/>
      <c r="AJ92" s="434"/>
      <c r="AK92" s="434"/>
      <c r="AL92" s="434"/>
      <c r="AM92" s="434"/>
      <c r="AN92" s="434"/>
      <c r="AO92" s="434"/>
      <c r="AP92" s="434"/>
      <c r="AQ92" s="434"/>
      <c r="AR92" s="434"/>
      <c r="AS92" s="434"/>
      <c r="AT92" s="434"/>
      <c r="AU92" s="434"/>
      <c r="AV92" s="434"/>
      <c r="AW92" s="434"/>
      <c r="AX92" s="434"/>
      <c r="AY92" s="434"/>
      <c r="AZ92" s="434"/>
      <c r="BA92" s="434"/>
      <c r="BB92" s="434"/>
      <c r="BC92" s="434"/>
      <c r="BD92" s="434"/>
      <c r="BE92" s="434"/>
      <c r="BF92" s="434"/>
      <c r="BG92" s="434"/>
    </row>
    <row r="93" spans="1:59" s="24" customFormat="1" ht="16.5" thickBot="1" x14ac:dyDescent="0.3">
      <c r="A93" s="434"/>
      <c r="B93" s="440"/>
      <c r="C93" s="592" t="s">
        <v>198</v>
      </c>
      <c r="D93" s="593"/>
      <c r="E93" s="593"/>
      <c r="F93" s="469"/>
      <c r="G93" s="469"/>
      <c r="H93" s="469"/>
      <c r="I93" s="469"/>
      <c r="J93" s="469"/>
      <c r="K93" s="469"/>
      <c r="L93" s="441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  <c r="AH93" s="434"/>
      <c r="AI93" s="434"/>
      <c r="AJ93" s="434"/>
      <c r="AK93" s="434"/>
      <c r="AL93" s="434"/>
      <c r="AM93" s="434"/>
      <c r="AN93" s="434"/>
      <c r="AO93" s="434"/>
      <c r="AP93" s="434"/>
      <c r="AQ93" s="434"/>
      <c r="AR93" s="434"/>
      <c r="AS93" s="434"/>
      <c r="AT93" s="434"/>
      <c r="AU93" s="434"/>
      <c r="AV93" s="434"/>
      <c r="AW93" s="434"/>
      <c r="AX93" s="434"/>
      <c r="AY93" s="434"/>
      <c r="AZ93" s="434"/>
      <c r="BA93" s="434"/>
      <c r="BB93" s="434"/>
      <c r="BC93" s="434"/>
      <c r="BD93" s="434"/>
      <c r="BE93" s="434"/>
      <c r="BF93" s="434"/>
      <c r="BG93" s="434"/>
    </row>
    <row r="94" spans="1:59" s="24" customFormat="1" ht="15" x14ac:dyDescent="0.2">
      <c r="A94" s="434"/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  <c r="AH94" s="434"/>
      <c r="AI94" s="434"/>
      <c r="AJ94" s="434"/>
      <c r="AK94" s="434"/>
      <c r="AL94" s="434"/>
      <c r="AM94" s="434"/>
      <c r="AN94" s="434"/>
      <c r="AO94" s="434"/>
      <c r="AP94" s="434"/>
      <c r="AQ94" s="434"/>
      <c r="AR94" s="434"/>
      <c r="AS94" s="434"/>
      <c r="AT94" s="434"/>
      <c r="AU94" s="434"/>
      <c r="AV94" s="434"/>
      <c r="AW94" s="434"/>
      <c r="AX94" s="434"/>
      <c r="AY94" s="434"/>
      <c r="AZ94" s="434"/>
      <c r="BA94" s="434"/>
      <c r="BB94" s="434"/>
      <c r="BC94" s="434"/>
      <c r="BD94" s="434"/>
      <c r="BE94" s="434"/>
      <c r="BF94" s="434"/>
      <c r="BG94" s="434"/>
    </row>
    <row r="95" spans="1:59" s="24" customFormat="1" ht="126" x14ac:dyDescent="0.25">
      <c r="A95" s="434"/>
      <c r="B95" s="440"/>
      <c r="C95" s="469"/>
      <c r="D95" s="620" t="s">
        <v>75</v>
      </c>
      <c r="E95" s="619" t="str">
        <f t="shared" ref="E95:J95" si="1">E39</f>
        <v>"Status Quo" Reference Case</v>
      </c>
      <c r="F95" s="619" t="str">
        <f t="shared" si="1"/>
        <v>Option 1 Provide In Meter Capabilities</v>
      </c>
      <c r="G95" s="619" t="str">
        <f t="shared" si="1"/>
        <v>Option 2 Provide In Meter Capabilities with Near Real-time Centralised Analytics</v>
      </c>
      <c r="H95" s="619" t="str">
        <f t="shared" si="1"/>
        <v xml:space="preserve">Option 3 </v>
      </c>
      <c r="I95" s="619" t="str">
        <f t="shared" si="1"/>
        <v xml:space="preserve">Option 4 </v>
      </c>
      <c r="J95" s="619" t="str">
        <f t="shared" si="1"/>
        <v xml:space="preserve">Option 5 </v>
      </c>
      <c r="K95" s="469"/>
      <c r="L95" s="441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  <c r="AH95" s="434"/>
      <c r="AI95" s="434"/>
      <c r="AJ95" s="434"/>
      <c r="AK95" s="434"/>
      <c r="AL95" s="434"/>
      <c r="AM95" s="434"/>
      <c r="AN95" s="434"/>
      <c r="AO95" s="434"/>
      <c r="AP95" s="434"/>
      <c r="AQ95" s="434"/>
      <c r="AR95" s="434"/>
      <c r="AS95" s="434"/>
      <c r="AT95" s="434"/>
      <c r="AU95" s="434"/>
      <c r="AV95" s="434"/>
      <c r="AW95" s="434"/>
      <c r="AX95" s="434"/>
      <c r="AY95" s="434"/>
      <c r="AZ95" s="434"/>
      <c r="BA95" s="434"/>
      <c r="BB95" s="434"/>
      <c r="BC95" s="434"/>
      <c r="BD95" s="434"/>
      <c r="BE95" s="434"/>
      <c r="BF95" s="434"/>
      <c r="BG95" s="434"/>
    </row>
    <row r="96" spans="1:59" s="24" customFormat="1" ht="15.75" x14ac:dyDescent="0.25">
      <c r="A96" s="434"/>
      <c r="B96" s="440"/>
      <c r="C96" s="469"/>
      <c r="D96" s="603" t="str">
        <f>'Calc (Sensitivities)'!C193</f>
        <v>Capital Costs</v>
      </c>
      <c r="E96" s="621">
        <f>'Calc (Sensitivities)'!D193</f>
        <v>5858.5074170819698</v>
      </c>
      <c r="F96" s="621">
        <f>'Calc (Sensitivities)'!E193</f>
        <v>2343.9958150556986</v>
      </c>
      <c r="G96" s="621">
        <f>'Calc (Sensitivities)'!F193</f>
        <v>10488.925176377625</v>
      </c>
      <c r="H96" s="621">
        <f>'Calc (Sensitivities)'!G193</f>
        <v>0</v>
      </c>
      <c r="I96" s="621">
        <f>'Calc (Sensitivities)'!H193</f>
        <v>0</v>
      </c>
      <c r="J96" s="621">
        <f>'Calc (Sensitivities)'!I193</f>
        <v>0</v>
      </c>
      <c r="K96" s="469"/>
      <c r="L96" s="441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  <c r="AH96" s="434"/>
      <c r="AI96" s="434"/>
      <c r="AJ96" s="434"/>
      <c r="AK96" s="434"/>
      <c r="AL96" s="434"/>
      <c r="AM96" s="434"/>
      <c r="AN96" s="434"/>
      <c r="AO96" s="434"/>
      <c r="AP96" s="434"/>
      <c r="AQ96" s="434"/>
      <c r="AR96" s="434"/>
      <c r="AS96" s="434"/>
      <c r="AT96" s="434"/>
      <c r="AU96" s="434"/>
      <c r="AV96" s="434"/>
      <c r="AW96" s="434"/>
      <c r="AX96" s="434"/>
      <c r="AY96" s="434"/>
      <c r="AZ96" s="434"/>
      <c r="BA96" s="434"/>
      <c r="BB96" s="434"/>
      <c r="BC96" s="434"/>
      <c r="BD96" s="434"/>
      <c r="BE96" s="434"/>
      <c r="BF96" s="434"/>
      <c r="BG96" s="434"/>
    </row>
    <row r="97" spans="1:59" s="24" customFormat="1" ht="16.5" thickBot="1" x14ac:dyDescent="0.3">
      <c r="A97" s="434"/>
      <c r="B97" s="440"/>
      <c r="C97" s="469"/>
      <c r="D97" s="618" t="s">
        <v>115</v>
      </c>
      <c r="E97" s="622">
        <f>SUM('Calc (Sensitivities)'!D195:D203)</f>
        <v>0</v>
      </c>
      <c r="F97" s="622">
        <f>SUM('Calc (Sensitivities)'!E195:E203)</f>
        <v>0</v>
      </c>
      <c r="G97" s="622">
        <f>SUM('Calc (Sensitivities)'!F195:F203)</f>
        <v>0</v>
      </c>
      <c r="H97" s="622">
        <f>SUM('Calc (Sensitivities)'!G195:G203)</f>
        <v>0</v>
      </c>
      <c r="I97" s="622">
        <f>SUM('Calc (Sensitivities)'!H195:H203)</f>
        <v>0</v>
      </c>
      <c r="J97" s="622">
        <f>SUM('Calc (Sensitivities)'!I195:I203)</f>
        <v>0</v>
      </c>
      <c r="K97" s="469"/>
      <c r="L97" s="441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  <c r="AH97" s="434"/>
      <c r="AI97" s="434"/>
      <c r="AJ97" s="434"/>
      <c r="AK97" s="434"/>
      <c r="AL97" s="434"/>
      <c r="AM97" s="434"/>
      <c r="AN97" s="434"/>
      <c r="AO97" s="434"/>
      <c r="AP97" s="434"/>
      <c r="AQ97" s="434"/>
      <c r="AR97" s="434"/>
      <c r="AS97" s="434"/>
      <c r="AT97" s="434"/>
      <c r="AU97" s="434"/>
      <c r="AV97" s="434"/>
      <c r="AW97" s="434"/>
      <c r="AX97" s="434"/>
      <c r="AY97" s="434"/>
      <c r="AZ97" s="434"/>
      <c r="BA97" s="434"/>
      <c r="BB97" s="434"/>
      <c r="BC97" s="434"/>
      <c r="BD97" s="434"/>
      <c r="BE97" s="434"/>
      <c r="BF97" s="434"/>
      <c r="BG97" s="434"/>
    </row>
    <row r="98" spans="1:59" s="24" customFormat="1" ht="17.25" thickTop="1" thickBot="1" x14ac:dyDescent="0.3">
      <c r="A98" s="434"/>
      <c r="B98" s="440"/>
      <c r="C98" s="469"/>
      <c r="D98" s="639" t="s">
        <v>2</v>
      </c>
      <c r="E98" s="636">
        <f t="shared" ref="E98:J98" si="2">SUM(E96:E97)</f>
        <v>5858.5074170819698</v>
      </c>
      <c r="F98" s="636">
        <f t="shared" si="2"/>
        <v>2343.9958150556986</v>
      </c>
      <c r="G98" s="636">
        <f t="shared" si="2"/>
        <v>10488.925176377625</v>
      </c>
      <c r="H98" s="636">
        <f t="shared" si="2"/>
        <v>0</v>
      </c>
      <c r="I98" s="636">
        <f t="shared" si="2"/>
        <v>0</v>
      </c>
      <c r="J98" s="636">
        <f t="shared" si="2"/>
        <v>0</v>
      </c>
      <c r="K98" s="469"/>
      <c r="L98" s="441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4"/>
      <c r="BD98" s="434"/>
      <c r="BE98" s="434"/>
      <c r="BF98" s="434"/>
      <c r="BG98" s="434"/>
    </row>
    <row r="99" spans="1:59" s="24" customFormat="1" ht="15.75" thickTop="1" x14ac:dyDescent="0.2">
      <c r="A99" s="434"/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  <c r="AH99" s="434"/>
      <c r="AI99" s="434"/>
      <c r="AJ99" s="434"/>
      <c r="AK99" s="434"/>
      <c r="AL99" s="434"/>
      <c r="AM99" s="434"/>
      <c r="AN99" s="434"/>
      <c r="AO99" s="434"/>
      <c r="AP99" s="434"/>
      <c r="AQ99" s="434"/>
      <c r="AR99" s="434"/>
      <c r="AS99" s="434"/>
      <c r="AT99" s="434"/>
      <c r="AU99" s="434"/>
      <c r="AV99" s="434"/>
      <c r="AW99" s="434"/>
      <c r="AX99" s="434"/>
      <c r="AY99" s="434"/>
      <c r="AZ99" s="434"/>
      <c r="BA99" s="434"/>
      <c r="BB99" s="434"/>
      <c r="BC99" s="434"/>
      <c r="BD99" s="434"/>
      <c r="BE99" s="434"/>
      <c r="BF99" s="434"/>
      <c r="BG99" s="434"/>
    </row>
    <row r="100" spans="1:59" s="24" customFormat="1" ht="16.5" thickBot="1" x14ac:dyDescent="0.3">
      <c r="A100" s="434"/>
      <c r="B100" s="440"/>
      <c r="C100" s="469"/>
      <c r="D100" s="592" t="s">
        <v>1</v>
      </c>
      <c r="E100" s="637">
        <f>'Calc (Sensitivities)'!D18</f>
        <v>7.6700000000000004E-2</v>
      </c>
      <c r="F100" s="469"/>
      <c r="G100" s="469"/>
      <c r="H100" s="469"/>
      <c r="I100" s="469"/>
      <c r="J100" s="469"/>
      <c r="K100" s="469"/>
      <c r="L100" s="441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  <c r="AH100" s="434"/>
      <c r="AI100" s="434"/>
      <c r="AJ100" s="434"/>
      <c r="AK100" s="434"/>
      <c r="AL100" s="434"/>
      <c r="AM100" s="434"/>
      <c r="AN100" s="434"/>
      <c r="AO100" s="434"/>
      <c r="AP100" s="434"/>
      <c r="AQ100" s="434"/>
      <c r="AR100" s="434"/>
      <c r="AS100" s="434"/>
      <c r="AT100" s="434"/>
      <c r="AU100" s="434"/>
      <c r="AV100" s="434"/>
      <c r="AW100" s="434"/>
      <c r="AX100" s="434"/>
      <c r="AY100" s="434"/>
      <c r="AZ100" s="434"/>
      <c r="BA100" s="434"/>
      <c r="BB100" s="434"/>
      <c r="BC100" s="434"/>
      <c r="BD100" s="434"/>
      <c r="BE100" s="434"/>
      <c r="BF100" s="434"/>
      <c r="BG100" s="434"/>
    </row>
    <row r="101" spans="1:59" s="24" customFormat="1" ht="15.75" x14ac:dyDescent="0.25">
      <c r="A101" s="434"/>
      <c r="B101" s="440"/>
      <c r="C101" s="469"/>
      <c r="D101" s="499"/>
      <c r="E101" s="638"/>
      <c r="F101" s="469"/>
      <c r="G101" s="469"/>
      <c r="H101" s="469"/>
      <c r="I101" s="469"/>
      <c r="J101" s="469"/>
      <c r="K101" s="469"/>
      <c r="L101" s="441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34"/>
      <c r="AF101" s="434"/>
      <c r="AG101" s="434"/>
      <c r="AH101" s="434"/>
      <c r="AI101" s="434"/>
      <c r="AJ101" s="434"/>
      <c r="AK101" s="434"/>
      <c r="AL101" s="434"/>
      <c r="AM101" s="434"/>
      <c r="AN101" s="434"/>
      <c r="AO101" s="434"/>
      <c r="AP101" s="434"/>
      <c r="AQ101" s="434"/>
      <c r="AR101" s="434"/>
      <c r="AS101" s="434"/>
      <c r="AT101" s="434"/>
      <c r="AU101" s="434"/>
      <c r="AV101" s="434"/>
      <c r="AW101" s="434"/>
      <c r="AX101" s="434"/>
      <c r="AY101" s="434"/>
      <c r="AZ101" s="434"/>
      <c r="BA101" s="434"/>
      <c r="BB101" s="434"/>
      <c r="BC101" s="434"/>
      <c r="BD101" s="434"/>
      <c r="BE101" s="434"/>
      <c r="BF101" s="434"/>
      <c r="BG101" s="434"/>
    </row>
    <row r="102" spans="1:59" s="24" customFormat="1" ht="15.75" x14ac:dyDescent="0.25">
      <c r="A102" s="434"/>
      <c r="B102" s="440"/>
      <c r="C102" s="469"/>
      <c r="D102" s="603" t="s">
        <v>84</v>
      </c>
      <c r="E102" s="635">
        <f>'Calc (Sensitivities)'!D206</f>
        <v>2053.4459667375409</v>
      </c>
      <c r="F102" s="635">
        <f>'Calc (Sensitivities)'!E206</f>
        <v>1688.9483090078588</v>
      </c>
      <c r="G102" s="635">
        <f>'Calc (Sensitivities)'!F206</f>
        <v>7557.7513596598965</v>
      </c>
      <c r="H102" s="635" t="str">
        <f>'Calc (Sensitivities)'!G206</f>
        <v xml:space="preserve"> </v>
      </c>
      <c r="I102" s="635" t="str">
        <f>'Calc (Sensitivities)'!H206</f>
        <v xml:space="preserve"> </v>
      </c>
      <c r="J102" s="635" t="str">
        <f>'Calc (Sensitivities)'!I206</f>
        <v xml:space="preserve"> </v>
      </c>
      <c r="K102" s="469"/>
      <c r="L102" s="441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  <c r="Z102" s="434"/>
      <c r="AA102" s="434"/>
      <c r="AB102" s="434"/>
      <c r="AC102" s="434"/>
      <c r="AD102" s="434"/>
      <c r="AE102" s="434"/>
      <c r="AF102" s="434"/>
      <c r="AG102" s="434"/>
      <c r="AH102" s="434"/>
      <c r="AI102" s="434"/>
      <c r="AJ102" s="434"/>
      <c r="AK102" s="434"/>
      <c r="AL102" s="434"/>
      <c r="AM102" s="434"/>
      <c r="AN102" s="434"/>
      <c r="AO102" s="434"/>
      <c r="AP102" s="434"/>
      <c r="AQ102" s="434"/>
      <c r="AR102" s="434"/>
      <c r="AS102" s="434"/>
      <c r="AT102" s="434"/>
      <c r="AU102" s="434"/>
      <c r="AV102" s="434"/>
      <c r="AW102" s="434"/>
      <c r="AX102" s="434"/>
      <c r="AY102" s="434"/>
      <c r="AZ102" s="434"/>
      <c r="BA102" s="434"/>
      <c r="BB102" s="434"/>
      <c r="BC102" s="434"/>
      <c r="BD102" s="434"/>
      <c r="BE102" s="434"/>
      <c r="BF102" s="434"/>
      <c r="BG102" s="434"/>
    </row>
    <row r="103" spans="1:59" s="24" customFormat="1" ht="15" x14ac:dyDescent="0.2">
      <c r="A103" s="434"/>
      <c r="B103" s="440"/>
      <c r="C103" s="469"/>
      <c r="D103" s="616" t="s">
        <v>126</v>
      </c>
      <c r="E103" s="634">
        <f t="shared" ref="E103:J103" si="3">IF(E102=" "," ",RANK(E102,$E$102:$J$102,1))</f>
        <v>2</v>
      </c>
      <c r="F103" s="634">
        <f t="shared" si="3"/>
        <v>1</v>
      </c>
      <c r="G103" s="634">
        <f t="shared" si="3"/>
        <v>3</v>
      </c>
      <c r="H103" s="634" t="str">
        <f t="shared" si="3"/>
        <v xml:space="preserve"> </v>
      </c>
      <c r="I103" s="634" t="str">
        <f t="shared" si="3"/>
        <v xml:space="preserve"> </v>
      </c>
      <c r="J103" s="634" t="str">
        <f t="shared" si="3"/>
        <v xml:space="preserve"> </v>
      </c>
      <c r="K103" s="469"/>
      <c r="L103" s="441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Z103" s="434"/>
      <c r="AA103" s="434"/>
      <c r="AB103" s="434"/>
      <c r="AC103" s="434"/>
      <c r="AD103" s="434"/>
      <c r="AE103" s="434"/>
      <c r="AF103" s="434"/>
      <c r="AG103" s="434"/>
      <c r="AH103" s="434"/>
      <c r="AI103" s="434"/>
      <c r="AJ103" s="434"/>
      <c r="AK103" s="434"/>
      <c r="AL103" s="434"/>
      <c r="AM103" s="434"/>
      <c r="AN103" s="434"/>
      <c r="AO103" s="434"/>
      <c r="AP103" s="434"/>
      <c r="AQ103" s="434"/>
      <c r="AR103" s="434"/>
      <c r="AS103" s="434"/>
      <c r="AT103" s="434"/>
      <c r="AU103" s="434"/>
      <c r="AV103" s="434"/>
      <c r="AW103" s="434"/>
      <c r="AX103" s="434"/>
      <c r="AY103" s="434"/>
      <c r="AZ103" s="434"/>
      <c r="BA103" s="434"/>
      <c r="BB103" s="434"/>
      <c r="BC103" s="434"/>
      <c r="BD103" s="434"/>
      <c r="BE103" s="434"/>
      <c r="BF103" s="434"/>
      <c r="BG103" s="434"/>
    </row>
    <row r="104" spans="1:59" s="24" customFormat="1" ht="15" x14ac:dyDescent="0.2">
      <c r="A104" s="434"/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34"/>
      <c r="AH104" s="434"/>
      <c r="AI104" s="434"/>
      <c r="AJ104" s="434"/>
      <c r="AK104" s="434"/>
      <c r="AL104" s="434"/>
      <c r="AM104" s="434"/>
      <c r="AN104" s="434"/>
      <c r="AO104" s="434"/>
      <c r="AP104" s="434"/>
      <c r="AQ104" s="434"/>
      <c r="AR104" s="434"/>
      <c r="AS104" s="434"/>
      <c r="AT104" s="434"/>
      <c r="AU104" s="434"/>
      <c r="AV104" s="434"/>
      <c r="AW104" s="434"/>
      <c r="AX104" s="434"/>
      <c r="AY104" s="434"/>
      <c r="AZ104" s="434"/>
      <c r="BA104" s="434"/>
      <c r="BB104" s="434"/>
      <c r="BC104" s="434"/>
      <c r="BD104" s="434"/>
      <c r="BE104" s="434"/>
      <c r="BF104" s="434"/>
      <c r="BG104" s="434"/>
    </row>
    <row r="105" spans="1:59" s="24" customFormat="1" ht="16.5" thickBot="1" x14ac:dyDescent="0.3">
      <c r="A105" s="434"/>
      <c r="B105" s="440"/>
      <c r="C105" s="592" t="s">
        <v>202</v>
      </c>
      <c r="D105" s="593"/>
      <c r="E105" s="593"/>
      <c r="F105" s="469"/>
      <c r="G105" s="469"/>
      <c r="H105" s="469"/>
      <c r="I105" s="469"/>
      <c r="J105" s="469"/>
      <c r="K105" s="469"/>
      <c r="L105" s="441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34"/>
      <c r="AG105" s="434"/>
      <c r="AH105" s="434"/>
      <c r="AI105" s="434"/>
      <c r="AJ105" s="434"/>
      <c r="AK105" s="434"/>
      <c r="AL105" s="434"/>
      <c r="AM105" s="434"/>
      <c r="AN105" s="434"/>
      <c r="AO105" s="434"/>
      <c r="AP105" s="434"/>
      <c r="AQ105" s="434"/>
      <c r="AR105" s="434"/>
      <c r="AS105" s="434"/>
      <c r="AT105" s="434"/>
      <c r="AU105" s="434"/>
      <c r="AV105" s="434"/>
      <c r="AW105" s="434"/>
      <c r="AX105" s="434"/>
      <c r="AY105" s="434"/>
      <c r="AZ105" s="434"/>
      <c r="BA105" s="434"/>
      <c r="BB105" s="434"/>
      <c r="BC105" s="434"/>
      <c r="BD105" s="434"/>
      <c r="BE105" s="434"/>
      <c r="BF105" s="434"/>
      <c r="BG105" s="434"/>
    </row>
    <row r="106" spans="1:59" s="24" customFormat="1" ht="15" x14ac:dyDescent="0.2">
      <c r="A106" s="434"/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  <c r="W106" s="434"/>
      <c r="X106" s="434"/>
      <c r="Y106" s="434"/>
      <c r="Z106" s="434"/>
      <c r="AA106" s="434"/>
      <c r="AB106" s="434"/>
      <c r="AC106" s="434"/>
      <c r="AD106" s="434"/>
      <c r="AE106" s="434"/>
      <c r="AF106" s="434"/>
      <c r="AG106" s="434"/>
      <c r="AH106" s="434"/>
      <c r="AI106" s="434"/>
      <c r="AJ106" s="434"/>
      <c r="AK106" s="434"/>
      <c r="AL106" s="434"/>
      <c r="AM106" s="434"/>
      <c r="AN106" s="434"/>
      <c r="AO106" s="434"/>
      <c r="AP106" s="434"/>
      <c r="AQ106" s="434"/>
      <c r="AR106" s="434"/>
      <c r="AS106" s="434"/>
      <c r="AT106" s="434"/>
      <c r="AU106" s="434"/>
      <c r="AV106" s="434"/>
      <c r="AW106" s="434"/>
      <c r="AX106" s="434"/>
      <c r="AY106" s="434"/>
      <c r="AZ106" s="434"/>
      <c r="BA106" s="434"/>
      <c r="BB106" s="434"/>
      <c r="BC106" s="434"/>
      <c r="BD106" s="434"/>
      <c r="BE106" s="434"/>
      <c r="BF106" s="434"/>
      <c r="BG106" s="434"/>
    </row>
    <row r="107" spans="1:59" s="24" customFormat="1" ht="126" x14ac:dyDescent="0.25">
      <c r="A107" s="434"/>
      <c r="B107" s="440"/>
      <c r="C107" s="469"/>
      <c r="D107" s="620" t="s">
        <v>75</v>
      </c>
      <c r="E107" s="619" t="str">
        <f t="shared" ref="E107:J107" si="4">E39</f>
        <v>"Status Quo" Reference Case</v>
      </c>
      <c r="F107" s="619" t="str">
        <f t="shared" si="4"/>
        <v>Option 1 Provide In Meter Capabilities</v>
      </c>
      <c r="G107" s="619" t="str">
        <f t="shared" si="4"/>
        <v>Option 2 Provide In Meter Capabilities with Near Real-time Centralised Analytics</v>
      </c>
      <c r="H107" s="619" t="str">
        <f t="shared" si="4"/>
        <v xml:space="preserve">Option 3 </v>
      </c>
      <c r="I107" s="619" t="str">
        <f t="shared" si="4"/>
        <v xml:space="preserve">Option 4 </v>
      </c>
      <c r="J107" s="619" t="str">
        <f t="shared" si="4"/>
        <v xml:space="preserve">Option 5 </v>
      </c>
      <c r="K107" s="469"/>
      <c r="L107" s="441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  <c r="W107" s="434"/>
      <c r="X107" s="434"/>
      <c r="Y107" s="434"/>
      <c r="Z107" s="434"/>
      <c r="AA107" s="434"/>
      <c r="AB107" s="434"/>
      <c r="AC107" s="434"/>
      <c r="AD107" s="434"/>
      <c r="AE107" s="434"/>
      <c r="AF107" s="434"/>
      <c r="AG107" s="434"/>
      <c r="AH107" s="434"/>
      <c r="AI107" s="434"/>
      <c r="AJ107" s="434"/>
      <c r="AK107" s="434"/>
      <c r="AL107" s="434"/>
      <c r="AM107" s="434"/>
      <c r="AN107" s="434"/>
      <c r="AO107" s="434"/>
      <c r="AP107" s="434"/>
      <c r="AQ107" s="434"/>
      <c r="AR107" s="434"/>
      <c r="AS107" s="434"/>
      <c r="AT107" s="434"/>
      <c r="AU107" s="434"/>
      <c r="AV107" s="434"/>
      <c r="AW107" s="434"/>
      <c r="AX107" s="434"/>
      <c r="AY107" s="434"/>
      <c r="AZ107" s="434"/>
      <c r="BA107" s="434"/>
      <c r="BB107" s="434"/>
      <c r="BC107" s="434"/>
      <c r="BD107" s="434"/>
      <c r="BE107" s="434"/>
      <c r="BF107" s="434"/>
      <c r="BG107" s="434"/>
    </row>
    <row r="108" spans="1:59" s="24" customFormat="1" ht="15.75" x14ac:dyDescent="0.25">
      <c r="A108" s="434"/>
      <c r="B108" s="440"/>
      <c r="C108" s="469"/>
      <c r="D108" s="603" t="str">
        <f>'Calc (Sensitivities)'!C253</f>
        <v>Capital Costs</v>
      </c>
      <c r="E108" s="621">
        <f>'Calc (Sensitivities)'!D419</f>
        <v>7160.3979542112966</v>
      </c>
      <c r="F108" s="621">
        <f>'Calc (Sensitivities)'!E419</f>
        <v>2864.8837739569649</v>
      </c>
      <c r="G108" s="621">
        <f>'Calc (Sensitivities)'!F419</f>
        <v>12819.797437794874</v>
      </c>
      <c r="H108" s="621">
        <f>'Calc (Sensitivities)'!G419</f>
        <v>0</v>
      </c>
      <c r="I108" s="621">
        <f>'Calc (Sensitivities)'!H419</f>
        <v>0</v>
      </c>
      <c r="J108" s="621">
        <f>'Calc (Sensitivities)'!I419</f>
        <v>0</v>
      </c>
      <c r="K108" s="469"/>
      <c r="L108" s="441"/>
      <c r="M108" s="434"/>
      <c r="N108" s="434"/>
      <c r="O108" s="434"/>
      <c r="P108" s="434"/>
      <c r="Q108" s="434"/>
      <c r="R108" s="434"/>
      <c r="S108" s="434"/>
      <c r="T108" s="434"/>
      <c r="U108" s="434"/>
      <c r="V108" s="434"/>
      <c r="W108" s="434"/>
      <c r="X108" s="434"/>
      <c r="Y108" s="434"/>
      <c r="Z108" s="434"/>
      <c r="AA108" s="434"/>
      <c r="AB108" s="434"/>
      <c r="AC108" s="434"/>
      <c r="AD108" s="434"/>
      <c r="AE108" s="434"/>
      <c r="AF108" s="434"/>
      <c r="AG108" s="434"/>
      <c r="AH108" s="434"/>
      <c r="AI108" s="434"/>
      <c r="AJ108" s="434"/>
      <c r="AK108" s="434"/>
      <c r="AL108" s="434"/>
      <c r="AM108" s="434"/>
      <c r="AN108" s="434"/>
      <c r="AO108" s="434"/>
      <c r="AP108" s="434"/>
      <c r="AQ108" s="434"/>
      <c r="AR108" s="434"/>
      <c r="AS108" s="434"/>
      <c r="AT108" s="434"/>
      <c r="AU108" s="434"/>
      <c r="AV108" s="434"/>
      <c r="AW108" s="434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</row>
    <row r="109" spans="1:59" s="24" customFormat="1" ht="16.5" thickBot="1" x14ac:dyDescent="0.3">
      <c r="A109" s="434"/>
      <c r="B109" s="440"/>
      <c r="C109" s="469"/>
      <c r="D109" s="618" t="s">
        <v>115</v>
      </c>
      <c r="E109" s="622">
        <f>SUM('Calc (Sensitivities)'!D420:D429)</f>
        <v>0</v>
      </c>
      <c r="F109" s="622">
        <f>SUM('Calc (Sensitivities)'!E420:E429)</f>
        <v>0</v>
      </c>
      <c r="G109" s="622">
        <f>SUM('Calc (Sensitivities)'!F420:F429)</f>
        <v>0</v>
      </c>
      <c r="H109" s="622">
        <f>SUM('Calc (Sensitivities)'!G420:G429)</f>
        <v>0</v>
      </c>
      <c r="I109" s="622">
        <f>SUM('Calc (Sensitivities)'!H420:H429)</f>
        <v>0</v>
      </c>
      <c r="J109" s="622">
        <f>SUM('Calc (Sensitivities)'!I420:I429)</f>
        <v>0</v>
      </c>
      <c r="K109" s="469"/>
      <c r="L109" s="441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  <c r="AH109" s="434"/>
      <c r="AI109" s="434"/>
      <c r="AJ109" s="434"/>
      <c r="AK109" s="434"/>
      <c r="AL109" s="434"/>
      <c r="AM109" s="434"/>
      <c r="AN109" s="434"/>
      <c r="AO109" s="434"/>
      <c r="AP109" s="434"/>
      <c r="AQ109" s="434"/>
      <c r="AR109" s="434"/>
      <c r="AS109" s="434"/>
      <c r="AT109" s="434"/>
      <c r="AU109" s="434"/>
      <c r="AV109" s="434"/>
      <c r="AW109" s="434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</row>
    <row r="110" spans="1:59" s="24" customFormat="1" ht="17.25" thickTop="1" thickBot="1" x14ac:dyDescent="0.3">
      <c r="A110" s="434"/>
      <c r="B110" s="440"/>
      <c r="C110" s="469"/>
      <c r="D110" s="639" t="s">
        <v>2</v>
      </c>
      <c r="E110" s="636">
        <f t="shared" ref="E110:J110" si="5">SUM(E108:E109)</f>
        <v>7160.3979542112966</v>
      </c>
      <c r="F110" s="636">
        <f t="shared" si="5"/>
        <v>2864.8837739569649</v>
      </c>
      <c r="G110" s="636">
        <f t="shared" si="5"/>
        <v>12819.797437794874</v>
      </c>
      <c r="H110" s="636">
        <f t="shared" si="5"/>
        <v>0</v>
      </c>
      <c r="I110" s="636">
        <f t="shared" si="5"/>
        <v>0</v>
      </c>
      <c r="J110" s="636">
        <f t="shared" si="5"/>
        <v>0</v>
      </c>
      <c r="K110" s="469"/>
      <c r="L110" s="441"/>
      <c r="M110" s="434"/>
      <c r="N110" s="434"/>
      <c r="O110" s="434"/>
      <c r="P110" s="434"/>
      <c r="Q110" s="434"/>
      <c r="R110" s="434"/>
      <c r="S110" s="434"/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  <c r="AH110" s="434"/>
      <c r="AI110" s="434"/>
      <c r="AJ110" s="434"/>
      <c r="AK110" s="434"/>
      <c r="AL110" s="434"/>
      <c r="AM110" s="434"/>
      <c r="AN110" s="434"/>
      <c r="AO110" s="434"/>
      <c r="AP110" s="434"/>
      <c r="AQ110" s="434"/>
      <c r="AR110" s="434"/>
      <c r="AS110" s="434"/>
      <c r="AT110" s="434"/>
      <c r="AU110" s="434"/>
      <c r="AV110" s="434"/>
      <c r="AW110" s="434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</row>
    <row r="111" spans="1:59" s="24" customFormat="1" ht="15.75" thickTop="1" x14ac:dyDescent="0.2">
      <c r="A111" s="434"/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34"/>
      <c r="AH111" s="434"/>
      <c r="AI111" s="434"/>
      <c r="AJ111" s="434"/>
      <c r="AK111" s="434"/>
      <c r="AL111" s="434"/>
      <c r="AM111" s="434"/>
      <c r="AN111" s="434"/>
      <c r="AO111" s="434"/>
      <c r="AP111" s="434"/>
      <c r="AQ111" s="434"/>
      <c r="AR111" s="434"/>
      <c r="AS111" s="434"/>
      <c r="AT111" s="434"/>
      <c r="AU111" s="434"/>
      <c r="AV111" s="434"/>
      <c r="AW111" s="434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</row>
    <row r="112" spans="1:59" s="24" customFormat="1" ht="16.5" thickBot="1" x14ac:dyDescent="0.3">
      <c r="A112" s="434"/>
      <c r="B112" s="440"/>
      <c r="C112" s="469"/>
      <c r="D112" s="592" t="s">
        <v>1</v>
      </c>
      <c r="E112" s="637">
        <f>'Calc (Sensitivities)'!D244</f>
        <v>9.6699999999999994E-2</v>
      </c>
      <c r="F112" s="469"/>
      <c r="G112" s="469"/>
      <c r="H112" s="469"/>
      <c r="I112" s="469"/>
      <c r="J112" s="469"/>
      <c r="K112" s="469"/>
      <c r="L112" s="441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  <c r="AH112" s="434"/>
      <c r="AI112" s="434"/>
      <c r="AJ112" s="434"/>
      <c r="AK112" s="434"/>
      <c r="AL112" s="434"/>
      <c r="AM112" s="434"/>
      <c r="AN112" s="434"/>
      <c r="AO112" s="434"/>
      <c r="AP112" s="434"/>
      <c r="AQ112" s="434"/>
      <c r="AR112" s="434"/>
      <c r="AS112" s="434"/>
      <c r="AT112" s="434"/>
      <c r="AU112" s="434"/>
      <c r="AV112" s="434"/>
      <c r="AW112" s="434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</row>
    <row r="113" spans="1:59" s="24" customFormat="1" ht="15.75" x14ac:dyDescent="0.25">
      <c r="A113" s="434"/>
      <c r="B113" s="440"/>
      <c r="C113" s="469"/>
      <c r="D113" s="499"/>
      <c r="E113" s="638"/>
      <c r="F113" s="469"/>
      <c r="G113" s="469"/>
      <c r="H113" s="469"/>
      <c r="I113" s="469"/>
      <c r="J113" s="469"/>
      <c r="K113" s="469"/>
      <c r="L113" s="441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34"/>
      <c r="AF113" s="434"/>
      <c r="AG113" s="434"/>
      <c r="AH113" s="434"/>
      <c r="AI113" s="434"/>
      <c r="AJ113" s="434"/>
      <c r="AK113" s="434"/>
      <c r="AL113" s="434"/>
      <c r="AM113" s="434"/>
      <c r="AN113" s="434"/>
      <c r="AO113" s="434"/>
      <c r="AP113" s="434"/>
      <c r="AQ113" s="434"/>
      <c r="AR113" s="434"/>
      <c r="AS113" s="434"/>
      <c r="AT113" s="434"/>
      <c r="AU113" s="434"/>
      <c r="AV113" s="434"/>
      <c r="AW113" s="434"/>
      <c r="AX113" s="434"/>
      <c r="AY113" s="434"/>
      <c r="AZ113" s="434"/>
      <c r="BA113" s="434"/>
      <c r="BB113" s="434"/>
      <c r="BC113" s="434"/>
      <c r="BD113" s="434"/>
      <c r="BE113" s="434"/>
      <c r="BF113" s="434"/>
      <c r="BG113" s="434"/>
    </row>
    <row r="114" spans="1:59" s="24" customFormat="1" ht="15.75" x14ac:dyDescent="0.25">
      <c r="A114" s="434"/>
      <c r="B114" s="440"/>
      <c r="C114" s="469"/>
      <c r="D114" s="603" t="s">
        <v>84</v>
      </c>
      <c r="E114" s="635">
        <f>'Calc (Sensitivities)'!D432</f>
        <v>2870.4390832967542</v>
      </c>
      <c r="F114" s="635">
        <f>'Calc (Sensitivities)'!E432</f>
        <v>2752.6988664271285</v>
      </c>
      <c r="G114" s="635">
        <f>'Calc (Sensitivities)'!F432</f>
        <v>12317.865635660721</v>
      </c>
      <c r="H114" s="635" t="str">
        <f>'Calc (Sensitivities)'!G432</f>
        <v xml:space="preserve"> </v>
      </c>
      <c r="I114" s="635" t="str">
        <f>'Calc (Sensitivities)'!H432</f>
        <v xml:space="preserve"> </v>
      </c>
      <c r="J114" s="635" t="str">
        <f>'Calc (Sensitivities)'!I432</f>
        <v xml:space="preserve"> </v>
      </c>
      <c r="K114" s="469"/>
      <c r="L114" s="441"/>
      <c r="M114" s="434"/>
      <c r="N114" s="434"/>
      <c r="O114" s="434"/>
      <c r="P114" s="434"/>
      <c r="Q114" s="434"/>
      <c r="R114" s="434"/>
      <c r="S114" s="434"/>
      <c r="T114" s="434"/>
      <c r="U114" s="434"/>
      <c r="V114" s="434"/>
      <c r="W114" s="434"/>
      <c r="X114" s="434"/>
      <c r="Y114" s="434"/>
      <c r="Z114" s="434"/>
      <c r="AA114" s="434"/>
      <c r="AB114" s="434"/>
      <c r="AC114" s="434"/>
      <c r="AD114" s="434"/>
      <c r="AE114" s="434"/>
      <c r="AF114" s="434"/>
      <c r="AG114" s="434"/>
      <c r="AH114" s="434"/>
      <c r="AI114" s="434"/>
      <c r="AJ114" s="434"/>
      <c r="AK114" s="434"/>
      <c r="AL114" s="434"/>
      <c r="AM114" s="434"/>
      <c r="AN114" s="434"/>
      <c r="AO114" s="434"/>
      <c r="AP114" s="434"/>
      <c r="AQ114" s="434"/>
      <c r="AR114" s="434"/>
      <c r="AS114" s="434"/>
      <c r="AT114" s="434"/>
      <c r="AU114" s="434"/>
      <c r="AV114" s="434"/>
      <c r="AW114" s="434"/>
      <c r="AX114" s="434"/>
      <c r="AY114" s="434"/>
      <c r="AZ114" s="434"/>
      <c r="BA114" s="434"/>
      <c r="BB114" s="434"/>
      <c r="BC114" s="434"/>
      <c r="BD114" s="434"/>
      <c r="BE114" s="434"/>
      <c r="BF114" s="434"/>
      <c r="BG114" s="434"/>
    </row>
    <row r="115" spans="1:59" s="24" customFormat="1" ht="15" x14ac:dyDescent="0.2">
      <c r="A115" s="434"/>
      <c r="B115" s="440"/>
      <c r="C115" s="469"/>
      <c r="D115" s="616" t="s">
        <v>126</v>
      </c>
      <c r="E115" s="634">
        <f t="shared" ref="E115:J115" si="6">IF(E114=" "," ",RANK(E114,$E$114:$J$114,1))</f>
        <v>2</v>
      </c>
      <c r="F115" s="634">
        <f t="shared" si="6"/>
        <v>1</v>
      </c>
      <c r="G115" s="634">
        <f t="shared" si="6"/>
        <v>3</v>
      </c>
      <c r="H115" s="634" t="str">
        <f t="shared" si="6"/>
        <v xml:space="preserve"> </v>
      </c>
      <c r="I115" s="634" t="str">
        <f t="shared" si="6"/>
        <v xml:space="preserve"> </v>
      </c>
      <c r="J115" s="634" t="str">
        <f t="shared" si="6"/>
        <v xml:space="preserve"> </v>
      </c>
      <c r="K115" s="469"/>
      <c r="L115" s="441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  <c r="AH115" s="434"/>
      <c r="AI115" s="434"/>
      <c r="AJ115" s="434"/>
      <c r="AK115" s="434"/>
      <c r="AL115" s="434"/>
      <c r="AM115" s="434"/>
      <c r="AN115" s="434"/>
      <c r="AO115" s="434"/>
      <c r="AP115" s="434"/>
      <c r="AQ115" s="434"/>
      <c r="AR115" s="434"/>
      <c r="AS115" s="434"/>
      <c r="AT115" s="434"/>
      <c r="AU115" s="434"/>
      <c r="AV115" s="434"/>
      <c r="AW115" s="434"/>
      <c r="AX115" s="434"/>
      <c r="AY115" s="434"/>
      <c r="AZ115" s="434"/>
      <c r="BA115" s="434"/>
      <c r="BB115" s="434"/>
      <c r="BC115" s="434"/>
      <c r="BD115" s="434"/>
      <c r="BE115" s="434"/>
      <c r="BF115" s="434"/>
      <c r="BG115" s="434"/>
    </row>
    <row r="116" spans="1:59" s="24" customFormat="1" ht="15" x14ac:dyDescent="0.2">
      <c r="A116" s="434"/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  <c r="W116" s="434"/>
      <c r="X116" s="434"/>
      <c r="Y116" s="434"/>
      <c r="Z116" s="434"/>
      <c r="AA116" s="434"/>
      <c r="AB116" s="434"/>
      <c r="AC116" s="434"/>
      <c r="AD116" s="434"/>
      <c r="AE116" s="434"/>
      <c r="AF116" s="434"/>
      <c r="AG116" s="434"/>
      <c r="AH116" s="434"/>
      <c r="AI116" s="434"/>
      <c r="AJ116" s="434"/>
      <c r="AK116" s="434"/>
      <c r="AL116" s="434"/>
      <c r="AM116" s="434"/>
      <c r="AN116" s="434"/>
      <c r="AO116" s="434"/>
      <c r="AP116" s="434"/>
      <c r="AQ116" s="434"/>
      <c r="AR116" s="434"/>
      <c r="AS116" s="434"/>
      <c r="AT116" s="434"/>
      <c r="AU116" s="434"/>
      <c r="AV116" s="434"/>
      <c r="AW116" s="434"/>
      <c r="AX116" s="434"/>
      <c r="AY116" s="434"/>
      <c r="AZ116" s="434"/>
      <c r="BA116" s="434"/>
      <c r="BB116" s="434"/>
      <c r="BC116" s="434"/>
      <c r="BD116" s="434"/>
      <c r="BE116" s="434"/>
      <c r="BF116" s="434"/>
      <c r="BG116" s="434"/>
    </row>
    <row r="117" spans="1:59" s="24" customFormat="1" ht="15" x14ac:dyDescent="0.2">
      <c r="A117" s="434"/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  <c r="M117" s="434"/>
      <c r="N117" s="434"/>
      <c r="O117" s="434"/>
      <c r="P117" s="434"/>
      <c r="Q117" s="434"/>
      <c r="R117" s="434"/>
      <c r="S117" s="434"/>
      <c r="T117" s="434"/>
      <c r="U117" s="434"/>
      <c r="V117" s="434"/>
      <c r="W117" s="434"/>
      <c r="X117" s="434"/>
      <c r="Y117" s="434"/>
      <c r="Z117" s="434"/>
      <c r="AA117" s="434"/>
      <c r="AB117" s="434"/>
      <c r="AC117" s="434"/>
      <c r="AD117" s="434"/>
      <c r="AE117" s="434"/>
      <c r="AF117" s="434"/>
      <c r="AG117" s="434"/>
      <c r="AH117" s="434"/>
      <c r="AI117" s="434"/>
      <c r="AJ117" s="434"/>
      <c r="AK117" s="434"/>
      <c r="AL117" s="434"/>
      <c r="AM117" s="434"/>
      <c r="AN117" s="434"/>
      <c r="AO117" s="434"/>
      <c r="AP117" s="434"/>
      <c r="AQ117" s="434"/>
      <c r="AR117" s="434"/>
      <c r="AS117" s="434"/>
      <c r="AT117" s="434"/>
      <c r="AU117" s="434"/>
      <c r="AV117" s="434"/>
      <c r="AW117" s="434"/>
      <c r="AX117" s="434"/>
      <c r="AY117" s="434"/>
      <c r="AZ117" s="434"/>
      <c r="BA117" s="434"/>
      <c r="BB117" s="434"/>
      <c r="BC117" s="434"/>
      <c r="BD117" s="434"/>
      <c r="BE117" s="434"/>
      <c r="BF117" s="434"/>
      <c r="BG117" s="434"/>
    </row>
    <row r="118" spans="1:59" s="24" customFormat="1" ht="18.75" thickBot="1" x14ac:dyDescent="0.3">
      <c r="A118" s="434"/>
      <c r="B118" s="456"/>
      <c r="C118" s="477" t="str">
        <f>IF('User Input'!$I$8=1,"Regulatory Investment Test","Regulatory Investment Test - NOT APPLICABLE")</f>
        <v>Regulatory Investment Test</v>
      </c>
      <c r="D118" s="610"/>
      <c r="E118" s="610"/>
      <c r="F118" s="610"/>
      <c r="G118" s="610"/>
      <c r="H118" s="610"/>
      <c r="I118" s="610"/>
      <c r="J118" s="610"/>
      <c r="K118" s="610"/>
      <c r="L118" s="457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4"/>
      <c r="AI118" s="434"/>
      <c r="AJ118" s="434"/>
      <c r="AK118" s="434"/>
      <c r="AL118" s="434"/>
      <c r="AM118" s="434"/>
      <c r="AN118" s="434"/>
      <c r="AO118" s="434"/>
      <c r="AP118" s="434"/>
      <c r="AQ118" s="434"/>
      <c r="AR118" s="434"/>
      <c r="AS118" s="434"/>
      <c r="AT118" s="434"/>
      <c r="AU118" s="434"/>
      <c r="AV118" s="434"/>
      <c r="AW118" s="434"/>
      <c r="AX118" s="434"/>
      <c r="AY118" s="434"/>
      <c r="AZ118" s="434"/>
      <c r="BA118" s="434"/>
      <c r="BB118" s="434"/>
      <c r="BC118" s="434"/>
      <c r="BD118" s="434"/>
      <c r="BE118" s="434"/>
      <c r="BF118" s="434"/>
      <c r="BG118" s="434"/>
    </row>
    <row r="119" spans="1:59" s="24" customFormat="1" ht="15.75" thickTop="1" x14ac:dyDescent="0.2">
      <c r="A119" s="434"/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  <c r="M119" s="434"/>
      <c r="N119" s="434"/>
      <c r="O119" s="434"/>
      <c r="P119" s="434"/>
      <c r="Q119" s="434"/>
      <c r="R119" s="434"/>
      <c r="S119" s="434"/>
      <c r="T119" s="434"/>
      <c r="U119" s="434"/>
      <c r="V119" s="434"/>
      <c r="W119" s="434"/>
      <c r="X119" s="434"/>
      <c r="Y119" s="434"/>
      <c r="Z119" s="434"/>
      <c r="AA119" s="434"/>
      <c r="AB119" s="434"/>
      <c r="AC119" s="434"/>
      <c r="AD119" s="434"/>
      <c r="AE119" s="434"/>
      <c r="AF119" s="434"/>
      <c r="AG119" s="434"/>
      <c r="AH119" s="434"/>
      <c r="AI119" s="434"/>
      <c r="AJ119" s="434"/>
      <c r="AK119" s="434"/>
      <c r="AL119" s="434"/>
      <c r="AM119" s="434"/>
      <c r="AN119" s="434"/>
      <c r="AO119" s="434"/>
      <c r="AP119" s="434"/>
      <c r="AQ119" s="434"/>
      <c r="AR119" s="434"/>
      <c r="AS119" s="434"/>
      <c r="AT119" s="434"/>
      <c r="AU119" s="434"/>
      <c r="AV119" s="434"/>
      <c r="AW119" s="434"/>
      <c r="AX119" s="434"/>
      <c r="AY119" s="434"/>
      <c r="AZ119" s="434"/>
      <c r="BA119" s="434"/>
      <c r="BB119" s="434"/>
      <c r="BC119" s="434"/>
      <c r="BD119" s="434"/>
      <c r="BE119" s="434"/>
      <c r="BF119" s="434"/>
      <c r="BG119" s="434"/>
    </row>
    <row r="120" spans="1:59" s="24" customFormat="1" ht="15.75" x14ac:dyDescent="0.25">
      <c r="A120" s="434"/>
      <c r="B120" s="440"/>
      <c r="C120" s="469"/>
      <c r="D120" s="642" t="str">
        <f>IF('User Input'!I8=2,"Regulatory Investment Test - Not Applicable",IF('User Input'!D208=0,'User Input'!D209,'User Input'!D208))</f>
        <v>Regulatory Investment Test is not compulsory for this business case, but recommended.</v>
      </c>
      <c r="E120" s="469"/>
      <c r="F120" s="469"/>
      <c r="G120" s="469"/>
      <c r="H120" s="469"/>
      <c r="I120" s="469"/>
      <c r="J120" s="469"/>
      <c r="K120" s="469"/>
      <c r="L120" s="441"/>
      <c r="M120" s="434"/>
      <c r="N120" s="434"/>
      <c r="O120" s="434"/>
      <c r="P120" s="434"/>
      <c r="Q120" s="434"/>
      <c r="R120" s="434"/>
      <c r="S120" s="434"/>
      <c r="T120" s="434"/>
      <c r="U120" s="434"/>
      <c r="V120" s="434"/>
      <c r="W120" s="434"/>
      <c r="X120" s="434"/>
      <c r="Y120" s="434"/>
      <c r="Z120" s="434"/>
      <c r="AA120" s="434"/>
      <c r="AB120" s="434"/>
      <c r="AC120" s="434"/>
      <c r="AD120" s="434"/>
      <c r="AE120" s="434"/>
      <c r="AF120" s="434"/>
      <c r="AG120" s="434"/>
      <c r="AH120" s="434"/>
      <c r="AI120" s="434"/>
      <c r="AJ120" s="434"/>
      <c r="AK120" s="434"/>
      <c r="AL120" s="434"/>
      <c r="AM120" s="434"/>
      <c r="AN120" s="434"/>
      <c r="AO120" s="434"/>
      <c r="AP120" s="434"/>
      <c r="AQ120" s="434"/>
      <c r="AR120" s="434"/>
      <c r="AS120" s="434"/>
      <c r="AT120" s="434"/>
      <c r="AU120" s="434"/>
      <c r="AV120" s="434"/>
      <c r="AW120" s="434"/>
      <c r="AX120" s="434"/>
      <c r="AY120" s="434"/>
      <c r="AZ120" s="434"/>
      <c r="BA120" s="434"/>
      <c r="BB120" s="434"/>
      <c r="BC120" s="434"/>
      <c r="BD120" s="434"/>
      <c r="BE120" s="434"/>
      <c r="BF120" s="434"/>
      <c r="BG120" s="434"/>
    </row>
    <row r="121" spans="1:59" s="24" customFormat="1" ht="15" x14ac:dyDescent="0.2">
      <c r="A121" s="434"/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34"/>
      <c r="AJ121" s="434"/>
      <c r="AK121" s="434"/>
      <c r="AL121" s="434"/>
      <c r="AM121" s="434"/>
      <c r="AN121" s="434"/>
      <c r="AO121" s="434"/>
      <c r="AP121" s="434"/>
      <c r="AQ121" s="434"/>
      <c r="AR121" s="434"/>
      <c r="AS121" s="434"/>
      <c r="AT121" s="434"/>
      <c r="AU121" s="434"/>
      <c r="AV121" s="434"/>
      <c r="AW121" s="434"/>
      <c r="AX121" s="434"/>
      <c r="AY121" s="434"/>
      <c r="AZ121" s="434"/>
      <c r="BA121" s="434"/>
      <c r="BB121" s="434"/>
      <c r="BC121" s="434"/>
      <c r="BD121" s="434"/>
      <c r="BE121" s="434"/>
      <c r="BF121" s="434"/>
      <c r="BG121" s="434"/>
    </row>
    <row r="122" spans="1:59" s="24" customFormat="1" ht="126" x14ac:dyDescent="0.25">
      <c r="A122" s="434"/>
      <c r="B122" s="440"/>
      <c r="C122" s="469"/>
      <c r="D122" s="620" t="s">
        <v>75</v>
      </c>
      <c r="E122" s="619" t="str">
        <f t="shared" ref="E122:J122" si="7">E39</f>
        <v>"Status Quo" Reference Case</v>
      </c>
      <c r="F122" s="619" t="str">
        <f t="shared" si="7"/>
        <v>Option 1 Provide In Meter Capabilities</v>
      </c>
      <c r="G122" s="619" t="str">
        <f t="shared" si="7"/>
        <v>Option 2 Provide In Meter Capabilities with Near Real-time Centralised Analytics</v>
      </c>
      <c r="H122" s="619" t="str">
        <f t="shared" si="7"/>
        <v xml:space="preserve">Option 3 </v>
      </c>
      <c r="I122" s="619" t="str">
        <f t="shared" si="7"/>
        <v xml:space="preserve">Option 4 </v>
      </c>
      <c r="J122" s="619" t="str">
        <f t="shared" si="7"/>
        <v xml:space="preserve">Option 5 </v>
      </c>
      <c r="K122" s="469"/>
      <c r="L122" s="441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  <c r="W122" s="434"/>
      <c r="X122" s="434"/>
      <c r="Y122" s="434"/>
      <c r="Z122" s="434"/>
      <c r="AA122" s="434"/>
      <c r="AB122" s="434"/>
      <c r="AC122" s="434"/>
      <c r="AD122" s="434"/>
      <c r="AE122" s="434"/>
      <c r="AF122" s="434"/>
      <c r="AG122" s="434"/>
      <c r="AH122" s="434"/>
      <c r="AI122" s="434"/>
      <c r="AJ122" s="434"/>
      <c r="AK122" s="434"/>
      <c r="AL122" s="434"/>
      <c r="AM122" s="434"/>
      <c r="AN122" s="434"/>
      <c r="AO122" s="434"/>
      <c r="AP122" s="434"/>
      <c r="AQ122" s="434"/>
      <c r="AR122" s="434"/>
      <c r="AS122" s="434"/>
      <c r="AT122" s="434"/>
      <c r="AU122" s="434"/>
      <c r="AV122" s="434"/>
      <c r="AW122" s="434"/>
      <c r="AX122" s="434"/>
      <c r="AY122" s="434"/>
      <c r="AZ122" s="434"/>
      <c r="BA122" s="434"/>
      <c r="BB122" s="434"/>
      <c r="BC122" s="434"/>
      <c r="BD122" s="434"/>
      <c r="BE122" s="434"/>
      <c r="BF122" s="434"/>
      <c r="BG122" s="434"/>
    </row>
    <row r="123" spans="1:59" s="24" customFormat="1" ht="15.75" x14ac:dyDescent="0.25">
      <c r="A123" s="434"/>
      <c r="B123" s="440"/>
      <c r="C123" s="469"/>
      <c r="D123" s="603" t="s">
        <v>93</v>
      </c>
      <c r="E123" s="643">
        <f>'Calculations (RIT-D)'!D10</f>
        <v>0</v>
      </c>
      <c r="F123" s="643" t="str">
        <f>'Calculations (RIT-D)'!D11</f>
        <v xml:space="preserve"> </v>
      </c>
      <c r="G123" s="643" t="str">
        <f>'Calculations (RIT-D)'!D12</f>
        <v xml:space="preserve"> </v>
      </c>
      <c r="H123" s="643" t="str">
        <f>'Calculations (RIT-D)'!D13</f>
        <v xml:space="preserve"> </v>
      </c>
      <c r="I123" s="643" t="str">
        <f>'Calculations (RIT-D)'!D14</f>
        <v xml:space="preserve"> </v>
      </c>
      <c r="J123" s="643" t="str">
        <f>'Calculations (RIT-D)'!D15</f>
        <v xml:space="preserve"> </v>
      </c>
      <c r="K123" s="469"/>
      <c r="L123" s="441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434"/>
      <c r="AT123" s="434"/>
      <c r="AU123" s="434"/>
      <c r="AV123" s="434"/>
      <c r="AW123" s="434"/>
      <c r="AX123" s="434"/>
      <c r="AY123" s="434"/>
      <c r="AZ123" s="434"/>
      <c r="BA123" s="434"/>
      <c r="BB123" s="434"/>
      <c r="BC123" s="434"/>
      <c r="BD123" s="434"/>
      <c r="BE123" s="434"/>
      <c r="BF123" s="434"/>
      <c r="BG123" s="434"/>
    </row>
    <row r="124" spans="1:59" s="24" customFormat="1" ht="15" x14ac:dyDescent="0.2">
      <c r="A124" s="434"/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4"/>
      <c r="AK124" s="434"/>
      <c r="AL124" s="434"/>
      <c r="AM124" s="434"/>
      <c r="AN124" s="434"/>
      <c r="AO124" s="434"/>
      <c r="AP124" s="434"/>
      <c r="AQ124" s="434"/>
      <c r="AR124" s="434"/>
      <c r="AS124" s="434"/>
      <c r="AT124" s="434"/>
      <c r="AU124" s="434"/>
      <c r="AV124" s="434"/>
      <c r="AW124" s="434"/>
      <c r="AX124" s="434"/>
      <c r="AY124" s="434"/>
      <c r="AZ124" s="434"/>
      <c r="BA124" s="434"/>
      <c r="BB124" s="434"/>
      <c r="BC124" s="434"/>
      <c r="BD124" s="434"/>
      <c r="BE124" s="434"/>
      <c r="BF124" s="434"/>
      <c r="BG124" s="434"/>
    </row>
    <row r="125" spans="1:59" s="24" customFormat="1" ht="15" x14ac:dyDescent="0.2">
      <c r="A125" s="434"/>
      <c r="B125" s="440"/>
      <c r="C125" s="469"/>
      <c r="D125" s="616" t="s">
        <v>126</v>
      </c>
      <c r="E125" s="634">
        <f>'Calculations (RIT-D)'!E10</f>
        <v>1</v>
      </c>
      <c r="F125" s="634" t="str">
        <f>'Calculations (RIT-D)'!E11</f>
        <v xml:space="preserve"> </v>
      </c>
      <c r="G125" s="634" t="str">
        <f>'Calculations (RIT-D)'!E12</f>
        <v xml:space="preserve"> </v>
      </c>
      <c r="H125" s="634" t="str">
        <f>'Calculations (RIT-D)'!E13</f>
        <v xml:space="preserve"> </v>
      </c>
      <c r="I125" s="634" t="str">
        <f>'Calculations (RIT-D)'!E14</f>
        <v xml:space="preserve"> </v>
      </c>
      <c r="J125" s="634" t="str">
        <f>'Calculations (RIT-D)'!E15</f>
        <v xml:space="preserve"> </v>
      </c>
      <c r="K125" s="469"/>
      <c r="L125" s="441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  <c r="AH125" s="434"/>
      <c r="AI125" s="434"/>
      <c r="AJ125" s="434"/>
      <c r="AK125" s="434"/>
      <c r="AL125" s="434"/>
      <c r="AM125" s="434"/>
      <c r="AN125" s="434"/>
      <c r="AO125" s="434"/>
      <c r="AP125" s="434"/>
      <c r="AQ125" s="434"/>
      <c r="AR125" s="434"/>
      <c r="AS125" s="434"/>
      <c r="AT125" s="434"/>
      <c r="AU125" s="434"/>
      <c r="AV125" s="434"/>
      <c r="AW125" s="434"/>
      <c r="AX125" s="434"/>
      <c r="AY125" s="434"/>
      <c r="AZ125" s="434"/>
      <c r="BA125" s="434"/>
      <c r="BB125" s="434"/>
      <c r="BC125" s="434"/>
      <c r="BD125" s="434"/>
      <c r="BE125" s="434"/>
      <c r="BF125" s="434"/>
      <c r="BG125" s="434"/>
    </row>
    <row r="126" spans="1:59" s="24" customFormat="1" ht="15" x14ac:dyDescent="0.2">
      <c r="A126" s="434"/>
      <c r="B126" s="440"/>
      <c r="C126" s="469"/>
      <c r="D126" s="644"/>
      <c r="E126" s="645"/>
      <c r="F126" s="645"/>
      <c r="G126" s="645"/>
      <c r="H126" s="645"/>
      <c r="I126" s="645"/>
      <c r="J126" s="645"/>
      <c r="K126" s="469"/>
      <c r="L126" s="441"/>
      <c r="M126" s="434"/>
      <c r="N126" s="434"/>
      <c r="O126" s="434"/>
      <c r="P126" s="434"/>
      <c r="Q126" s="434"/>
      <c r="R126" s="434"/>
      <c r="S126" s="434"/>
      <c r="T126" s="434"/>
      <c r="U126" s="434"/>
      <c r="V126" s="434"/>
      <c r="W126" s="434"/>
      <c r="X126" s="434"/>
      <c r="Y126" s="434"/>
      <c r="Z126" s="434"/>
      <c r="AA126" s="434"/>
      <c r="AB126" s="434"/>
      <c r="AC126" s="434"/>
      <c r="AD126" s="434"/>
      <c r="AE126" s="434"/>
      <c r="AF126" s="434"/>
      <c r="AG126" s="434"/>
      <c r="AH126" s="434"/>
      <c r="AI126" s="434"/>
      <c r="AJ126" s="434"/>
      <c r="AK126" s="434"/>
      <c r="AL126" s="434"/>
      <c r="AM126" s="434"/>
      <c r="AN126" s="434"/>
      <c r="AO126" s="434"/>
      <c r="AP126" s="434"/>
      <c r="AQ126" s="434"/>
      <c r="AR126" s="434"/>
      <c r="AS126" s="434"/>
      <c r="AT126" s="434"/>
      <c r="AU126" s="434"/>
      <c r="AV126" s="434"/>
      <c r="AW126" s="434"/>
      <c r="AX126" s="434"/>
      <c r="AY126" s="434"/>
      <c r="AZ126" s="434"/>
      <c r="BA126" s="434"/>
      <c r="BB126" s="434"/>
      <c r="BC126" s="434"/>
      <c r="BD126" s="434"/>
      <c r="BE126" s="434"/>
      <c r="BF126" s="434"/>
      <c r="BG126" s="434"/>
    </row>
    <row r="127" spans="1:59" s="24" customFormat="1" ht="15.75" thickBot="1" x14ac:dyDescent="0.25">
      <c r="A127" s="434"/>
      <c r="B127" s="440"/>
      <c r="C127" s="646"/>
      <c r="D127" s="646"/>
      <c r="E127" s="646"/>
      <c r="F127" s="646"/>
      <c r="G127" s="646"/>
      <c r="H127" s="646"/>
      <c r="I127" s="646"/>
      <c r="J127" s="646"/>
      <c r="K127" s="646"/>
      <c r="L127" s="441"/>
      <c r="M127" s="434"/>
      <c r="N127" s="434"/>
      <c r="O127" s="434"/>
      <c r="P127" s="434"/>
      <c r="Q127" s="434"/>
      <c r="R127" s="434"/>
      <c r="S127" s="434"/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4"/>
      <c r="AD127" s="434"/>
      <c r="AE127" s="434"/>
      <c r="AF127" s="434"/>
      <c r="AG127" s="434"/>
      <c r="AH127" s="434"/>
      <c r="AI127" s="434"/>
      <c r="AJ127" s="434"/>
      <c r="AK127" s="434"/>
      <c r="AL127" s="434"/>
      <c r="AM127" s="434"/>
      <c r="AN127" s="434"/>
      <c r="AO127" s="434"/>
      <c r="AP127" s="434"/>
      <c r="AQ127" s="434"/>
      <c r="AR127" s="434"/>
      <c r="AS127" s="434"/>
      <c r="AT127" s="434"/>
      <c r="AU127" s="434"/>
      <c r="AV127" s="434"/>
      <c r="AW127" s="434"/>
      <c r="AX127" s="434"/>
      <c r="AY127" s="434"/>
      <c r="AZ127" s="434"/>
      <c r="BA127" s="434"/>
      <c r="BB127" s="434"/>
      <c r="BC127" s="434"/>
      <c r="BD127" s="434"/>
      <c r="BE127" s="434"/>
      <c r="BF127" s="434"/>
      <c r="BG127" s="434"/>
    </row>
    <row r="128" spans="1:59" s="26" customFormat="1" ht="14.25" thickTop="1" thickBot="1" x14ac:dyDescent="0.25">
      <c r="A128" s="436"/>
      <c r="B128" s="458"/>
      <c r="C128" s="591" t="str">
        <f>'User Input'!C357</f>
        <v>Version 1.3</v>
      </c>
      <c r="D128" s="459"/>
      <c r="E128" s="648" t="str">
        <f>"Date Issued : "</f>
        <v xml:space="preserve">Date Issued : </v>
      </c>
      <c r="F128" s="649">
        <f>'Version Control'!E3</f>
        <v>41956</v>
      </c>
      <c r="G128" s="648" t="str">
        <f>"Review Date : "</f>
        <v xml:space="preserve">Review Date : </v>
      </c>
      <c r="H128" s="649">
        <f>F128+365</f>
        <v>42321</v>
      </c>
      <c r="I128" s="650"/>
      <c r="J128" s="591"/>
      <c r="K128" s="647" t="str">
        <f ca="1">"Printed on "&amp;DAY(TODAY())&amp;"/"&amp;MONTH(TODAY())&amp;"/"&amp;YEAR(TODAY())</f>
        <v>Printed on 4/1/2016</v>
      </c>
      <c r="L128" s="460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</row>
    <row r="129" spans="11:11" s="433" customFormat="1" x14ac:dyDescent="0.2">
      <c r="K129" s="514"/>
    </row>
    <row r="130" spans="11:11" s="433" customFormat="1" x14ac:dyDescent="0.2"/>
    <row r="131" spans="11:11" s="433" customFormat="1" x14ac:dyDescent="0.2"/>
    <row r="132" spans="11:11" s="433" customFormat="1" x14ac:dyDescent="0.2"/>
    <row r="133" spans="11:11" s="433" customFormat="1" x14ac:dyDescent="0.2"/>
    <row r="134" spans="11:11" s="433" customFormat="1" x14ac:dyDescent="0.2"/>
    <row r="135" spans="11:11" s="433" customFormat="1" x14ac:dyDescent="0.2"/>
    <row r="136" spans="11:11" s="433" customFormat="1" x14ac:dyDescent="0.2"/>
    <row r="137" spans="11:11" s="433" customFormat="1" x14ac:dyDescent="0.2"/>
    <row r="138" spans="11:11" s="433" customFormat="1" x14ac:dyDescent="0.2"/>
    <row r="139" spans="11:11" s="433" customFormat="1" x14ac:dyDescent="0.2"/>
    <row r="140" spans="11:11" s="433" customFormat="1" x14ac:dyDescent="0.2"/>
    <row r="141" spans="11:11" s="433" customFormat="1" x14ac:dyDescent="0.2"/>
    <row r="142" spans="11:11" s="433" customFormat="1" x14ac:dyDescent="0.2"/>
    <row r="143" spans="11:11" s="433" customFormat="1" x14ac:dyDescent="0.2"/>
    <row r="144" spans="11:11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  <row r="251" s="433" customFormat="1" x14ac:dyDescent="0.2"/>
    <row r="252" s="433" customFormat="1" x14ac:dyDescent="0.2"/>
    <row r="253" s="433" customFormat="1" x14ac:dyDescent="0.2"/>
    <row r="254" s="433" customFormat="1" x14ac:dyDescent="0.2"/>
    <row r="255" s="433" customFormat="1" x14ac:dyDescent="0.2"/>
    <row r="256" s="433" customFormat="1" x14ac:dyDescent="0.2"/>
    <row r="257" s="433" customFormat="1" x14ac:dyDescent="0.2"/>
    <row r="258" s="433" customFormat="1" x14ac:dyDescent="0.2"/>
    <row r="259" s="433" customFormat="1" x14ac:dyDescent="0.2"/>
    <row r="260" s="433" customFormat="1" x14ac:dyDescent="0.2"/>
    <row r="261" s="433" customFormat="1" x14ac:dyDescent="0.2"/>
    <row r="262" s="433" customFormat="1" x14ac:dyDescent="0.2"/>
    <row r="263" s="433" customFormat="1" x14ac:dyDescent="0.2"/>
    <row r="264" s="433" customFormat="1" x14ac:dyDescent="0.2"/>
    <row r="265" s="433" customFormat="1" x14ac:dyDescent="0.2"/>
    <row r="266" s="433" customFormat="1" x14ac:dyDescent="0.2"/>
    <row r="267" s="433" customFormat="1" x14ac:dyDescent="0.2"/>
    <row r="268" s="433" customFormat="1" x14ac:dyDescent="0.2"/>
    <row r="269" s="433" customFormat="1" x14ac:dyDescent="0.2"/>
    <row r="270" s="433" customFormat="1" x14ac:dyDescent="0.2"/>
    <row r="271" s="433" customFormat="1" x14ac:dyDescent="0.2"/>
    <row r="272" s="433" customFormat="1" x14ac:dyDescent="0.2"/>
    <row r="273" s="433" customFormat="1" x14ac:dyDescent="0.2"/>
    <row r="274" s="433" customFormat="1" x14ac:dyDescent="0.2"/>
    <row r="275" s="433" customFormat="1" x14ac:dyDescent="0.2"/>
    <row r="276" s="433" customFormat="1" x14ac:dyDescent="0.2"/>
    <row r="277" s="433" customFormat="1" x14ac:dyDescent="0.2"/>
    <row r="278" s="433" customFormat="1" x14ac:dyDescent="0.2"/>
    <row r="279" s="433" customFormat="1" x14ac:dyDescent="0.2"/>
    <row r="280" s="433" customFormat="1" x14ac:dyDescent="0.2"/>
    <row r="281" s="433" customFormat="1" x14ac:dyDescent="0.2"/>
    <row r="282" s="433" customFormat="1" x14ac:dyDescent="0.2"/>
    <row r="283" s="433" customFormat="1" x14ac:dyDescent="0.2"/>
    <row r="284" s="433" customFormat="1" x14ac:dyDescent="0.2"/>
    <row r="285" s="433" customFormat="1" x14ac:dyDescent="0.2"/>
    <row r="286" s="433" customFormat="1" x14ac:dyDescent="0.2"/>
    <row r="287" s="433" customFormat="1" x14ac:dyDescent="0.2"/>
    <row r="288" s="433" customFormat="1" x14ac:dyDescent="0.2"/>
    <row r="289" s="433" customFormat="1" x14ac:dyDescent="0.2"/>
    <row r="290" s="433" customFormat="1" x14ac:dyDescent="0.2"/>
    <row r="291" s="433" customFormat="1" x14ac:dyDescent="0.2"/>
    <row r="292" s="433" customFormat="1" x14ac:dyDescent="0.2"/>
    <row r="293" s="433" customFormat="1" x14ac:dyDescent="0.2"/>
    <row r="294" s="433" customFormat="1" x14ac:dyDescent="0.2"/>
    <row r="295" s="433" customFormat="1" x14ac:dyDescent="0.2"/>
    <row r="296" s="433" customFormat="1" x14ac:dyDescent="0.2"/>
    <row r="297" s="433" customFormat="1" x14ac:dyDescent="0.2"/>
    <row r="298" s="433" customFormat="1" x14ac:dyDescent="0.2"/>
    <row r="299" s="433" customFormat="1" x14ac:dyDescent="0.2"/>
    <row r="300" s="433" customFormat="1" x14ac:dyDescent="0.2"/>
    <row r="301" s="433" customFormat="1" x14ac:dyDescent="0.2"/>
    <row r="302" s="433" customFormat="1" x14ac:dyDescent="0.2"/>
    <row r="303" s="433" customFormat="1" x14ac:dyDescent="0.2"/>
    <row r="304" s="433" customFormat="1" x14ac:dyDescent="0.2"/>
    <row r="305" s="433" customFormat="1" x14ac:dyDescent="0.2"/>
    <row r="306" s="433" customFormat="1" x14ac:dyDescent="0.2"/>
    <row r="307" s="433" customFormat="1" x14ac:dyDescent="0.2"/>
    <row r="308" s="433" customFormat="1" x14ac:dyDescent="0.2"/>
    <row r="309" s="433" customFormat="1" x14ac:dyDescent="0.2"/>
    <row r="310" s="433" customFormat="1" x14ac:dyDescent="0.2"/>
    <row r="311" s="433" customFormat="1" x14ac:dyDescent="0.2"/>
    <row r="312" s="433" customFormat="1" x14ac:dyDescent="0.2"/>
    <row r="313" s="433" customFormat="1" x14ac:dyDescent="0.2"/>
    <row r="314" s="433" customFormat="1" x14ac:dyDescent="0.2"/>
    <row r="315" s="433" customFormat="1" x14ac:dyDescent="0.2"/>
    <row r="316" s="433" customFormat="1" x14ac:dyDescent="0.2"/>
    <row r="317" s="433" customFormat="1" x14ac:dyDescent="0.2"/>
    <row r="318" s="433" customFormat="1" x14ac:dyDescent="0.2"/>
    <row r="319" s="433" customFormat="1" x14ac:dyDescent="0.2"/>
    <row r="320" s="433" customFormat="1" x14ac:dyDescent="0.2"/>
    <row r="321" s="433" customFormat="1" x14ac:dyDescent="0.2"/>
    <row r="322" s="433" customFormat="1" x14ac:dyDescent="0.2"/>
    <row r="323" s="433" customFormat="1" x14ac:dyDescent="0.2"/>
    <row r="324" s="433" customFormat="1" x14ac:dyDescent="0.2"/>
    <row r="325" s="433" customFormat="1" x14ac:dyDescent="0.2"/>
    <row r="326" s="433" customFormat="1" x14ac:dyDescent="0.2"/>
    <row r="327" s="433" customFormat="1" x14ac:dyDescent="0.2"/>
    <row r="328" s="433" customFormat="1" x14ac:dyDescent="0.2"/>
    <row r="329" s="433" customFormat="1" x14ac:dyDescent="0.2"/>
    <row r="330" s="433" customFormat="1" x14ac:dyDescent="0.2"/>
    <row r="331" s="433" customFormat="1" x14ac:dyDescent="0.2"/>
    <row r="332" s="433" customFormat="1" x14ac:dyDescent="0.2"/>
    <row r="333" s="433" customFormat="1" x14ac:dyDescent="0.2"/>
    <row r="334" s="433" customFormat="1" x14ac:dyDescent="0.2"/>
    <row r="335" s="433" customFormat="1" x14ac:dyDescent="0.2"/>
    <row r="336" s="433" customFormat="1" x14ac:dyDescent="0.2"/>
    <row r="337" s="433" customFormat="1" x14ac:dyDescent="0.2"/>
    <row r="338" s="433" customFormat="1" x14ac:dyDescent="0.2"/>
    <row r="339" s="433" customFormat="1" x14ac:dyDescent="0.2"/>
    <row r="340" s="433" customFormat="1" x14ac:dyDescent="0.2"/>
    <row r="341" s="433" customFormat="1" x14ac:dyDescent="0.2"/>
    <row r="342" s="433" customFormat="1" x14ac:dyDescent="0.2"/>
    <row r="343" s="433" customFormat="1" x14ac:dyDescent="0.2"/>
    <row r="344" s="433" customFormat="1" x14ac:dyDescent="0.2"/>
    <row r="345" s="433" customFormat="1" x14ac:dyDescent="0.2"/>
    <row r="346" s="433" customFormat="1" x14ac:dyDescent="0.2"/>
    <row r="347" s="433" customFormat="1" x14ac:dyDescent="0.2"/>
    <row r="348" s="433" customFormat="1" x14ac:dyDescent="0.2"/>
    <row r="349" s="433" customFormat="1" x14ac:dyDescent="0.2"/>
    <row r="350" s="433" customFormat="1" x14ac:dyDescent="0.2"/>
    <row r="351" s="433" customFormat="1" x14ac:dyDescent="0.2"/>
    <row r="352" s="433" customFormat="1" x14ac:dyDescent="0.2"/>
    <row r="353" s="433" customFormat="1" x14ac:dyDescent="0.2"/>
    <row r="354" s="433" customFormat="1" x14ac:dyDescent="0.2"/>
    <row r="355" s="433" customFormat="1" x14ac:dyDescent="0.2"/>
    <row r="356" s="433" customFormat="1" x14ac:dyDescent="0.2"/>
    <row r="357" s="433" customFormat="1" x14ac:dyDescent="0.2"/>
    <row r="358" s="433" customFormat="1" x14ac:dyDescent="0.2"/>
    <row r="359" s="433" customFormat="1" x14ac:dyDescent="0.2"/>
    <row r="360" s="433" customFormat="1" x14ac:dyDescent="0.2"/>
    <row r="361" s="433" customFormat="1" x14ac:dyDescent="0.2"/>
    <row r="362" s="433" customFormat="1" x14ac:dyDescent="0.2"/>
    <row r="363" s="433" customFormat="1" x14ac:dyDescent="0.2"/>
    <row r="364" s="433" customFormat="1" x14ac:dyDescent="0.2"/>
    <row r="365" s="433" customFormat="1" x14ac:dyDescent="0.2"/>
    <row r="366" s="433" customFormat="1" x14ac:dyDescent="0.2"/>
    <row r="367" s="433" customFormat="1" x14ac:dyDescent="0.2"/>
    <row r="368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</sheetData>
  <sheetProtection algorithmName="SHA-512" hashValue="97/hphXCfjhoDBY/eHgWmSQ3kkFVBCt43I3h7yfVwyKPyHqn2z4GLhCVjdWrXypXZ7eUsXrhiRlNgU1FYE3Hdg==" saltValue="ltWhQj0CHt0vtl5r4jWCPg==" spinCount="100000" sheet="1" objects="1" scenarios="1"/>
  <phoneticPr fontId="11" type="noConversion"/>
  <pageMargins left="0.39370078740157483" right="0.39370078740157483" top="0.78740157480314965" bottom="0.78740157480314965" header="0.51181102362204722" footer="0.51181102362204722"/>
  <pageSetup paperSize="140" scale="35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  <pageSetUpPr fitToPage="1"/>
  </sheetPr>
  <dimension ref="B1:L125"/>
  <sheetViews>
    <sheetView tabSelected="1" zoomScale="80" zoomScaleNormal="80" workbookViewId="0"/>
  </sheetViews>
  <sheetFormatPr defaultRowHeight="12.75" x14ac:dyDescent="0.2"/>
  <cols>
    <col min="1" max="1" width="9.140625" style="433"/>
    <col min="2" max="3" width="4.7109375" style="433" customWidth="1"/>
    <col min="4" max="4" width="39.85546875" style="433" customWidth="1"/>
    <col min="5" max="5" width="23.5703125" style="433" customWidth="1"/>
    <col min="6" max="10" width="21" style="433" customWidth="1"/>
    <col min="11" max="12" width="4.7109375" style="433" customWidth="1"/>
    <col min="13" max="16384" width="9.140625" style="433"/>
  </cols>
  <sheetData>
    <row r="1" spans="2:12" ht="13.5" thickBot="1" x14ac:dyDescent="0.25"/>
    <row r="2" spans="2:12" ht="18" x14ac:dyDescent="0.25">
      <c r="B2" s="663"/>
      <c r="C2" s="668"/>
      <c r="D2" s="438"/>
      <c r="E2" s="438"/>
      <c r="F2" s="438"/>
      <c r="G2" s="438"/>
      <c r="H2" s="438"/>
      <c r="I2" s="438"/>
      <c r="J2" s="438"/>
      <c r="K2" s="438"/>
      <c r="L2" s="664"/>
    </row>
    <row r="3" spans="2:12" ht="18.75" thickBot="1" x14ac:dyDescent="0.3">
      <c r="B3" s="440"/>
      <c r="C3" s="477" t="s">
        <v>258</v>
      </c>
      <c r="D3" s="479"/>
      <c r="E3" s="500" t="str">
        <f>'User Input'!E4</f>
        <v>In meter capability</v>
      </c>
      <c r="F3" s="479"/>
      <c r="G3" s="479"/>
      <c r="H3" s="479"/>
      <c r="I3" s="479"/>
      <c r="J3" s="479"/>
      <c r="K3" s="446"/>
      <c r="L3" s="441"/>
    </row>
    <row r="4" spans="2:12" ht="15.75" thickTop="1" x14ac:dyDescent="0.2">
      <c r="B4" s="440"/>
      <c r="C4" s="469"/>
      <c r="D4" s="469"/>
      <c r="E4" s="469"/>
      <c r="F4" s="469"/>
      <c r="G4" s="469"/>
      <c r="H4" s="469"/>
      <c r="I4" s="469"/>
      <c r="J4" s="469"/>
      <c r="K4" s="469"/>
      <c r="L4" s="441"/>
    </row>
    <row r="5" spans="2:12" ht="15" customHeight="1" thickBot="1" x14ac:dyDescent="0.3">
      <c r="B5" s="440"/>
      <c r="C5" s="469"/>
      <c r="D5" s="592" t="s">
        <v>259</v>
      </c>
      <c r="E5" s="592"/>
      <c r="F5" s="592"/>
      <c r="G5" s="592"/>
      <c r="H5" s="592"/>
      <c r="I5" s="592"/>
      <c r="J5" s="592"/>
      <c r="K5" s="499"/>
      <c r="L5" s="441"/>
    </row>
    <row r="6" spans="2:12" ht="9" customHeight="1" x14ac:dyDescent="0.25">
      <c r="B6" s="440"/>
      <c r="C6" s="469"/>
      <c r="D6" s="499"/>
      <c r="E6" s="469"/>
      <c r="F6" s="469"/>
      <c r="G6" s="469"/>
      <c r="H6" s="469"/>
      <c r="I6" s="469"/>
      <c r="J6" s="469"/>
      <c r="K6" s="469"/>
      <c r="L6" s="441"/>
    </row>
    <row r="7" spans="2:12" ht="94.5" x14ac:dyDescent="0.25">
      <c r="B7" s="440"/>
      <c r="C7" s="469"/>
      <c r="D7" s="620"/>
      <c r="E7" s="619" t="s">
        <v>264</v>
      </c>
      <c r="F7" s="619" t="str">
        <f>"Option 1: 
"&amp;+'User Input'!E16</f>
        <v>Option 1: 
Provide In Meter Capabilities</v>
      </c>
      <c r="G7" s="619" t="str">
        <f>"Option 2: 
"&amp;+'User Input'!E17</f>
        <v>Option 2: 
Provide In Meter Capabilities with Near Real-time Centralised Analytics</v>
      </c>
      <c r="H7" s="619" t="str">
        <f>"Option 3: 
"&amp;+'User Input'!E18</f>
        <v xml:space="preserve">Option 3: 
</v>
      </c>
      <c r="I7" s="619" t="str">
        <f>"Option 4: 
"&amp;+'User Input'!E19</f>
        <v xml:space="preserve">Option 4: 
</v>
      </c>
      <c r="J7" s="619" t="str">
        <f>"Option 5: 
"&amp;+'User Input'!E20</f>
        <v xml:space="preserve">Option 5: 
</v>
      </c>
      <c r="K7" s="469"/>
      <c r="L7" s="441"/>
    </row>
    <row r="8" spans="2:12" ht="18.75" customHeight="1" x14ac:dyDescent="0.25">
      <c r="B8" s="440"/>
      <c r="C8" s="469"/>
      <c r="D8" s="603" t="s">
        <v>260</v>
      </c>
      <c r="E8" s="671">
        <f>'Present Value'!E9*1000</f>
        <v>2025096.456049128</v>
      </c>
      <c r="F8" s="671">
        <f>'Present Value'!E34*1000</f>
        <v>1801392.7485540428</v>
      </c>
      <c r="G8" s="671">
        <f>'Present Value'!E59*1000</f>
        <v>8060925.5822332539</v>
      </c>
      <c r="H8" s="671">
        <f>'Present Value'!E84*1000</f>
        <v>0</v>
      </c>
      <c r="I8" s="671">
        <f>'Present Value'!E109*1000</f>
        <v>0</v>
      </c>
      <c r="J8" s="671">
        <f>'Present Value'!E134*1000</f>
        <v>0</v>
      </c>
      <c r="K8" s="469"/>
      <c r="L8" s="441"/>
    </row>
    <row r="9" spans="2:12" ht="18.75" customHeight="1" x14ac:dyDescent="0.25">
      <c r="B9" s="440"/>
      <c r="C9" s="469"/>
      <c r="D9" s="603" t="s">
        <v>261</v>
      </c>
      <c r="E9" s="671">
        <f>SUM('Present Value'!E10,'Present Value'!E16,'Present Value'!E18:E22)*1000</f>
        <v>0</v>
      </c>
      <c r="F9" s="671">
        <f>SUM('Present Value'!E35,'Present Value'!E41,'Present Value'!E43:E47)*1000</f>
        <v>0</v>
      </c>
      <c r="G9" s="671">
        <f>SUM('Present Value'!E60,'Present Value'!E66,'Present Value'!E68:E72)*1000</f>
        <v>0</v>
      </c>
      <c r="H9" s="671">
        <f>SUM('Present Value'!E85,'Present Value'!E91,'Present Value'!E93:E97)*1000</f>
        <v>0</v>
      </c>
      <c r="I9" s="671">
        <f>SUM('Present Value'!E110,'Present Value'!E116,'Present Value'!E118:E122)*1000</f>
        <v>0</v>
      </c>
      <c r="J9" s="671">
        <f>SUM('Present Value'!E135,'Present Value'!E141,'Present Value'!E143:E147)*1000</f>
        <v>0</v>
      </c>
      <c r="K9" s="469"/>
      <c r="L9" s="441"/>
    </row>
    <row r="10" spans="2:12" ht="18.75" customHeight="1" x14ac:dyDescent="0.25">
      <c r="B10" s="440"/>
      <c r="C10" s="469"/>
      <c r="D10" s="603" t="s">
        <v>262</v>
      </c>
      <c r="E10" s="671">
        <f>'Present Value'!E11*1000</f>
        <v>0</v>
      </c>
      <c r="F10" s="671">
        <f>'Present Value'!E36*1000</f>
        <v>0</v>
      </c>
      <c r="G10" s="671">
        <f>'Present Value'!E61*1000</f>
        <v>0</v>
      </c>
      <c r="H10" s="671">
        <f>'Present Value'!E86*1000</f>
        <v>0</v>
      </c>
      <c r="I10" s="671">
        <f>'Present Value'!E111*1000</f>
        <v>0</v>
      </c>
      <c r="J10" s="671">
        <f>'Present Value'!E136*1000</f>
        <v>0</v>
      </c>
      <c r="K10" s="469"/>
      <c r="L10" s="441"/>
    </row>
    <row r="11" spans="2:12" ht="18.75" customHeight="1" x14ac:dyDescent="0.25">
      <c r="B11" s="440"/>
      <c r="C11" s="469"/>
      <c r="D11" s="603" t="str">
        <f>'Present Value'!D17</f>
        <v>Loss of F Factor Benefit</v>
      </c>
      <c r="E11" s="671">
        <f>'Present Value'!E17*1000</f>
        <v>0</v>
      </c>
      <c r="F11" s="671">
        <f>'Present Value'!E42*1000</f>
        <v>0</v>
      </c>
      <c r="G11" s="671">
        <f>'Present Value'!E67*1000</f>
        <v>0</v>
      </c>
      <c r="H11" s="671">
        <f>'Present Value'!E92*1000</f>
        <v>0</v>
      </c>
      <c r="I11" s="671">
        <f>'Present Value'!E117*1000</f>
        <v>0</v>
      </c>
      <c r="J11" s="671">
        <f>'Present Value'!E142*1000</f>
        <v>0</v>
      </c>
      <c r="K11" s="469"/>
      <c r="L11" s="441"/>
    </row>
    <row r="12" spans="2:12" ht="18.75" customHeight="1" x14ac:dyDescent="0.25">
      <c r="B12" s="440"/>
      <c r="C12" s="469"/>
      <c r="D12" s="603" t="s">
        <v>263</v>
      </c>
      <c r="E12" s="671">
        <f>SUM('Present Value'!E23:E27)*1000</f>
        <v>0</v>
      </c>
      <c r="F12" s="671">
        <f>SUM('Present Value'!E48:E52)*1000</f>
        <v>0</v>
      </c>
      <c r="G12" s="671">
        <f>SUM('Present Value'!E73:E77)*1000</f>
        <v>0</v>
      </c>
      <c r="H12" s="671">
        <f>SUM('Present Value'!E98:E102)*1000</f>
        <v>0</v>
      </c>
      <c r="I12" s="671">
        <f>SUM('Present Value'!E123:E127)*1000</f>
        <v>0</v>
      </c>
      <c r="J12" s="671">
        <f>SUM('Present Value'!E148:E152)*1000</f>
        <v>0</v>
      </c>
      <c r="K12" s="469"/>
      <c r="L12" s="441"/>
    </row>
    <row r="13" spans="2:12" ht="18.75" customHeight="1" x14ac:dyDescent="0.25">
      <c r="B13" s="440"/>
      <c r="C13" s="469"/>
      <c r="D13" s="603" t="s">
        <v>317</v>
      </c>
      <c r="E13" s="671">
        <f>IF(Calculations!D219=" "," ", Calculations!D219*1000)</f>
        <v>2025096.456049128</v>
      </c>
      <c r="F13" s="671">
        <f>IF(Calculations!E219=" "," ", Calculations!E219*1000)</f>
        <v>1801392.7485540428</v>
      </c>
      <c r="G13" s="671">
        <f>IF(Calculations!F219=" "," ", Calculations!F219*1000)</f>
        <v>8060925.5822332539</v>
      </c>
      <c r="H13" s="671" t="str">
        <f>IF(Calculations!G219=" "," ", Calculations!G219*1000)</f>
        <v xml:space="preserve"> </v>
      </c>
      <c r="I13" s="671" t="str">
        <f>IF(Calculations!H219=" "," ", Calculations!H219*1000)</f>
        <v xml:space="preserve"> </v>
      </c>
      <c r="J13" s="671" t="str">
        <f>IF(Calculations!I219=" "," ", Calculations!I219*1000)</f>
        <v xml:space="preserve"> </v>
      </c>
      <c r="K13" s="469"/>
      <c r="L13" s="441"/>
    </row>
    <row r="14" spans="2:12" ht="18.75" customHeight="1" x14ac:dyDescent="0.2">
      <c r="B14" s="440"/>
      <c r="C14" s="469"/>
      <c r="D14" s="469"/>
      <c r="E14" s="678"/>
      <c r="F14" s="678"/>
      <c r="G14" s="678"/>
      <c r="H14" s="678"/>
      <c r="I14" s="678"/>
      <c r="J14" s="678"/>
      <c r="K14" s="469"/>
      <c r="L14" s="441"/>
    </row>
    <row r="15" spans="2:12" ht="18.75" customHeight="1" x14ac:dyDescent="0.2">
      <c r="B15" s="440"/>
      <c r="C15" s="469"/>
      <c r="D15" s="616" t="s">
        <v>126</v>
      </c>
      <c r="E15" s="673">
        <f t="shared" ref="E15:J15" si="0">IF(E13=" "," ",_xlfn.RANK.EQ(E13,$E$13:$J$13,1))</f>
        <v>2</v>
      </c>
      <c r="F15" s="673">
        <f t="shared" si="0"/>
        <v>1</v>
      </c>
      <c r="G15" s="673">
        <f t="shared" si="0"/>
        <v>3</v>
      </c>
      <c r="H15" s="673" t="str">
        <f t="shared" si="0"/>
        <v xml:space="preserve"> </v>
      </c>
      <c r="I15" s="673" t="str">
        <f t="shared" si="0"/>
        <v xml:space="preserve"> </v>
      </c>
      <c r="J15" s="673" t="str">
        <f t="shared" si="0"/>
        <v xml:space="preserve"> </v>
      </c>
      <c r="K15" s="469"/>
      <c r="L15" s="441"/>
    </row>
    <row r="16" spans="2:12" ht="15" x14ac:dyDescent="0.2">
      <c r="B16" s="440"/>
      <c r="C16" s="469"/>
      <c r="D16" s="469"/>
      <c r="E16" s="674"/>
      <c r="F16" s="674"/>
      <c r="G16" s="674"/>
      <c r="H16" s="674"/>
      <c r="I16" s="674"/>
      <c r="J16" s="674"/>
      <c r="K16" s="469"/>
      <c r="L16" s="441"/>
    </row>
    <row r="17" spans="2:12" ht="16.5" thickBot="1" x14ac:dyDescent="0.3">
      <c r="B17" s="440"/>
      <c r="C17" s="469"/>
      <c r="D17" s="592" t="s">
        <v>269</v>
      </c>
      <c r="E17" s="592"/>
      <c r="F17" s="592"/>
      <c r="G17" s="592"/>
      <c r="H17" s="469"/>
      <c r="I17" s="469"/>
      <c r="J17" s="469"/>
      <c r="K17" s="469"/>
      <c r="L17" s="441"/>
    </row>
    <row r="18" spans="2:12" ht="9" customHeight="1" x14ac:dyDescent="0.2">
      <c r="B18" s="440"/>
      <c r="C18" s="469"/>
      <c r="D18" s="469"/>
      <c r="E18" s="469"/>
      <c r="F18" s="469"/>
      <c r="G18" s="469"/>
      <c r="H18" s="469"/>
      <c r="I18" s="469"/>
      <c r="J18" s="469"/>
      <c r="K18" s="469"/>
      <c r="L18" s="441"/>
    </row>
    <row r="19" spans="2:12" ht="18.75" customHeight="1" x14ac:dyDescent="0.2">
      <c r="B19" s="440"/>
      <c r="C19" s="469"/>
      <c r="D19" s="672" t="s">
        <v>265</v>
      </c>
      <c r="E19" s="710" t="s">
        <v>266</v>
      </c>
      <c r="F19" s="710"/>
      <c r="G19" s="670" t="s">
        <v>297</v>
      </c>
      <c r="H19" s="469"/>
      <c r="I19" s="469"/>
      <c r="J19" s="469"/>
      <c r="K19" s="469"/>
      <c r="L19" s="441"/>
    </row>
    <row r="20" spans="2:12" ht="18.75" customHeight="1" x14ac:dyDescent="0.2">
      <c r="B20" s="440"/>
      <c r="C20" s="469"/>
      <c r="D20" s="669" t="s">
        <v>267</v>
      </c>
      <c r="E20" s="705"/>
      <c r="F20" s="705"/>
      <c r="G20" s="671">
        <f>'Present Value'!E9*1000</f>
        <v>2025096.456049128</v>
      </c>
      <c r="H20" s="469"/>
      <c r="I20" s="469"/>
      <c r="J20" s="469"/>
      <c r="K20" s="469"/>
      <c r="L20" s="441"/>
    </row>
    <row r="21" spans="2:12" ht="18.75" customHeight="1" x14ac:dyDescent="0.2">
      <c r="B21" s="440"/>
      <c r="C21" s="469"/>
      <c r="D21" s="669" t="s">
        <v>268</v>
      </c>
      <c r="E21" s="705"/>
      <c r="F21" s="705"/>
      <c r="G21" s="671">
        <f>'Present Value'!E10*1000</f>
        <v>0</v>
      </c>
      <c r="H21" s="469"/>
      <c r="I21" s="469"/>
      <c r="J21" s="469"/>
      <c r="K21" s="469"/>
      <c r="L21" s="441"/>
    </row>
    <row r="22" spans="2:12" ht="18.75" customHeight="1" x14ac:dyDescent="0.2">
      <c r="B22" s="440"/>
      <c r="C22" s="469"/>
      <c r="D22" s="669" t="s">
        <v>270</v>
      </c>
      <c r="E22" s="705" t="str">
        <f>TEXT('User Input'!F31,"0.00")&amp;" (minutes per annum)"</f>
        <v>0.00 (minutes per annum)</v>
      </c>
      <c r="F22" s="705"/>
      <c r="G22" s="671">
        <f>'Present Value'!E13*1000</f>
        <v>0</v>
      </c>
      <c r="H22" s="469"/>
      <c r="I22" s="469"/>
      <c r="J22" s="469"/>
      <c r="K22" s="469"/>
      <c r="L22" s="441"/>
    </row>
    <row r="23" spans="2:12" ht="18.75" customHeight="1" x14ac:dyDescent="0.2">
      <c r="B23" s="440"/>
      <c r="C23" s="469"/>
      <c r="D23" s="669" t="s">
        <v>276</v>
      </c>
      <c r="E23" s="705" t="str">
        <f>TEXT('User Input'!F30,"0.000")&amp;" (Interuptions per annum)"</f>
        <v>0.000 (Interuptions per annum)</v>
      </c>
      <c r="F23" s="705"/>
      <c r="G23" s="671">
        <f>'Present Value'!E12*1000</f>
        <v>0</v>
      </c>
      <c r="H23" s="469"/>
      <c r="I23" s="469"/>
      <c r="J23" s="469"/>
      <c r="K23" s="469"/>
      <c r="L23" s="441"/>
    </row>
    <row r="24" spans="2:12" ht="18.75" customHeight="1" x14ac:dyDescent="0.2">
      <c r="B24" s="440"/>
      <c r="C24" s="469"/>
      <c r="D24" s="669" t="s">
        <v>277</v>
      </c>
      <c r="E24" s="705" t="str">
        <f>TEXT('User Input'!F32,"0.000")&amp;" (Interuptions per annum)"</f>
        <v>0.000 (Interuptions per annum)</v>
      </c>
      <c r="F24" s="705"/>
      <c r="G24" s="671">
        <f>'Present Value'!E14*1000</f>
        <v>0</v>
      </c>
      <c r="H24" s="469"/>
      <c r="I24" s="469"/>
      <c r="J24" s="469"/>
      <c r="K24" s="469"/>
      <c r="L24" s="441"/>
    </row>
    <row r="25" spans="2:12" ht="18.75" customHeight="1" x14ac:dyDescent="0.2">
      <c r="B25" s="440"/>
      <c r="C25" s="469"/>
      <c r="D25" s="669" t="s">
        <v>295</v>
      </c>
      <c r="E25" s="705" t="str">
        <f>TEXT('Administrator Input'!$F$49*1000,"$#,##0")&amp;" per min"</f>
        <v>$56,500 per min</v>
      </c>
      <c r="F25" s="705"/>
      <c r="G25" s="671">
        <f>'Present Value'!E16*1000</f>
        <v>0</v>
      </c>
      <c r="H25" s="469"/>
      <c r="I25" s="469"/>
      <c r="J25" s="469"/>
      <c r="K25" s="469"/>
      <c r="L25" s="441"/>
    </row>
    <row r="26" spans="2:12" ht="18.75" customHeight="1" x14ac:dyDescent="0.2">
      <c r="B26" s="440"/>
      <c r="C26" s="469"/>
      <c r="D26" s="669" t="s">
        <v>296</v>
      </c>
      <c r="E26" s="706" t="s">
        <v>298</v>
      </c>
      <c r="F26" s="707"/>
      <c r="G26" s="671">
        <f>'Present Value'!E17*1000</f>
        <v>0</v>
      </c>
      <c r="H26" s="469"/>
      <c r="I26" s="469"/>
      <c r="J26" s="469"/>
      <c r="K26" s="469"/>
      <c r="L26" s="441"/>
    </row>
    <row r="27" spans="2:12" ht="18.75" customHeight="1" x14ac:dyDescent="0.2">
      <c r="B27" s="440"/>
      <c r="C27" s="469"/>
      <c r="D27" s="669" t="s">
        <v>271</v>
      </c>
      <c r="E27" s="705"/>
      <c r="F27" s="705"/>
      <c r="G27" s="671">
        <f>SUM('Present Value'!E18:E22)*1000</f>
        <v>0</v>
      </c>
      <c r="H27" s="469"/>
      <c r="I27" s="469"/>
      <c r="J27" s="469"/>
      <c r="K27" s="469"/>
      <c r="L27" s="441"/>
    </row>
    <row r="28" spans="2:12" ht="18.75" customHeight="1" x14ac:dyDescent="0.25">
      <c r="B28" s="440"/>
      <c r="C28" s="469"/>
      <c r="D28" s="603" t="s">
        <v>263</v>
      </c>
      <c r="E28" s="705"/>
      <c r="F28" s="705"/>
      <c r="G28" s="671">
        <f>SUM('Present Value'!E23:E27)*1000</f>
        <v>0</v>
      </c>
      <c r="H28" s="469"/>
      <c r="I28" s="469"/>
      <c r="J28" s="469"/>
      <c r="K28" s="469"/>
      <c r="L28" s="441"/>
    </row>
    <row r="29" spans="2:12" ht="15" x14ac:dyDescent="0.2">
      <c r="B29" s="440"/>
      <c r="C29" s="469"/>
      <c r="D29" s="469"/>
      <c r="E29" s="469"/>
      <c r="F29" s="469"/>
      <c r="G29" s="469"/>
      <c r="H29" s="469"/>
      <c r="I29" s="469"/>
      <c r="J29" s="469"/>
      <c r="K29" s="469"/>
      <c r="L29" s="441"/>
    </row>
    <row r="30" spans="2:12" ht="16.5" thickBot="1" x14ac:dyDescent="0.3">
      <c r="B30" s="440"/>
      <c r="C30" s="469"/>
      <c r="D30" s="592" t="str">
        <f>"Project Costs - Option 1: "&amp;+'User Input'!E16</f>
        <v>Project Costs - Option 1: Provide In Meter Capabilities</v>
      </c>
      <c r="E30" s="592"/>
      <c r="F30" s="592"/>
      <c r="G30" s="592"/>
      <c r="H30" s="469"/>
      <c r="I30" s="469"/>
      <c r="J30" s="469"/>
      <c r="K30" s="469"/>
      <c r="L30" s="441"/>
    </row>
    <row r="31" spans="2:12" ht="9" customHeight="1" x14ac:dyDescent="0.2"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</row>
    <row r="32" spans="2:12" ht="18.75" customHeight="1" x14ac:dyDescent="0.2">
      <c r="B32" s="440"/>
      <c r="C32" s="469"/>
      <c r="D32" s="672" t="s">
        <v>265</v>
      </c>
      <c r="E32" s="710" t="s">
        <v>266</v>
      </c>
      <c r="F32" s="710"/>
      <c r="G32" s="679" t="s">
        <v>297</v>
      </c>
      <c r="H32" s="469"/>
      <c r="I32" s="469"/>
      <c r="J32" s="469"/>
      <c r="K32" s="469"/>
      <c r="L32" s="441"/>
    </row>
    <row r="33" spans="2:12" ht="18.75" customHeight="1" x14ac:dyDescent="0.2">
      <c r="B33" s="440"/>
      <c r="C33" s="469"/>
      <c r="D33" s="669" t="s">
        <v>267</v>
      </c>
      <c r="E33" s="705"/>
      <c r="F33" s="705"/>
      <c r="G33" s="671">
        <f>'Present Value'!E34*1000</f>
        <v>1801392.7485540428</v>
      </c>
      <c r="H33" s="469"/>
      <c r="I33" s="469"/>
      <c r="J33" s="469"/>
      <c r="K33" s="469"/>
      <c r="L33" s="441"/>
    </row>
    <row r="34" spans="2:12" ht="18.75" customHeight="1" x14ac:dyDescent="0.2">
      <c r="B34" s="440"/>
      <c r="C34" s="469"/>
      <c r="D34" s="669" t="s">
        <v>268</v>
      </c>
      <c r="E34" s="705"/>
      <c r="F34" s="705"/>
      <c r="G34" s="671">
        <f>'Present Value'!E35*1000</f>
        <v>0</v>
      </c>
      <c r="H34" s="469"/>
      <c r="I34" s="469"/>
      <c r="J34" s="469"/>
      <c r="K34" s="469"/>
      <c r="L34" s="441"/>
    </row>
    <row r="35" spans="2:12" ht="18.75" customHeight="1" x14ac:dyDescent="0.2">
      <c r="B35" s="440"/>
      <c r="C35" s="469"/>
      <c r="D35" s="669" t="s">
        <v>270</v>
      </c>
      <c r="E35" s="705" t="str">
        <f>TEXT('User Input'!F60,"0.00")&amp;" (minutes per annum)"</f>
        <v>0.00 (minutes per annum)</v>
      </c>
      <c r="F35" s="705"/>
      <c r="G35" s="671">
        <f>'Present Value'!E38*1000</f>
        <v>0</v>
      </c>
      <c r="H35" s="469"/>
      <c r="I35" s="469"/>
      <c r="J35" s="469"/>
      <c r="K35" s="469"/>
      <c r="L35" s="441"/>
    </row>
    <row r="36" spans="2:12" ht="18.75" customHeight="1" x14ac:dyDescent="0.2">
      <c r="B36" s="440"/>
      <c r="C36" s="469"/>
      <c r="D36" s="669" t="s">
        <v>276</v>
      </c>
      <c r="E36" s="705" t="str">
        <f>TEXT('User Input'!F59,"0.000")&amp;" (Interuptions per annum)"</f>
        <v>0.000 (Interuptions per annum)</v>
      </c>
      <c r="F36" s="705"/>
      <c r="G36" s="671">
        <f>'Present Value'!E37*1000</f>
        <v>0</v>
      </c>
      <c r="H36" s="469"/>
      <c r="I36" s="469"/>
      <c r="J36" s="469"/>
      <c r="K36" s="469"/>
      <c r="L36" s="441"/>
    </row>
    <row r="37" spans="2:12" ht="18.75" customHeight="1" x14ac:dyDescent="0.2">
      <c r="B37" s="440"/>
      <c r="C37" s="469"/>
      <c r="D37" s="669" t="s">
        <v>277</v>
      </c>
      <c r="E37" s="705" t="str">
        <f>TEXT('User Input'!F61,"0.000")&amp;" (Interuptions per annum)"</f>
        <v>0.000 (Interuptions per annum)</v>
      </c>
      <c r="F37" s="705"/>
      <c r="G37" s="671">
        <f>'Present Value'!E39*1000</f>
        <v>0</v>
      </c>
      <c r="H37" s="469"/>
      <c r="I37" s="469"/>
      <c r="J37" s="469"/>
      <c r="K37" s="469"/>
      <c r="L37" s="441"/>
    </row>
    <row r="38" spans="2:12" ht="18.75" customHeight="1" x14ac:dyDescent="0.2">
      <c r="B38" s="440"/>
      <c r="C38" s="469"/>
      <c r="D38" s="669" t="s">
        <v>295</v>
      </c>
      <c r="E38" s="705" t="str">
        <f>TEXT('Administrator Input'!$F$49*1000,"$#,##0")&amp;" per min"</f>
        <v>$56,500 per min</v>
      </c>
      <c r="F38" s="705"/>
      <c r="G38" s="671">
        <f>'Present Value'!E41*1000</f>
        <v>0</v>
      </c>
      <c r="H38" s="469"/>
      <c r="I38" s="469"/>
      <c r="J38" s="469"/>
      <c r="K38" s="469"/>
      <c r="L38" s="441"/>
    </row>
    <row r="39" spans="2:12" ht="18.75" customHeight="1" x14ac:dyDescent="0.2">
      <c r="B39" s="440"/>
      <c r="C39" s="469"/>
      <c r="D39" s="669" t="s">
        <v>296</v>
      </c>
      <c r="E39" s="706" t="s">
        <v>298</v>
      </c>
      <c r="F39" s="707"/>
      <c r="G39" s="671">
        <f>'Present Value'!E42*1000</f>
        <v>0</v>
      </c>
      <c r="H39" s="469"/>
      <c r="I39" s="469"/>
      <c r="J39" s="469"/>
      <c r="K39" s="469"/>
      <c r="L39" s="441"/>
    </row>
    <row r="40" spans="2:12" ht="18.75" customHeight="1" x14ac:dyDescent="0.2">
      <c r="B40" s="440"/>
      <c r="C40" s="469"/>
      <c r="D40" s="669" t="s">
        <v>271</v>
      </c>
      <c r="E40" s="708"/>
      <c r="F40" s="709"/>
      <c r="G40" s="671">
        <f>SUM('Present Value'!E43:E47)*1000</f>
        <v>0</v>
      </c>
      <c r="H40" s="469"/>
      <c r="I40" s="469"/>
      <c r="J40" s="469"/>
      <c r="K40" s="469"/>
      <c r="L40" s="441"/>
    </row>
    <row r="41" spans="2:12" ht="18.75" customHeight="1" x14ac:dyDescent="0.2">
      <c r="B41" s="440"/>
      <c r="C41" s="469"/>
      <c r="D41" s="669" t="s">
        <v>263</v>
      </c>
      <c r="E41" s="705"/>
      <c r="F41" s="705"/>
      <c r="G41" s="671">
        <f>SUM('Present Value'!E48:E52)*1000</f>
        <v>0</v>
      </c>
      <c r="H41" s="469"/>
      <c r="I41" s="469"/>
      <c r="J41" s="469"/>
      <c r="K41" s="469"/>
      <c r="L41" s="441"/>
    </row>
    <row r="42" spans="2:12" ht="15" x14ac:dyDescent="0.2">
      <c r="B42" s="440"/>
      <c r="C42" s="469"/>
      <c r="D42" s="469"/>
      <c r="E42" s="469"/>
      <c r="F42" s="469"/>
      <c r="G42" s="469"/>
      <c r="H42" s="469"/>
      <c r="I42" s="469"/>
      <c r="J42" s="469"/>
      <c r="K42" s="469"/>
      <c r="L42" s="441"/>
    </row>
    <row r="43" spans="2:12" ht="16.5" thickBot="1" x14ac:dyDescent="0.3">
      <c r="B43" s="440"/>
      <c r="C43" s="469"/>
      <c r="D43" s="592" t="str">
        <f>"Project Costs - Option 2: "&amp;+'User Input'!E17</f>
        <v>Project Costs - Option 2: Provide In Meter Capabilities with Near Real-time Centralised Analytics</v>
      </c>
      <c r="E43" s="592"/>
      <c r="F43" s="592"/>
      <c r="G43" s="592"/>
      <c r="H43" s="469"/>
      <c r="I43" s="469"/>
      <c r="J43" s="469"/>
      <c r="K43" s="469"/>
      <c r="L43" s="441"/>
    </row>
    <row r="44" spans="2:12" ht="9" customHeight="1" x14ac:dyDescent="0.2">
      <c r="B44" s="440"/>
      <c r="C44" s="469"/>
      <c r="D44" s="469"/>
      <c r="E44" s="469"/>
      <c r="F44" s="469"/>
      <c r="G44" s="469"/>
      <c r="H44" s="469"/>
      <c r="I44" s="469"/>
      <c r="J44" s="469"/>
      <c r="K44" s="469"/>
      <c r="L44" s="441"/>
    </row>
    <row r="45" spans="2:12" ht="18.75" customHeight="1" x14ac:dyDescent="0.2">
      <c r="B45" s="440"/>
      <c r="C45" s="469"/>
      <c r="D45" s="672" t="s">
        <v>265</v>
      </c>
      <c r="E45" s="710" t="s">
        <v>266</v>
      </c>
      <c r="F45" s="710"/>
      <c r="G45" s="679" t="s">
        <v>297</v>
      </c>
      <c r="H45" s="469"/>
      <c r="I45" s="469"/>
      <c r="J45" s="469"/>
      <c r="K45" s="469"/>
      <c r="L45" s="441"/>
    </row>
    <row r="46" spans="2:12" ht="18.75" customHeight="1" x14ac:dyDescent="0.2">
      <c r="B46" s="440"/>
      <c r="C46" s="469"/>
      <c r="D46" s="669" t="s">
        <v>267</v>
      </c>
      <c r="E46" s="705"/>
      <c r="F46" s="705"/>
      <c r="G46" s="671">
        <f>'Present Value'!E59*1000</f>
        <v>8060925.5822332539</v>
      </c>
      <c r="H46" s="469"/>
      <c r="I46" s="469"/>
      <c r="J46" s="469"/>
      <c r="K46" s="469"/>
      <c r="L46" s="441"/>
    </row>
    <row r="47" spans="2:12" ht="18.75" customHeight="1" x14ac:dyDescent="0.2">
      <c r="B47" s="440"/>
      <c r="C47" s="469"/>
      <c r="D47" s="669" t="s">
        <v>268</v>
      </c>
      <c r="E47" s="705"/>
      <c r="F47" s="705"/>
      <c r="G47" s="671">
        <f>'Present Value'!E60*1000</f>
        <v>0</v>
      </c>
      <c r="H47" s="469"/>
      <c r="I47" s="469"/>
      <c r="J47" s="469"/>
      <c r="K47" s="469"/>
      <c r="L47" s="441"/>
    </row>
    <row r="48" spans="2:12" ht="18.75" customHeight="1" x14ac:dyDescent="0.2">
      <c r="B48" s="440"/>
      <c r="C48" s="469"/>
      <c r="D48" s="669" t="s">
        <v>270</v>
      </c>
      <c r="E48" s="705" t="str">
        <f>TEXT('User Input'!F89,"0.00")&amp;" (minutes per annum)"</f>
        <v>0.00 (minutes per annum)</v>
      </c>
      <c r="F48" s="705"/>
      <c r="G48" s="671">
        <f>'Present Value'!E63*1000</f>
        <v>0</v>
      </c>
      <c r="H48" s="469"/>
      <c r="I48" s="469"/>
      <c r="J48" s="469"/>
      <c r="K48" s="469"/>
      <c r="L48" s="441"/>
    </row>
    <row r="49" spans="2:12" ht="18.75" customHeight="1" x14ac:dyDescent="0.2">
      <c r="B49" s="440"/>
      <c r="C49" s="469"/>
      <c r="D49" s="669" t="s">
        <v>276</v>
      </c>
      <c r="E49" s="705" t="str">
        <f>TEXT('User Input'!F88,"0.000")&amp;" (Interuptions per annum)"</f>
        <v>0.000 (Interuptions per annum)</v>
      </c>
      <c r="F49" s="705"/>
      <c r="G49" s="671">
        <f>'Present Value'!E62*1000</f>
        <v>0</v>
      </c>
      <c r="H49" s="469"/>
      <c r="I49" s="469"/>
      <c r="J49" s="469"/>
      <c r="K49" s="469"/>
      <c r="L49" s="441"/>
    </row>
    <row r="50" spans="2:12" ht="18.75" customHeight="1" x14ac:dyDescent="0.2">
      <c r="B50" s="440"/>
      <c r="C50" s="469"/>
      <c r="D50" s="669" t="s">
        <v>277</v>
      </c>
      <c r="E50" s="705" t="str">
        <f>TEXT('User Input'!F90,"0.000")&amp;" (Interuptions per annum)"</f>
        <v>0.000 (Interuptions per annum)</v>
      </c>
      <c r="F50" s="705"/>
      <c r="G50" s="671">
        <f>'Present Value'!E64*1000</f>
        <v>0</v>
      </c>
      <c r="H50" s="469"/>
      <c r="I50" s="469"/>
      <c r="J50" s="469"/>
      <c r="K50" s="469"/>
      <c r="L50" s="441"/>
    </row>
    <row r="51" spans="2:12" ht="18.75" customHeight="1" x14ac:dyDescent="0.2">
      <c r="B51" s="440"/>
      <c r="C51" s="469"/>
      <c r="D51" s="669" t="s">
        <v>271</v>
      </c>
      <c r="E51" s="705" t="str">
        <f>TEXT('Administrator Input'!$F$49*1000,"$#,##0")&amp;" per min"</f>
        <v>$56,500 per min</v>
      </c>
      <c r="F51" s="705"/>
      <c r="G51" s="671">
        <f>'Present Value'!E66*1000</f>
        <v>0</v>
      </c>
      <c r="H51" s="469"/>
      <c r="I51" s="469"/>
      <c r="J51" s="469"/>
      <c r="K51" s="469"/>
      <c r="L51" s="441"/>
    </row>
    <row r="52" spans="2:12" ht="18.75" customHeight="1" x14ac:dyDescent="0.2">
      <c r="B52" s="440"/>
      <c r="C52" s="469"/>
      <c r="D52" s="669" t="s">
        <v>296</v>
      </c>
      <c r="E52" s="706" t="s">
        <v>298</v>
      </c>
      <c r="F52" s="707"/>
      <c r="G52" s="671">
        <f>'Present Value'!E67*1000</f>
        <v>0</v>
      </c>
      <c r="H52" s="469"/>
      <c r="I52" s="469"/>
      <c r="J52" s="469"/>
      <c r="K52" s="469"/>
      <c r="L52" s="441"/>
    </row>
    <row r="53" spans="2:12" ht="18.75" customHeight="1" x14ac:dyDescent="0.2">
      <c r="B53" s="440"/>
      <c r="C53" s="469"/>
      <c r="D53" s="669" t="s">
        <v>271</v>
      </c>
      <c r="E53" s="708"/>
      <c r="F53" s="709"/>
      <c r="G53" s="671">
        <f>SUM('Present Value'!E68:E72)*1000</f>
        <v>0</v>
      </c>
      <c r="H53" s="469"/>
      <c r="I53" s="469"/>
      <c r="J53" s="469"/>
      <c r="K53" s="469"/>
      <c r="L53" s="441"/>
    </row>
    <row r="54" spans="2:12" ht="18.75" customHeight="1" x14ac:dyDescent="0.2">
      <c r="B54" s="440"/>
      <c r="C54" s="469"/>
      <c r="D54" s="669" t="s">
        <v>263</v>
      </c>
      <c r="E54" s="705"/>
      <c r="F54" s="705"/>
      <c r="G54" s="671">
        <f>SUM('Present Value'!E73:E77)*1000</f>
        <v>0</v>
      </c>
      <c r="H54" s="469"/>
      <c r="I54" s="469"/>
      <c r="J54" s="469"/>
      <c r="K54" s="469"/>
      <c r="L54" s="441"/>
    </row>
    <row r="55" spans="2:12" ht="15" x14ac:dyDescent="0.2">
      <c r="B55" s="440"/>
      <c r="C55" s="469"/>
      <c r="D55" s="469"/>
      <c r="E55" s="469"/>
      <c r="F55" s="469"/>
      <c r="G55" s="469"/>
      <c r="H55" s="469"/>
      <c r="I55" s="469"/>
      <c r="J55" s="469"/>
      <c r="K55" s="469"/>
      <c r="L55" s="441"/>
    </row>
    <row r="56" spans="2:12" ht="16.5" thickBot="1" x14ac:dyDescent="0.3">
      <c r="B56" s="440"/>
      <c r="C56" s="469"/>
      <c r="D56" s="592" t="str">
        <f>"Project Costs - Option 3: "&amp;+'User Input'!E18</f>
        <v xml:space="preserve">Project Costs - Option 3: </v>
      </c>
      <c r="E56" s="592"/>
      <c r="F56" s="592"/>
      <c r="G56" s="592"/>
      <c r="H56" s="469"/>
      <c r="I56" s="469"/>
      <c r="J56" s="469"/>
      <c r="K56" s="469"/>
      <c r="L56" s="441"/>
    </row>
    <row r="57" spans="2:12" ht="9" customHeight="1" x14ac:dyDescent="0.2">
      <c r="B57" s="440"/>
      <c r="C57" s="469"/>
      <c r="D57" s="469"/>
      <c r="E57" s="469"/>
      <c r="F57" s="469"/>
      <c r="G57" s="469"/>
      <c r="H57" s="469"/>
      <c r="I57" s="469"/>
      <c r="J57" s="469"/>
      <c r="K57" s="469"/>
      <c r="L57" s="441"/>
    </row>
    <row r="58" spans="2:12" ht="18.75" customHeight="1" x14ac:dyDescent="0.2">
      <c r="B58" s="440"/>
      <c r="C58" s="469"/>
      <c r="D58" s="672" t="s">
        <v>265</v>
      </c>
      <c r="E58" s="710" t="s">
        <v>266</v>
      </c>
      <c r="F58" s="710"/>
      <c r="G58" s="679" t="s">
        <v>297</v>
      </c>
      <c r="H58" s="469"/>
      <c r="I58" s="469"/>
      <c r="J58" s="469"/>
      <c r="K58" s="469"/>
      <c r="L58" s="441"/>
    </row>
    <row r="59" spans="2:12" ht="18.75" customHeight="1" x14ac:dyDescent="0.2">
      <c r="B59" s="440"/>
      <c r="C59" s="469"/>
      <c r="D59" s="669" t="s">
        <v>267</v>
      </c>
      <c r="E59" s="705"/>
      <c r="F59" s="705"/>
      <c r="G59" s="671">
        <f>'Present Value'!E84*1000</f>
        <v>0</v>
      </c>
      <c r="H59" s="469"/>
      <c r="I59" s="469"/>
      <c r="J59" s="469"/>
      <c r="K59" s="469"/>
      <c r="L59" s="441"/>
    </row>
    <row r="60" spans="2:12" ht="18.75" customHeight="1" x14ac:dyDescent="0.2">
      <c r="B60" s="440"/>
      <c r="C60" s="469"/>
      <c r="D60" s="669" t="s">
        <v>268</v>
      </c>
      <c r="E60" s="705"/>
      <c r="F60" s="705"/>
      <c r="G60" s="671">
        <f>'Present Value'!E85*1000</f>
        <v>0</v>
      </c>
      <c r="H60" s="469"/>
      <c r="I60" s="469"/>
      <c r="J60" s="469"/>
      <c r="K60" s="469"/>
      <c r="L60" s="441"/>
    </row>
    <row r="61" spans="2:12" ht="18.75" customHeight="1" x14ac:dyDescent="0.2">
      <c r="B61" s="440"/>
      <c r="C61" s="469"/>
      <c r="D61" s="669" t="s">
        <v>270</v>
      </c>
      <c r="E61" s="705" t="str">
        <f>TEXT('User Input'!F118,"0.00")&amp;" (minutes per annum)"</f>
        <v>0.00 (minutes per annum)</v>
      </c>
      <c r="F61" s="705"/>
      <c r="G61" s="671">
        <f>'Present Value'!E88*1000</f>
        <v>0</v>
      </c>
      <c r="H61" s="469"/>
      <c r="I61" s="469"/>
      <c r="J61" s="469"/>
      <c r="K61" s="469"/>
      <c r="L61" s="441"/>
    </row>
    <row r="62" spans="2:12" ht="18.75" customHeight="1" x14ac:dyDescent="0.2">
      <c r="B62" s="440"/>
      <c r="C62" s="469"/>
      <c r="D62" s="669" t="s">
        <v>276</v>
      </c>
      <c r="E62" s="705" t="str">
        <f>TEXT('User Input'!F117,"0.000")&amp;" (Interuptions per annum)"</f>
        <v>0.000 (Interuptions per annum)</v>
      </c>
      <c r="F62" s="705"/>
      <c r="G62" s="671">
        <f>'Present Value'!E87*1000</f>
        <v>0</v>
      </c>
      <c r="H62" s="469"/>
      <c r="I62" s="469"/>
      <c r="J62" s="469"/>
      <c r="K62" s="469"/>
      <c r="L62" s="441"/>
    </row>
    <row r="63" spans="2:12" ht="18.75" customHeight="1" x14ac:dyDescent="0.2">
      <c r="B63" s="440"/>
      <c r="C63" s="469"/>
      <c r="D63" s="669" t="s">
        <v>277</v>
      </c>
      <c r="E63" s="705" t="str">
        <f>TEXT('User Input'!F119,"0.000")&amp;" (Interuptions per annum)"</f>
        <v>0.000 (Interuptions per annum)</v>
      </c>
      <c r="F63" s="705"/>
      <c r="G63" s="671">
        <f>'Present Value'!E89*1000</f>
        <v>0</v>
      </c>
      <c r="H63" s="469"/>
      <c r="I63" s="469"/>
      <c r="J63" s="469"/>
      <c r="K63" s="469"/>
      <c r="L63" s="441"/>
    </row>
    <row r="64" spans="2:12" ht="18.75" customHeight="1" x14ac:dyDescent="0.2">
      <c r="B64" s="440"/>
      <c r="C64" s="469"/>
      <c r="D64" s="669" t="s">
        <v>271</v>
      </c>
      <c r="E64" s="705" t="str">
        <f>TEXT('Administrator Input'!$F$49*1000,"$#,##0")&amp;" per min"</f>
        <v>$56,500 per min</v>
      </c>
      <c r="F64" s="705"/>
      <c r="G64" s="671">
        <f>'Present Value'!E91*1000</f>
        <v>0</v>
      </c>
      <c r="H64" s="469"/>
      <c r="I64" s="469"/>
      <c r="J64" s="469"/>
      <c r="K64" s="469"/>
      <c r="L64" s="441"/>
    </row>
    <row r="65" spans="2:12" ht="18.75" customHeight="1" x14ac:dyDescent="0.2">
      <c r="B65" s="440"/>
      <c r="C65" s="469"/>
      <c r="D65" s="669" t="s">
        <v>296</v>
      </c>
      <c r="E65" s="706" t="s">
        <v>298</v>
      </c>
      <c r="F65" s="707"/>
      <c r="G65" s="671">
        <f>'Present Value'!E92*1000</f>
        <v>0</v>
      </c>
      <c r="H65" s="469"/>
      <c r="I65" s="469"/>
      <c r="J65" s="469"/>
      <c r="K65" s="469"/>
      <c r="L65" s="441"/>
    </row>
    <row r="66" spans="2:12" ht="18.75" customHeight="1" x14ac:dyDescent="0.2">
      <c r="B66" s="440"/>
      <c r="C66" s="469"/>
      <c r="D66" s="669" t="s">
        <v>271</v>
      </c>
      <c r="E66" s="708"/>
      <c r="F66" s="709"/>
      <c r="G66" s="671">
        <f>SUM('Present Value'!E93:E97)*1000</f>
        <v>0</v>
      </c>
      <c r="H66" s="469"/>
      <c r="I66" s="469"/>
      <c r="J66" s="469"/>
      <c r="K66" s="469"/>
      <c r="L66" s="441"/>
    </row>
    <row r="67" spans="2:12" ht="18.75" customHeight="1" x14ac:dyDescent="0.2">
      <c r="B67" s="440"/>
      <c r="C67" s="469"/>
      <c r="D67" s="669" t="s">
        <v>263</v>
      </c>
      <c r="E67" s="705"/>
      <c r="F67" s="705"/>
      <c r="G67" s="671">
        <f>SUM('Present Value'!E98:E102)*1000</f>
        <v>0</v>
      </c>
      <c r="H67" s="469"/>
      <c r="I67" s="469"/>
      <c r="J67" s="469"/>
      <c r="K67" s="469"/>
      <c r="L67" s="441"/>
    </row>
    <row r="68" spans="2:12" ht="15" x14ac:dyDescent="0.2"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</row>
    <row r="69" spans="2:12" ht="16.5" thickBot="1" x14ac:dyDescent="0.3">
      <c r="B69" s="440"/>
      <c r="C69" s="469"/>
      <c r="D69" s="592" t="str">
        <f>"Project Costs - Option 4: "&amp;+'User Input'!E19</f>
        <v xml:space="preserve">Project Costs - Option 4: </v>
      </c>
      <c r="E69" s="592"/>
      <c r="F69" s="592"/>
      <c r="G69" s="592"/>
      <c r="H69" s="469"/>
      <c r="I69" s="469"/>
      <c r="J69" s="469"/>
      <c r="K69" s="469"/>
      <c r="L69" s="441"/>
    </row>
    <row r="70" spans="2:12" ht="9" customHeight="1" x14ac:dyDescent="0.2"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</row>
    <row r="71" spans="2:12" ht="18.75" customHeight="1" x14ac:dyDescent="0.2">
      <c r="B71" s="440"/>
      <c r="C71" s="469"/>
      <c r="D71" s="672" t="s">
        <v>265</v>
      </c>
      <c r="E71" s="710" t="s">
        <v>266</v>
      </c>
      <c r="F71" s="710"/>
      <c r="G71" s="679" t="s">
        <v>297</v>
      </c>
      <c r="H71" s="469"/>
      <c r="I71" s="469"/>
      <c r="J71" s="469"/>
      <c r="K71" s="469"/>
      <c r="L71" s="441"/>
    </row>
    <row r="72" spans="2:12" ht="18.75" customHeight="1" x14ac:dyDescent="0.2">
      <c r="B72" s="440"/>
      <c r="C72" s="469"/>
      <c r="D72" s="669" t="s">
        <v>267</v>
      </c>
      <c r="E72" s="705"/>
      <c r="F72" s="705"/>
      <c r="G72" s="671">
        <f>'Present Value'!E109*1000</f>
        <v>0</v>
      </c>
      <c r="H72" s="469"/>
      <c r="I72" s="469"/>
      <c r="J72" s="469"/>
      <c r="K72" s="469"/>
      <c r="L72" s="441"/>
    </row>
    <row r="73" spans="2:12" ht="18.75" customHeight="1" x14ac:dyDescent="0.2">
      <c r="B73" s="440"/>
      <c r="C73" s="469"/>
      <c r="D73" s="669" t="s">
        <v>268</v>
      </c>
      <c r="E73" s="705"/>
      <c r="F73" s="705"/>
      <c r="G73" s="671">
        <f>'Present Value'!E110*1000</f>
        <v>0</v>
      </c>
      <c r="H73" s="469"/>
      <c r="I73" s="469"/>
      <c r="J73" s="469"/>
      <c r="K73" s="469"/>
      <c r="L73" s="441"/>
    </row>
    <row r="74" spans="2:12" ht="18.75" customHeight="1" x14ac:dyDescent="0.2">
      <c r="B74" s="440"/>
      <c r="C74" s="469"/>
      <c r="D74" s="669" t="s">
        <v>270</v>
      </c>
      <c r="E74" s="705" t="str">
        <f>TEXT('User Input'!F147,"0.00")&amp;" (minutes per annum)"</f>
        <v>0.00 (minutes per annum)</v>
      </c>
      <c r="F74" s="705"/>
      <c r="G74" s="671">
        <f>'Present Value'!E113*1000</f>
        <v>0</v>
      </c>
      <c r="H74" s="469"/>
      <c r="I74" s="469"/>
      <c r="J74" s="469"/>
      <c r="K74" s="469"/>
      <c r="L74" s="441"/>
    </row>
    <row r="75" spans="2:12" ht="18.75" customHeight="1" x14ac:dyDescent="0.2">
      <c r="B75" s="440"/>
      <c r="C75" s="469"/>
      <c r="D75" s="669" t="s">
        <v>276</v>
      </c>
      <c r="E75" s="705" t="str">
        <f>TEXT('User Input'!F146,"0.000")&amp;" (Interuptions per annum)"</f>
        <v>0.000 (Interuptions per annum)</v>
      </c>
      <c r="F75" s="705"/>
      <c r="G75" s="671">
        <f>'Present Value'!E112*1000</f>
        <v>0</v>
      </c>
      <c r="H75" s="469"/>
      <c r="I75" s="469"/>
      <c r="J75" s="469"/>
      <c r="K75" s="469"/>
      <c r="L75" s="441"/>
    </row>
    <row r="76" spans="2:12" ht="18.75" customHeight="1" x14ac:dyDescent="0.2">
      <c r="B76" s="440"/>
      <c r="C76" s="469"/>
      <c r="D76" s="669" t="s">
        <v>277</v>
      </c>
      <c r="E76" s="705" t="str">
        <f>TEXT('User Input'!F148,"0.000")&amp;" (Interuptions per annum)"</f>
        <v>0.000 (Interuptions per annum)</v>
      </c>
      <c r="F76" s="705"/>
      <c r="G76" s="671">
        <f>'Present Value'!E114*1000</f>
        <v>0</v>
      </c>
      <c r="H76" s="469"/>
      <c r="I76" s="469"/>
      <c r="J76" s="469"/>
      <c r="K76" s="469"/>
      <c r="L76" s="441"/>
    </row>
    <row r="77" spans="2:12" ht="18.75" customHeight="1" x14ac:dyDescent="0.2">
      <c r="B77" s="440"/>
      <c r="C77" s="469"/>
      <c r="D77" s="669" t="s">
        <v>271</v>
      </c>
      <c r="E77" s="705" t="str">
        <f>TEXT('Administrator Input'!$F$49*1000,"$#,##0")&amp;" per min"</f>
        <v>$56,500 per min</v>
      </c>
      <c r="F77" s="705"/>
      <c r="G77" s="671">
        <f>'Present Value'!E116*1000</f>
        <v>0</v>
      </c>
      <c r="H77" s="469"/>
      <c r="I77" s="469"/>
      <c r="J77" s="469"/>
      <c r="K77" s="469"/>
      <c r="L77" s="441"/>
    </row>
    <row r="78" spans="2:12" ht="18.75" customHeight="1" x14ac:dyDescent="0.2">
      <c r="B78" s="440"/>
      <c r="C78" s="469"/>
      <c r="D78" s="669" t="s">
        <v>296</v>
      </c>
      <c r="E78" s="706" t="s">
        <v>298</v>
      </c>
      <c r="F78" s="707"/>
      <c r="G78" s="671">
        <f>'Present Value'!E117*1000</f>
        <v>0</v>
      </c>
      <c r="H78" s="469"/>
      <c r="I78" s="469"/>
      <c r="J78" s="469"/>
      <c r="K78" s="469"/>
      <c r="L78" s="441"/>
    </row>
    <row r="79" spans="2:12" ht="18.75" customHeight="1" x14ac:dyDescent="0.2">
      <c r="B79" s="440"/>
      <c r="C79" s="469"/>
      <c r="D79" s="669" t="s">
        <v>271</v>
      </c>
      <c r="E79" s="708"/>
      <c r="F79" s="709"/>
      <c r="G79" s="671">
        <f>SUM('Present Value'!E118:E122)*1000</f>
        <v>0</v>
      </c>
      <c r="H79" s="469"/>
      <c r="I79" s="469"/>
      <c r="J79" s="469"/>
      <c r="K79" s="469"/>
      <c r="L79" s="441"/>
    </row>
    <row r="80" spans="2:12" ht="18.75" customHeight="1" x14ac:dyDescent="0.2">
      <c r="B80" s="440"/>
      <c r="C80" s="469"/>
      <c r="D80" s="669" t="s">
        <v>263</v>
      </c>
      <c r="E80" s="705"/>
      <c r="F80" s="705"/>
      <c r="G80" s="671">
        <f>SUM('Present Value'!E123:E127)*1000</f>
        <v>0</v>
      </c>
      <c r="H80" s="469"/>
      <c r="I80" s="469"/>
      <c r="J80" s="469"/>
      <c r="K80" s="469"/>
      <c r="L80" s="441"/>
    </row>
    <row r="81" spans="2:12" ht="15" x14ac:dyDescent="0.2"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</row>
    <row r="82" spans="2:12" ht="16.5" thickBot="1" x14ac:dyDescent="0.3">
      <c r="B82" s="440"/>
      <c r="C82" s="469"/>
      <c r="D82" s="592" t="str">
        <f>"Project Costs - Option 5: "&amp;+'User Input'!E20</f>
        <v xml:space="preserve">Project Costs - Option 5: </v>
      </c>
      <c r="E82" s="592"/>
      <c r="F82" s="592"/>
      <c r="G82" s="592"/>
      <c r="H82" s="469"/>
      <c r="I82" s="469"/>
      <c r="J82" s="469"/>
      <c r="K82" s="469"/>
      <c r="L82" s="441"/>
    </row>
    <row r="83" spans="2:12" ht="9" customHeight="1" x14ac:dyDescent="0.2">
      <c r="B83" s="440"/>
      <c r="C83" s="469"/>
      <c r="D83" s="469"/>
      <c r="E83" s="469"/>
      <c r="F83" s="469"/>
      <c r="G83" s="469"/>
      <c r="H83" s="469"/>
      <c r="I83" s="469"/>
      <c r="J83" s="469"/>
      <c r="K83" s="469"/>
      <c r="L83" s="441"/>
    </row>
    <row r="84" spans="2:12" ht="18.75" customHeight="1" x14ac:dyDescent="0.2">
      <c r="B84" s="440"/>
      <c r="C84" s="469"/>
      <c r="D84" s="672" t="s">
        <v>265</v>
      </c>
      <c r="E84" s="710" t="s">
        <v>266</v>
      </c>
      <c r="F84" s="710"/>
      <c r="G84" s="679" t="s">
        <v>297</v>
      </c>
      <c r="H84" s="469"/>
      <c r="I84" s="469"/>
      <c r="J84" s="469"/>
      <c r="K84" s="469"/>
      <c r="L84" s="441"/>
    </row>
    <row r="85" spans="2:12" ht="18.75" customHeight="1" x14ac:dyDescent="0.2">
      <c r="B85" s="440"/>
      <c r="C85" s="469"/>
      <c r="D85" s="669" t="s">
        <v>267</v>
      </c>
      <c r="E85" s="705"/>
      <c r="F85" s="705"/>
      <c r="G85" s="671">
        <f>'Present Value'!E134*1000</f>
        <v>0</v>
      </c>
      <c r="H85" s="469"/>
      <c r="I85" s="469"/>
      <c r="J85" s="469"/>
      <c r="K85" s="469"/>
      <c r="L85" s="441"/>
    </row>
    <row r="86" spans="2:12" ht="18.75" customHeight="1" x14ac:dyDescent="0.2">
      <c r="B86" s="440"/>
      <c r="C86" s="469"/>
      <c r="D86" s="669" t="s">
        <v>268</v>
      </c>
      <c r="E86" s="705"/>
      <c r="F86" s="705"/>
      <c r="G86" s="671">
        <f>'Present Value'!E135*1000</f>
        <v>0</v>
      </c>
      <c r="H86" s="469"/>
      <c r="I86" s="469"/>
      <c r="J86" s="469"/>
      <c r="K86" s="469"/>
      <c r="L86" s="441"/>
    </row>
    <row r="87" spans="2:12" ht="18.75" customHeight="1" x14ac:dyDescent="0.2">
      <c r="B87" s="440"/>
      <c r="C87" s="469"/>
      <c r="D87" s="669" t="s">
        <v>270</v>
      </c>
      <c r="E87" s="705" t="str">
        <f>TEXT('User Input'!F176,"0.00")&amp;" (minutes per annum)"</f>
        <v>0.00 (minutes per annum)</v>
      </c>
      <c r="F87" s="705"/>
      <c r="G87" s="671">
        <f>'Present Value'!E138*1000</f>
        <v>0</v>
      </c>
      <c r="H87" s="469"/>
      <c r="I87" s="469"/>
      <c r="J87" s="469"/>
      <c r="K87" s="469"/>
      <c r="L87" s="441"/>
    </row>
    <row r="88" spans="2:12" ht="18.75" customHeight="1" x14ac:dyDescent="0.2">
      <c r="B88" s="440"/>
      <c r="C88" s="469"/>
      <c r="D88" s="669" t="s">
        <v>276</v>
      </c>
      <c r="E88" s="705" t="str">
        <f>TEXT('User Input'!F175,"0.000")&amp;" (Interuptions per annum)"</f>
        <v>0.000 (Interuptions per annum)</v>
      </c>
      <c r="F88" s="705"/>
      <c r="G88" s="671">
        <f>'Present Value'!E137*1000</f>
        <v>0</v>
      </c>
      <c r="H88" s="469"/>
      <c r="I88" s="469"/>
      <c r="J88" s="469"/>
      <c r="K88" s="469"/>
      <c r="L88" s="441"/>
    </row>
    <row r="89" spans="2:12" ht="18.75" customHeight="1" x14ac:dyDescent="0.2">
      <c r="B89" s="440"/>
      <c r="C89" s="469"/>
      <c r="D89" s="669" t="s">
        <v>277</v>
      </c>
      <c r="E89" s="705" t="str">
        <f>TEXT('User Input'!F177,"0.000")&amp;" (Interuptions per annum)"</f>
        <v>0.000 (Interuptions per annum)</v>
      </c>
      <c r="F89" s="705"/>
      <c r="G89" s="671">
        <f>'Present Value'!E139*1000</f>
        <v>0</v>
      </c>
      <c r="H89" s="469"/>
      <c r="I89" s="469"/>
      <c r="J89" s="469"/>
      <c r="K89" s="469"/>
      <c r="L89" s="441"/>
    </row>
    <row r="90" spans="2:12" ht="18.75" customHeight="1" x14ac:dyDescent="0.2">
      <c r="B90" s="440"/>
      <c r="C90" s="469"/>
      <c r="D90" s="669" t="s">
        <v>271</v>
      </c>
      <c r="E90" s="705" t="str">
        <f>TEXT('Administrator Input'!$F$49*1000,"$#,##0")&amp;" per min"</f>
        <v>$56,500 per min</v>
      </c>
      <c r="F90" s="705"/>
      <c r="G90" s="671">
        <f>'Present Value'!E141*1000</f>
        <v>0</v>
      </c>
      <c r="H90" s="469"/>
      <c r="I90" s="469"/>
      <c r="J90" s="469"/>
      <c r="K90" s="469"/>
      <c r="L90" s="441"/>
    </row>
    <row r="91" spans="2:12" ht="18.75" customHeight="1" x14ac:dyDescent="0.2">
      <c r="B91" s="440"/>
      <c r="C91" s="469"/>
      <c r="D91" s="669" t="s">
        <v>296</v>
      </c>
      <c r="E91" s="706" t="s">
        <v>298</v>
      </c>
      <c r="F91" s="707"/>
      <c r="G91" s="671">
        <f>'Present Value'!E142*1000</f>
        <v>0</v>
      </c>
      <c r="H91" s="469"/>
      <c r="I91" s="469"/>
      <c r="J91" s="469"/>
      <c r="K91" s="469"/>
      <c r="L91" s="441"/>
    </row>
    <row r="92" spans="2:12" ht="18.75" customHeight="1" x14ac:dyDescent="0.2">
      <c r="B92" s="440"/>
      <c r="C92" s="469"/>
      <c r="D92" s="669" t="s">
        <v>271</v>
      </c>
      <c r="E92" s="708"/>
      <c r="F92" s="709"/>
      <c r="G92" s="671">
        <f>SUM('Present Value'!E143:E147)*1000</f>
        <v>0</v>
      </c>
      <c r="H92" s="469"/>
      <c r="I92" s="469"/>
      <c r="J92" s="469"/>
      <c r="K92" s="469"/>
      <c r="L92" s="441"/>
    </row>
    <row r="93" spans="2:12" ht="18.75" customHeight="1" x14ac:dyDescent="0.2">
      <c r="B93" s="440"/>
      <c r="C93" s="469"/>
      <c r="D93" s="669" t="s">
        <v>263</v>
      </c>
      <c r="E93" s="705"/>
      <c r="F93" s="705"/>
      <c r="G93" s="671">
        <f>SUM('Present Value'!E148:E152)*1000</f>
        <v>0</v>
      </c>
      <c r="H93" s="469"/>
      <c r="I93" s="469"/>
      <c r="J93" s="469"/>
      <c r="K93" s="469"/>
      <c r="L93" s="441"/>
    </row>
    <row r="94" spans="2:12" ht="15" x14ac:dyDescent="0.2"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</row>
    <row r="95" spans="2:12" ht="15" x14ac:dyDescent="0.2">
      <c r="B95" s="440"/>
      <c r="C95" s="469"/>
      <c r="D95" s="469"/>
      <c r="E95" s="469"/>
      <c r="F95" s="469"/>
      <c r="G95" s="469"/>
      <c r="H95" s="469"/>
      <c r="I95" s="469"/>
      <c r="J95" s="469"/>
      <c r="K95" s="469"/>
      <c r="L95" s="441"/>
    </row>
    <row r="96" spans="2:12" ht="15" x14ac:dyDescent="0.2">
      <c r="B96" s="440"/>
      <c r="C96" s="469"/>
      <c r="D96" s="469"/>
      <c r="E96" s="469"/>
      <c r="F96" s="469"/>
      <c r="G96" s="469"/>
      <c r="H96" s="469"/>
      <c r="I96" s="469"/>
      <c r="J96" s="469"/>
      <c r="K96" s="469"/>
      <c r="L96" s="441"/>
    </row>
    <row r="97" spans="2:12" ht="15" x14ac:dyDescent="0.2">
      <c r="B97" s="440"/>
      <c r="C97" s="469"/>
      <c r="D97" s="469"/>
      <c r="E97" s="469"/>
      <c r="F97" s="469"/>
      <c r="G97" s="469"/>
      <c r="H97" s="469"/>
      <c r="I97" s="469"/>
      <c r="J97" s="469"/>
      <c r="K97" s="469"/>
      <c r="L97" s="441"/>
    </row>
    <row r="98" spans="2:12" ht="15" x14ac:dyDescent="0.2">
      <c r="B98" s="440"/>
      <c r="C98" s="469"/>
      <c r="D98" s="469"/>
      <c r="E98" s="469"/>
      <c r="F98" s="469"/>
      <c r="G98" s="469"/>
      <c r="H98" s="469"/>
      <c r="I98" s="469"/>
      <c r="J98" s="469"/>
      <c r="K98" s="469"/>
      <c r="L98" s="441"/>
    </row>
    <row r="99" spans="2:12" ht="15" x14ac:dyDescent="0.2"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</row>
    <row r="100" spans="2:12" ht="15" x14ac:dyDescent="0.2">
      <c r="B100" s="440"/>
      <c r="C100" s="469"/>
      <c r="D100" s="469"/>
      <c r="E100" s="469"/>
      <c r="F100" s="469"/>
      <c r="G100" s="469"/>
      <c r="H100" s="469"/>
      <c r="I100" s="469"/>
      <c r="J100" s="469"/>
      <c r="K100" s="469"/>
      <c r="L100" s="441"/>
    </row>
    <row r="101" spans="2:12" ht="15" x14ac:dyDescent="0.2">
      <c r="B101" s="440"/>
      <c r="C101" s="469"/>
      <c r="D101" s="469"/>
      <c r="E101" s="469"/>
      <c r="F101" s="469"/>
      <c r="G101" s="469"/>
      <c r="H101" s="469"/>
      <c r="I101" s="469"/>
      <c r="J101" s="469"/>
      <c r="K101" s="469"/>
      <c r="L101" s="441"/>
    </row>
    <row r="102" spans="2:12" ht="15" x14ac:dyDescent="0.2">
      <c r="B102" s="440"/>
      <c r="C102" s="469"/>
      <c r="D102" s="469"/>
      <c r="E102" s="469"/>
      <c r="F102" s="469"/>
      <c r="G102" s="469"/>
      <c r="H102" s="469"/>
      <c r="I102" s="469"/>
      <c r="J102" s="469"/>
      <c r="K102" s="469"/>
      <c r="L102" s="441"/>
    </row>
    <row r="103" spans="2:12" ht="15" x14ac:dyDescent="0.2">
      <c r="B103" s="440"/>
      <c r="C103" s="469"/>
      <c r="D103" s="469"/>
      <c r="E103" s="469"/>
      <c r="F103" s="469"/>
      <c r="G103" s="469"/>
      <c r="H103" s="469"/>
      <c r="I103" s="469"/>
      <c r="J103" s="469"/>
      <c r="K103" s="469"/>
      <c r="L103" s="441"/>
    </row>
    <row r="104" spans="2:12" ht="15" x14ac:dyDescent="0.2"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</row>
    <row r="105" spans="2:12" ht="15" x14ac:dyDescent="0.2">
      <c r="B105" s="440"/>
      <c r="C105" s="469"/>
      <c r="D105" s="469"/>
      <c r="E105" s="469"/>
      <c r="F105" s="469"/>
      <c r="G105" s="469"/>
      <c r="H105" s="469"/>
      <c r="I105" s="469"/>
      <c r="J105" s="469"/>
      <c r="K105" s="469"/>
      <c r="L105" s="441"/>
    </row>
    <row r="106" spans="2:12" ht="15" x14ac:dyDescent="0.2"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</row>
    <row r="107" spans="2:12" ht="15" x14ac:dyDescent="0.2">
      <c r="B107" s="440"/>
      <c r="C107" s="469"/>
      <c r="D107" s="469"/>
      <c r="E107" s="469"/>
      <c r="F107" s="469"/>
      <c r="G107" s="469"/>
      <c r="H107" s="469"/>
      <c r="I107" s="469"/>
      <c r="J107" s="469"/>
      <c r="K107" s="469"/>
      <c r="L107" s="441"/>
    </row>
    <row r="108" spans="2:12" ht="15" x14ac:dyDescent="0.2">
      <c r="B108" s="440"/>
      <c r="C108" s="469"/>
      <c r="D108" s="469"/>
      <c r="E108" s="469"/>
      <c r="F108" s="469"/>
      <c r="G108" s="469"/>
      <c r="H108" s="469"/>
      <c r="I108" s="469"/>
      <c r="J108" s="469"/>
      <c r="K108" s="469"/>
      <c r="L108" s="441"/>
    </row>
    <row r="109" spans="2:12" ht="15" x14ac:dyDescent="0.2">
      <c r="B109" s="440"/>
      <c r="C109" s="469"/>
      <c r="D109" s="469"/>
      <c r="E109" s="469"/>
      <c r="F109" s="469"/>
      <c r="G109" s="469"/>
      <c r="H109" s="469"/>
      <c r="I109" s="469"/>
      <c r="J109" s="469"/>
      <c r="K109" s="469"/>
      <c r="L109" s="441"/>
    </row>
    <row r="110" spans="2:12" ht="15" x14ac:dyDescent="0.2">
      <c r="B110" s="440"/>
      <c r="C110" s="469"/>
      <c r="D110" s="469"/>
      <c r="E110" s="469"/>
      <c r="F110" s="469"/>
      <c r="G110" s="469"/>
      <c r="H110" s="469"/>
      <c r="I110" s="469"/>
      <c r="J110" s="469"/>
      <c r="K110" s="469"/>
      <c r="L110" s="441"/>
    </row>
    <row r="111" spans="2:12" ht="15" x14ac:dyDescent="0.2"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</row>
    <row r="112" spans="2:12" ht="15" x14ac:dyDescent="0.2">
      <c r="B112" s="440"/>
      <c r="C112" s="469"/>
      <c r="D112" s="469"/>
      <c r="E112" s="469"/>
      <c r="F112" s="469"/>
      <c r="G112" s="469"/>
      <c r="H112" s="469"/>
      <c r="I112" s="469"/>
      <c r="J112" s="469"/>
      <c r="K112" s="469"/>
      <c r="L112" s="441"/>
    </row>
    <row r="113" spans="2:12" ht="15" x14ac:dyDescent="0.2">
      <c r="B113" s="440"/>
      <c r="C113" s="469"/>
      <c r="D113" s="469"/>
      <c r="E113" s="469"/>
      <c r="F113" s="469"/>
      <c r="G113" s="469"/>
      <c r="H113" s="469"/>
      <c r="I113" s="469"/>
      <c r="J113" s="469"/>
      <c r="K113" s="469"/>
      <c r="L113" s="441"/>
    </row>
    <row r="114" spans="2:12" ht="15" x14ac:dyDescent="0.2">
      <c r="B114" s="440"/>
      <c r="C114" s="469"/>
      <c r="D114" s="469"/>
      <c r="E114" s="469"/>
      <c r="F114" s="469"/>
      <c r="G114" s="469"/>
      <c r="H114" s="469"/>
      <c r="I114" s="469"/>
      <c r="J114" s="469"/>
      <c r="K114" s="469"/>
      <c r="L114" s="441"/>
    </row>
    <row r="115" spans="2:12" ht="15" x14ac:dyDescent="0.2">
      <c r="B115" s="440"/>
      <c r="C115" s="469"/>
      <c r="D115" s="469"/>
      <c r="E115" s="469"/>
      <c r="F115" s="469"/>
      <c r="G115" s="469"/>
      <c r="H115" s="469"/>
      <c r="I115" s="469"/>
      <c r="J115" s="469"/>
      <c r="K115" s="469"/>
      <c r="L115" s="441"/>
    </row>
    <row r="116" spans="2:12" ht="15" x14ac:dyDescent="0.2"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</row>
    <row r="117" spans="2:12" ht="15" x14ac:dyDescent="0.2"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</row>
    <row r="118" spans="2:12" ht="15" x14ac:dyDescent="0.2">
      <c r="B118" s="440"/>
      <c r="C118" s="469"/>
      <c r="D118" s="469"/>
      <c r="E118" s="469"/>
      <c r="F118" s="469"/>
      <c r="G118" s="469"/>
      <c r="H118" s="469"/>
      <c r="I118" s="469"/>
      <c r="J118" s="469"/>
      <c r="K118" s="469"/>
      <c r="L118" s="441"/>
    </row>
    <row r="119" spans="2:12" ht="15" x14ac:dyDescent="0.2"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</row>
    <row r="120" spans="2:12" ht="15" x14ac:dyDescent="0.2">
      <c r="B120" s="440"/>
      <c r="C120" s="469"/>
      <c r="D120" s="469"/>
      <c r="E120" s="469"/>
      <c r="F120" s="469"/>
      <c r="G120" s="469"/>
      <c r="H120" s="469"/>
      <c r="I120" s="469"/>
      <c r="J120" s="469"/>
      <c r="K120" s="469"/>
      <c r="L120" s="441"/>
    </row>
    <row r="121" spans="2:12" ht="15" x14ac:dyDescent="0.2"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</row>
    <row r="122" spans="2:12" ht="15" x14ac:dyDescent="0.2">
      <c r="B122" s="440"/>
      <c r="C122" s="469"/>
      <c r="D122" s="469"/>
      <c r="E122" s="469"/>
      <c r="F122" s="469"/>
      <c r="G122" s="469"/>
      <c r="H122" s="469"/>
      <c r="I122" s="469"/>
      <c r="J122" s="469"/>
      <c r="K122" s="469"/>
      <c r="L122" s="441"/>
    </row>
    <row r="123" spans="2:12" ht="15" x14ac:dyDescent="0.2">
      <c r="B123" s="440"/>
      <c r="C123" s="469"/>
      <c r="D123" s="469"/>
      <c r="E123" s="469"/>
      <c r="F123" s="469"/>
      <c r="G123" s="469"/>
      <c r="H123" s="469"/>
      <c r="I123" s="469"/>
      <c r="J123" s="469"/>
      <c r="K123" s="469"/>
      <c r="L123" s="441"/>
    </row>
    <row r="124" spans="2:12" ht="15" x14ac:dyDescent="0.2"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</row>
    <row r="125" spans="2:12" ht="15.75" thickBot="1" x14ac:dyDescent="0.25">
      <c r="B125" s="665"/>
      <c r="C125" s="666"/>
      <c r="D125" s="666"/>
      <c r="E125" s="666"/>
      <c r="F125" s="666"/>
      <c r="G125" s="666"/>
      <c r="H125" s="666"/>
      <c r="I125" s="666"/>
      <c r="J125" s="666"/>
      <c r="K125" s="666"/>
      <c r="L125" s="667"/>
    </row>
  </sheetData>
  <mergeCells count="60">
    <mergeCell ref="E88:F88"/>
    <mergeCell ref="E89:F89"/>
    <mergeCell ref="E32:F32"/>
    <mergeCell ref="E19:F19"/>
    <mergeCell ref="E20:F20"/>
    <mergeCell ref="E21:F21"/>
    <mergeCell ref="E22:F22"/>
    <mergeCell ref="E25:F25"/>
    <mergeCell ref="E23:F23"/>
    <mergeCell ref="E24:F24"/>
    <mergeCell ref="E60:F60"/>
    <mergeCell ref="E33:F33"/>
    <mergeCell ref="E34:F34"/>
    <mergeCell ref="E35:F35"/>
    <mergeCell ref="E38:F38"/>
    <mergeCell ref="E45:F45"/>
    <mergeCell ref="E75:F75"/>
    <mergeCell ref="E76:F76"/>
    <mergeCell ref="E59:F59"/>
    <mergeCell ref="E36:F36"/>
    <mergeCell ref="E37:F37"/>
    <mergeCell ref="E49:F49"/>
    <mergeCell ref="E50:F50"/>
    <mergeCell ref="E46:F46"/>
    <mergeCell ref="E47:F47"/>
    <mergeCell ref="E48:F48"/>
    <mergeCell ref="E51:F51"/>
    <mergeCell ref="E58:F58"/>
    <mergeCell ref="E41:F41"/>
    <mergeCell ref="E52:F52"/>
    <mergeCell ref="E53:F53"/>
    <mergeCell ref="E54:F54"/>
    <mergeCell ref="E61:F61"/>
    <mergeCell ref="E64:F64"/>
    <mergeCell ref="E71:F71"/>
    <mergeCell ref="E72:F72"/>
    <mergeCell ref="E73:F73"/>
    <mergeCell ref="E62:F62"/>
    <mergeCell ref="E63:F63"/>
    <mergeCell ref="E27:F27"/>
    <mergeCell ref="E28:F28"/>
    <mergeCell ref="E26:F26"/>
    <mergeCell ref="E39:F39"/>
    <mergeCell ref="E40:F40"/>
    <mergeCell ref="E80:F80"/>
    <mergeCell ref="E91:F91"/>
    <mergeCell ref="E92:F92"/>
    <mergeCell ref="E93:F93"/>
    <mergeCell ref="E65:F65"/>
    <mergeCell ref="E66:F66"/>
    <mergeCell ref="E67:F67"/>
    <mergeCell ref="E78:F78"/>
    <mergeCell ref="E79:F79"/>
    <mergeCell ref="E90:F90"/>
    <mergeCell ref="E74:F74"/>
    <mergeCell ref="E77:F77"/>
    <mergeCell ref="E84:F84"/>
    <mergeCell ref="E85:F85"/>
    <mergeCell ref="E86:F86"/>
    <mergeCell ref="E87:F87"/>
  </mergeCells>
  <pageMargins left="0.70866141732283472" right="0.70866141732283472" top="0.74803149606299213" bottom="0.74803149606299213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Menu</vt:lpstr>
      <vt:lpstr>User Input</vt:lpstr>
      <vt:lpstr>Failure over time</vt:lpstr>
      <vt:lpstr>Calculations</vt:lpstr>
      <vt:lpstr>Calc (Sensitivities)</vt:lpstr>
      <vt:lpstr>Calculations (RIT-D)</vt:lpstr>
      <vt:lpstr>Graph Data</vt:lpstr>
      <vt:lpstr>Output</vt:lpstr>
      <vt:lpstr>Business Case Output</vt:lpstr>
      <vt:lpstr>Present Value</vt:lpstr>
      <vt:lpstr>Version Control</vt:lpstr>
      <vt:lpstr>Administrator Input</vt:lpstr>
      <vt:lpstr>BEST_CASE_SCENARIO</vt:lpstr>
      <vt:lpstr>'Business Case Output'!Print_Area</vt:lpstr>
      <vt:lpstr>'Calc (Sensitivities)'!Print_Area</vt:lpstr>
      <vt:lpstr>Calculations!Print_Area</vt:lpstr>
      <vt:lpstr>'Calculations (RIT-D)'!Print_Area</vt:lpstr>
      <vt:lpstr>Output!Print_Area</vt:lpstr>
      <vt:lpstr>'User Input'!Print_Area</vt:lpstr>
      <vt:lpstr>RegCategories</vt:lpstr>
      <vt:lpstr>Version_number</vt:lpstr>
      <vt:lpstr>WORST_CASE_SCENARIO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Evaluation Template</dc:title>
  <dc:creator>Glasson, Shaun</dc:creator>
  <cp:lastModifiedBy>Volf, David</cp:lastModifiedBy>
  <cp:lastPrinted>2015-01-06T03:40:15Z</cp:lastPrinted>
  <dcterms:created xsi:type="dcterms:W3CDTF">2000-11-09T00:46:39Z</dcterms:created>
  <dcterms:modified xsi:type="dcterms:W3CDTF">2016-01-04T00:05:52Z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Jemena Electricty Networks</vt:lpwstr>
  </property>
  <property fmtid="{D5CDD505-2E9C-101B-9397-08002B2CF9AE}" pid="3" name="Purpose">
    <vt:lpwstr>Life cycle investment costing</vt:lpwstr>
  </property>
</Properties>
</file>