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Regulation\02. UED\02.23. 2016 EDPR\02.23.30 REVISED REGULATORY PROPOSAL\RRP Models for Submission\"/>
    </mc:Choice>
  </mc:AlternateContent>
  <bookViews>
    <workbookView xWindow="0" yWindow="0" windowWidth="25200" windowHeight="11388"/>
  </bookViews>
  <sheets>
    <sheet name="Opex summary" sheetId="1" r:id="rId1"/>
    <sheet name="Rate of change" sheetId="2" r:id="rId2"/>
  </sheets>
  <externalReferences>
    <externalReference r:id="rId3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8" i="1" l="1"/>
  <c r="N14" i="1"/>
  <c r="O14" i="1"/>
  <c r="P14" i="1"/>
  <c r="Q14" i="1"/>
  <c r="R14" i="1"/>
  <c r="N16" i="1"/>
  <c r="O16" i="1"/>
  <c r="P16" i="1"/>
  <c r="Q16" i="1"/>
  <c r="R16" i="1"/>
  <c r="N17" i="1"/>
  <c r="O17" i="1"/>
  <c r="P17" i="1"/>
  <c r="Q17" i="1"/>
  <c r="R17" i="1"/>
  <c r="O10" i="1"/>
  <c r="P10" i="1" s="1"/>
  <c r="Q10" i="1" s="1"/>
  <c r="R10" i="1" s="1"/>
  <c r="S14" i="1" l="1"/>
  <c r="S16" i="1"/>
  <c r="S17" i="1"/>
  <c r="I54" i="1"/>
  <c r="E72" i="1"/>
  <c r="F72" i="1"/>
  <c r="G72" i="1"/>
  <c r="H72" i="1"/>
  <c r="D72" i="1"/>
  <c r="D73" i="1"/>
  <c r="E73" i="1"/>
  <c r="I34" i="1"/>
  <c r="F73" i="1"/>
  <c r="I30" i="1"/>
  <c r="G73" i="1"/>
  <c r="G18" i="2"/>
  <c r="F18" i="2"/>
  <c r="E18" i="2"/>
  <c r="D18" i="2"/>
  <c r="C18" i="2"/>
  <c r="D6" i="2"/>
  <c r="E6" i="2"/>
  <c r="F6" i="2"/>
  <c r="G6" i="2"/>
  <c r="C6" i="2"/>
  <c r="H73" i="1"/>
  <c r="I66" i="1"/>
  <c r="E54" i="1"/>
  <c r="F54" i="1"/>
  <c r="G54" i="1"/>
  <c r="H54" i="1"/>
  <c r="D54" i="1"/>
  <c r="I55" i="1"/>
  <c r="I63" i="1"/>
  <c r="I64" i="1"/>
  <c r="C17" i="1"/>
  <c r="I62" i="1" s="1"/>
  <c r="H14" i="1"/>
  <c r="I9" i="1"/>
  <c r="I12" i="1"/>
  <c r="I13" i="1"/>
  <c r="I26" i="1"/>
  <c r="I27" i="1"/>
  <c r="I28" i="1"/>
  <c r="I29" i="1"/>
  <c r="I31" i="1"/>
  <c r="I33" i="1"/>
  <c r="I36" i="1"/>
  <c r="I37" i="1"/>
  <c r="I38" i="1"/>
  <c r="I39" i="1"/>
  <c r="I40" i="1"/>
  <c r="I41" i="1"/>
  <c r="I42" i="1"/>
  <c r="I43" i="1"/>
  <c r="I44" i="1"/>
  <c r="I45" i="1"/>
  <c r="I25" i="1"/>
  <c r="D20" i="2"/>
  <c r="E20" i="2"/>
  <c r="F20" i="2"/>
  <c r="G20" i="2"/>
  <c r="C20" i="2"/>
  <c r="D14" i="2"/>
  <c r="E14" i="2"/>
  <c r="F14" i="2"/>
  <c r="G14" i="2"/>
  <c r="D15" i="2"/>
  <c r="E15" i="2"/>
  <c r="F15" i="2"/>
  <c r="G15" i="2"/>
  <c r="D16" i="2"/>
  <c r="E16" i="2"/>
  <c r="F16" i="2"/>
  <c r="G16" i="2"/>
  <c r="C15" i="2"/>
  <c r="C16" i="2"/>
  <c r="C14" i="2"/>
  <c r="E1" i="2"/>
  <c r="F1" i="2"/>
  <c r="G1" i="2"/>
  <c r="D1" i="2"/>
  <c r="C9" i="1"/>
  <c r="C11" i="1"/>
  <c r="D50" i="1"/>
  <c r="D51" i="1"/>
  <c r="E50" i="1"/>
  <c r="H50" i="1"/>
  <c r="G50" i="1"/>
  <c r="F50" i="1"/>
  <c r="F46" i="1"/>
  <c r="P15" i="1" s="1"/>
  <c r="G46" i="1"/>
  <c r="Q15" i="1" s="1"/>
  <c r="I14" i="1"/>
  <c r="C13" i="1"/>
  <c r="C15" i="1"/>
  <c r="D46" i="1"/>
  <c r="N15" i="1" s="1"/>
  <c r="H46" i="1"/>
  <c r="R15" i="1" s="1"/>
  <c r="I32" i="1"/>
  <c r="I35" i="1"/>
  <c r="E46" i="1"/>
  <c r="O15" i="1" s="1"/>
  <c r="E51" i="1"/>
  <c r="F51" i="1"/>
  <c r="G51" i="1"/>
  <c r="H51" i="1"/>
  <c r="C19" i="1" l="1"/>
  <c r="S15" i="1"/>
  <c r="I46" i="1"/>
  <c r="I65" i="1" s="1"/>
  <c r="F21" i="1" l="1"/>
  <c r="G21" i="1"/>
  <c r="E21" i="1"/>
  <c r="H21" i="1"/>
  <c r="D21" i="1"/>
  <c r="R11" i="1" l="1"/>
  <c r="H48" i="1"/>
  <c r="O11" i="1"/>
  <c r="E48" i="1"/>
  <c r="G48" i="1"/>
  <c r="Q11" i="1"/>
  <c r="N11" i="1"/>
  <c r="D48" i="1"/>
  <c r="F48" i="1"/>
  <c r="P11" i="1"/>
  <c r="D52" i="1" l="1"/>
  <c r="D75" i="1"/>
  <c r="I48" i="1"/>
  <c r="G52" i="1"/>
  <c r="G75" i="1"/>
  <c r="Q13" i="1" s="1"/>
  <c r="S11" i="1"/>
  <c r="H75" i="1"/>
  <c r="R13" i="1" s="1"/>
  <c r="H52" i="1"/>
  <c r="F75" i="1"/>
  <c r="F52" i="1"/>
  <c r="E75" i="1"/>
  <c r="O13" i="1" s="1"/>
  <c r="E52" i="1"/>
  <c r="G76" i="1" l="1"/>
  <c r="G57" i="1"/>
  <c r="F57" i="1"/>
  <c r="F76" i="1"/>
  <c r="P12" i="1" s="1"/>
  <c r="E76" i="1"/>
  <c r="E57" i="1"/>
  <c r="P13" i="1"/>
  <c r="F77" i="1"/>
  <c r="N13" i="1"/>
  <c r="I75" i="1"/>
  <c r="H77" i="1"/>
  <c r="H57" i="1"/>
  <c r="H76" i="1"/>
  <c r="R12" i="1" s="1"/>
  <c r="D76" i="1"/>
  <c r="I52" i="1"/>
  <c r="I57" i="1" s="1"/>
  <c r="I60" i="1" s="1"/>
  <c r="I67" i="1" s="1"/>
  <c r="I68" i="1" s="1"/>
  <c r="D57" i="1"/>
  <c r="P19" i="1" l="1"/>
  <c r="N12" i="1"/>
  <c r="I76" i="1"/>
  <c r="D77" i="1"/>
  <c r="R19" i="1"/>
  <c r="S13" i="1"/>
  <c r="O12" i="1"/>
  <c r="E77" i="1"/>
  <c r="Q12" i="1"/>
  <c r="G77" i="1"/>
  <c r="Q19" i="1" l="1"/>
  <c r="S12" i="1"/>
  <c r="S19" i="1" s="1"/>
  <c r="N19" i="1"/>
  <c r="O19" i="1"/>
  <c r="I77" i="1"/>
</calcChain>
</file>

<file path=xl/sharedStrings.xml><?xml version="1.0" encoding="utf-8"?>
<sst xmlns="http://schemas.openxmlformats.org/spreadsheetml/2006/main" count="85" uniqueCount="72">
  <si>
    <t>Total opex</t>
  </si>
  <si>
    <t>Remove debt raising costs</t>
  </si>
  <si>
    <t>Remove movement in provisions</t>
  </si>
  <si>
    <t>Remove DMIA expenditure</t>
  </si>
  <si>
    <t>Remove GSL payments</t>
  </si>
  <si>
    <t>Remove scrapping of assets</t>
  </si>
  <si>
    <t>Remove licence fee (credit)</t>
  </si>
  <si>
    <t>Step changes</t>
  </si>
  <si>
    <t>Plus AMI transfer</t>
  </si>
  <si>
    <t>WPI</t>
  </si>
  <si>
    <t>Labour weight</t>
  </si>
  <si>
    <t>Price change</t>
  </si>
  <si>
    <t>Customer numbers</t>
  </si>
  <si>
    <t>Circuit Length</t>
  </si>
  <si>
    <t>Ratcheted Maximum Demand</t>
  </si>
  <si>
    <t>Weights</t>
  </si>
  <si>
    <t>Overall rate of change</t>
  </si>
  <si>
    <t>Regulatory Information Notice reporting</t>
  </si>
  <si>
    <t>Energy Safe Victoria safety obligations</t>
  </si>
  <si>
    <t>Energy Safe Victoria rule changes</t>
  </si>
  <si>
    <t>Effortless Customer Experience Program</t>
  </si>
  <si>
    <t>Stakeholder engagement</t>
  </si>
  <si>
    <t>Council trees</t>
  </si>
  <si>
    <t>Customer charter</t>
  </si>
  <si>
    <t>Regulatory submission cost</t>
  </si>
  <si>
    <t>Neutral Testing</t>
  </si>
  <si>
    <t>Network Planning and Analytics - IT Capital Program</t>
  </si>
  <si>
    <t xml:space="preserve">Guideline 11 EWOV Direction </t>
  </si>
  <si>
    <t>IT security costs</t>
  </si>
  <si>
    <t>Insurance premiums</t>
  </si>
  <si>
    <t xml:space="preserve">Pole top inspection </t>
  </si>
  <si>
    <t>New pricing obligations</t>
  </si>
  <si>
    <t>National Energy Customer Framework (NECF)</t>
  </si>
  <si>
    <t>Power of Choice - Metering Competition</t>
  </si>
  <si>
    <t>Power of Choice - Customer Access to Data</t>
  </si>
  <si>
    <t>Power of Choice - Embedded Network</t>
  </si>
  <si>
    <t>Power of Choice - Demand Management IT Platform</t>
  </si>
  <si>
    <t>Power of Choice - Network (Chapter 5 and Chapter 5A - Embedded Generation Connection, including Solar)</t>
  </si>
  <si>
    <t>Total</t>
  </si>
  <si>
    <t>Total step changes</t>
  </si>
  <si>
    <t>GSL's</t>
  </si>
  <si>
    <t>Convert to 2015</t>
  </si>
  <si>
    <t>real 10</t>
  </si>
  <si>
    <t>Real 15</t>
  </si>
  <si>
    <t>2014 to 2015 allowance</t>
  </si>
  <si>
    <t>Calculated 2015</t>
  </si>
  <si>
    <t>Revised base</t>
  </si>
  <si>
    <t>Rate of change</t>
  </si>
  <si>
    <t>DMIA</t>
  </si>
  <si>
    <t>Opex</t>
  </si>
  <si>
    <t>GSL</t>
  </si>
  <si>
    <t>Total opex (excl debt raising)</t>
  </si>
  <si>
    <t>Roundings</t>
  </si>
  <si>
    <t>Licence fee</t>
  </si>
  <si>
    <t>net zero when you include EBSS</t>
  </si>
  <si>
    <t>AMI</t>
  </si>
  <si>
    <t>Diff to AER PD</t>
  </si>
  <si>
    <t>Opex pre rate of change</t>
  </si>
  <si>
    <t>Rate of Change Index</t>
  </si>
  <si>
    <t>Rate of change by category</t>
  </si>
  <si>
    <t>Price change index</t>
  </si>
  <si>
    <t>Price change amount</t>
  </si>
  <si>
    <t>Output growth amount</t>
  </si>
  <si>
    <t>Output growth</t>
  </si>
  <si>
    <t>price growth</t>
  </si>
  <si>
    <t>step changes</t>
  </si>
  <si>
    <t>GSLs</t>
  </si>
  <si>
    <t>DMIS</t>
  </si>
  <si>
    <t>Debt Raising Costs</t>
  </si>
  <si>
    <t>Adjusted Base Year</t>
  </si>
  <si>
    <t>Price growth</t>
  </si>
  <si>
    <t>Productivity growth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</si>
</sst>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0.0000"/>
    <numFmt numFmtId="165" formatCode="_-* #,##0_-;\-* #,##0_-;_-* &quot;-&quot;??_-;_-@_-"/>
    <numFmt numFmtId="166" formatCode="_-* #,##0.0_-;\-* #,##0.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AEEF3"/>
        <bgColor indexed="64"/>
      </patternFill>
    </fill>
    <fill>
      <patternFill patternType="solid">
        <fgColor rgb="FFFFFF99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1">
    <xf numFmtId="0" fontId="0" fillId="0" borderId="0" xfId="0"/>
    <xf numFmtId="164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left" indent="1"/>
      <protection locked="0"/>
    </xf>
    <xf numFmtId="164" fontId="0" fillId="0" borderId="0" xfId="0" applyNumberFormat="1"/>
    <xf numFmtId="49" fontId="3" fillId="2" borderId="1" xfId="0" applyNumberFormat="1" applyFont="1" applyFill="1" applyBorder="1" applyAlignment="1" applyProtection="1">
      <protection locked="0"/>
    </xf>
    <xf numFmtId="49" fontId="3" fillId="2" borderId="0" xfId="0" applyNumberFormat="1" applyFont="1" applyFill="1" applyBorder="1" applyAlignment="1" applyProtection="1">
      <protection locked="0"/>
    </xf>
    <xf numFmtId="9" fontId="0" fillId="0" borderId="0" xfId="2" applyFont="1"/>
    <xf numFmtId="10" fontId="0" fillId="0" borderId="0" xfId="2" applyNumberFormat="1" applyFont="1"/>
    <xf numFmtId="43" fontId="0" fillId="0" borderId="0" xfId="1" applyFont="1"/>
    <xf numFmtId="165" fontId="0" fillId="0" borderId="0" xfId="1" applyNumberFormat="1" applyFont="1"/>
    <xf numFmtId="0" fontId="2" fillId="0" borderId="0" xfId="0" applyFont="1"/>
    <xf numFmtId="0" fontId="2" fillId="0" borderId="0" xfId="0" applyFont="1" applyAlignment="1">
      <alignment horizontal="center"/>
    </xf>
    <xf numFmtId="43" fontId="2" fillId="0" borderId="0" xfId="1" applyFont="1"/>
    <xf numFmtId="17" fontId="0" fillId="0" borderId="0" xfId="0" applyNumberFormat="1"/>
    <xf numFmtId="43" fontId="0" fillId="0" borderId="0" xfId="0" applyNumberFormat="1"/>
    <xf numFmtId="0" fontId="4" fillId="0" borderId="0" xfId="0" applyFont="1"/>
    <xf numFmtId="43" fontId="0" fillId="0" borderId="0" xfId="1" applyNumberFormat="1" applyFont="1"/>
    <xf numFmtId="43" fontId="2" fillId="0" borderId="0" xfId="1" applyNumberFormat="1" applyFont="1"/>
    <xf numFmtId="10" fontId="0" fillId="0" borderId="0" xfId="0" applyNumberFormat="1"/>
    <xf numFmtId="166" fontId="0" fillId="0" borderId="0" xfId="1" applyNumberFormat="1" applyFont="1"/>
    <xf numFmtId="166" fontId="0" fillId="3" borderId="0" xfId="1" applyNumberFormat="1" applyFont="1" applyFill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United%20Energy%20-%20Metering%20opex%20-%20RR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pex RRP"/>
    </sheetNames>
    <sheetDataSet>
      <sheetData sheetId="0">
        <row r="41">
          <cell r="B41">
            <v>12384679.63650687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S81"/>
  <sheetViews>
    <sheetView tabSelected="1" topLeftCell="A43" workbookViewId="0">
      <selection activeCell="L74" sqref="L74"/>
    </sheetView>
  </sheetViews>
  <sheetFormatPr defaultRowHeight="14.4" x14ac:dyDescent="0.3"/>
  <cols>
    <col min="1" max="1" width="37.88671875" customWidth="1"/>
    <col min="12" max="12" width="19.33203125" customWidth="1"/>
  </cols>
  <sheetData>
    <row r="3" spans="1:19" x14ac:dyDescent="0.3">
      <c r="A3" s="4" t="s">
        <v>0</v>
      </c>
      <c r="B3" s="1">
        <v>121.86770902049848</v>
      </c>
    </row>
    <row r="4" spans="1:19" x14ac:dyDescent="0.3">
      <c r="A4" s="4" t="s">
        <v>1</v>
      </c>
      <c r="B4" s="1">
        <v>0</v>
      </c>
    </row>
    <row r="5" spans="1:19" x14ac:dyDescent="0.3">
      <c r="A5" s="4" t="s">
        <v>2</v>
      </c>
      <c r="B5" s="1">
        <v>-0.76013699999999995</v>
      </c>
    </row>
    <row r="6" spans="1:19" x14ac:dyDescent="0.3">
      <c r="A6" s="4" t="s">
        <v>3</v>
      </c>
      <c r="B6" s="1">
        <v>-0.66200000000000003</v>
      </c>
    </row>
    <row r="7" spans="1:19" x14ac:dyDescent="0.3">
      <c r="A7" s="4" t="s">
        <v>4</v>
      </c>
      <c r="B7" s="1">
        <v>-1.123877</v>
      </c>
      <c r="G7" s="13"/>
      <c r="H7" s="13">
        <v>40057</v>
      </c>
      <c r="I7">
        <v>93.8</v>
      </c>
    </row>
    <row r="8" spans="1:19" x14ac:dyDescent="0.3">
      <c r="A8" s="4" t="s">
        <v>5</v>
      </c>
      <c r="B8" s="1">
        <v>0</v>
      </c>
      <c r="G8" s="13"/>
      <c r="H8" s="13">
        <v>41883</v>
      </c>
      <c r="I8">
        <v>106.4</v>
      </c>
    </row>
    <row r="9" spans="1:19" x14ac:dyDescent="0.3">
      <c r="A9" s="4" t="s">
        <v>6</v>
      </c>
      <c r="B9" s="2">
        <v>0.86499899999999996</v>
      </c>
      <c r="C9" s="3">
        <f>SUM(B3:B9)</f>
        <v>120.18669402049848</v>
      </c>
      <c r="I9">
        <f>I8/I7</f>
        <v>1.1343283582089554</v>
      </c>
    </row>
    <row r="10" spans="1:19" x14ac:dyDescent="0.3">
      <c r="N10" s="10">
        <v>2016</v>
      </c>
      <c r="O10" s="10">
        <f t="shared" ref="O10:R10" si="0">N10+1</f>
        <v>2017</v>
      </c>
      <c r="P10" s="10">
        <f t="shared" si="0"/>
        <v>2018</v>
      </c>
      <c r="Q10" s="10">
        <f t="shared" si="0"/>
        <v>2019</v>
      </c>
      <c r="R10" s="10">
        <f t="shared" si="0"/>
        <v>2020</v>
      </c>
      <c r="S10" s="10" t="s">
        <v>38</v>
      </c>
    </row>
    <row r="11" spans="1:19" x14ac:dyDescent="0.3">
      <c r="A11" s="5" t="s">
        <v>41</v>
      </c>
      <c r="B11">
        <v>1.0337650051524583</v>
      </c>
      <c r="C11">
        <f>B11*C9</f>
        <v>124.24479836335753</v>
      </c>
      <c r="H11" t="s">
        <v>42</v>
      </c>
      <c r="I11" t="s">
        <v>43</v>
      </c>
      <c r="L11" t="s">
        <v>69</v>
      </c>
      <c r="N11" s="19">
        <f t="shared" ref="N11" si="1">SUMIF($B$21:$B$76,$L11,D$21:D$76)</f>
        <v>138.31307056850034</v>
      </c>
      <c r="O11" s="19">
        <f t="shared" ref="O11" si="2">SUMIF($B$21:$B$76,$L11,E$21:E$76)</f>
        <v>138.31307056850034</v>
      </c>
      <c r="P11" s="19">
        <f t="shared" ref="P11" si="3">SUMIF($B$21:$B$76,$L11,F$21:F$76)</f>
        <v>138.31307056850034</v>
      </c>
      <c r="Q11" s="19">
        <f t="shared" ref="Q11" si="4">SUMIF($B$21:$B$76,$L11,G$21:G$76)</f>
        <v>138.31307056850034</v>
      </c>
      <c r="R11" s="19">
        <f t="shared" ref="R11" si="5">SUMIF($B$21:$B$76,$L11,H$21:H$76)</f>
        <v>138.31307056850034</v>
      </c>
      <c r="S11" s="19">
        <f t="shared" ref="S11:S18" si="6">SUM(N11:R11)</f>
        <v>691.56535284250162</v>
      </c>
    </row>
    <row r="12" spans="1:19" x14ac:dyDescent="0.3">
      <c r="G12">
        <v>2014</v>
      </c>
      <c r="H12">
        <v>111.5042115499664</v>
      </c>
      <c r="I12">
        <f>H12*I9</f>
        <v>126.48238922085743</v>
      </c>
      <c r="L12" t="s">
        <v>63</v>
      </c>
      <c r="N12" s="19">
        <f t="shared" ref="N12:R17" si="7">SUMIF($B$21:$B$76,$L12,D$21:D$76)</f>
        <v>1.1070798664487995</v>
      </c>
      <c r="O12" s="19">
        <f t="shared" si="7"/>
        <v>2.1408067974825542</v>
      </c>
      <c r="P12" s="19">
        <f t="shared" si="7"/>
        <v>3.3733410646712798</v>
      </c>
      <c r="Q12" s="19">
        <f t="shared" si="7"/>
        <v>4.4397774555071692</v>
      </c>
      <c r="R12" s="19">
        <f t="shared" si="7"/>
        <v>5.5126371806466352</v>
      </c>
      <c r="S12" s="19">
        <f t="shared" si="6"/>
        <v>16.573642364756438</v>
      </c>
    </row>
    <row r="13" spans="1:19" x14ac:dyDescent="0.3">
      <c r="A13" s="5" t="s">
        <v>44</v>
      </c>
      <c r="C13">
        <f>I14</f>
        <v>1.6835925686359445</v>
      </c>
      <c r="G13">
        <v>2015</v>
      </c>
      <c r="H13">
        <v>112.98843131442177</v>
      </c>
      <c r="I13">
        <f>H13*I9</f>
        <v>128.16598178949337</v>
      </c>
      <c r="L13" t="s">
        <v>70</v>
      </c>
      <c r="N13" s="19">
        <f t="shared" si="7"/>
        <v>0.32408982398033004</v>
      </c>
      <c r="O13" s="19">
        <f t="shared" si="7"/>
        <v>1.0510980943681432</v>
      </c>
      <c r="P13" s="19">
        <f t="shared" si="7"/>
        <v>2.2465034668002204</v>
      </c>
      <c r="Q13" s="19">
        <f t="shared" si="7"/>
        <v>3.6261464353788426</v>
      </c>
      <c r="R13" s="19">
        <f t="shared" si="7"/>
        <v>4.931692738514073</v>
      </c>
      <c r="S13" s="19">
        <f t="shared" si="6"/>
        <v>12.179530559041609</v>
      </c>
    </row>
    <row r="14" spans="1:19" x14ac:dyDescent="0.3">
      <c r="H14">
        <f>H13-H12</f>
        <v>1.484219764455375</v>
      </c>
      <c r="I14">
        <f>I13-I12</f>
        <v>1.6835925686359445</v>
      </c>
      <c r="L14" t="s">
        <v>71</v>
      </c>
      <c r="N14" s="19">
        <f t="shared" si="7"/>
        <v>0</v>
      </c>
      <c r="O14" s="19">
        <f t="shared" si="7"/>
        <v>0</v>
      </c>
      <c r="P14" s="19">
        <f t="shared" si="7"/>
        <v>0</v>
      </c>
      <c r="Q14" s="19">
        <f t="shared" si="7"/>
        <v>0</v>
      </c>
      <c r="R14" s="19">
        <f t="shared" si="7"/>
        <v>0</v>
      </c>
      <c r="S14" s="19">
        <f t="shared" si="6"/>
        <v>0</v>
      </c>
    </row>
    <row r="15" spans="1:19" x14ac:dyDescent="0.3">
      <c r="A15" t="s">
        <v>45</v>
      </c>
      <c r="C15">
        <f>C13+C11</f>
        <v>125.92839093199348</v>
      </c>
      <c r="L15" t="s">
        <v>7</v>
      </c>
      <c r="N15" s="19">
        <f t="shared" si="7"/>
        <v>5.8220000000000001</v>
      </c>
      <c r="O15" s="19">
        <f t="shared" si="7"/>
        <v>6.992</v>
      </c>
      <c r="P15" s="19">
        <f t="shared" si="7"/>
        <v>9.2420000000000009</v>
      </c>
      <c r="Q15" s="19">
        <f t="shared" si="7"/>
        <v>9.4620000000000015</v>
      </c>
      <c r="R15" s="19">
        <f t="shared" si="7"/>
        <v>10.102000000000002</v>
      </c>
      <c r="S15" s="19">
        <f t="shared" si="6"/>
        <v>41.620000000000005</v>
      </c>
    </row>
    <row r="16" spans="1:19" x14ac:dyDescent="0.3">
      <c r="L16" t="s">
        <v>66</v>
      </c>
      <c r="N16" s="19">
        <f t="shared" si="7"/>
        <v>1.405427</v>
      </c>
      <c r="O16" s="19">
        <f t="shared" si="7"/>
        <v>1.405427</v>
      </c>
      <c r="P16" s="19">
        <f t="shared" si="7"/>
        <v>1.405427</v>
      </c>
      <c r="Q16" s="19">
        <f t="shared" si="7"/>
        <v>1.405427</v>
      </c>
      <c r="R16" s="19">
        <f t="shared" si="7"/>
        <v>1.405427</v>
      </c>
      <c r="S16" s="19">
        <f t="shared" si="6"/>
        <v>7.0271349999999995</v>
      </c>
    </row>
    <row r="17" spans="1:19" x14ac:dyDescent="0.3">
      <c r="A17" s="5" t="s">
        <v>8</v>
      </c>
      <c r="C17">
        <f>'[1]Opex RRP'!$B$41/1000000</f>
        <v>12.384679636506871</v>
      </c>
      <c r="L17" t="s">
        <v>67</v>
      </c>
      <c r="N17" s="19">
        <f t="shared" si="7"/>
        <v>2.3530000000000002</v>
      </c>
      <c r="O17" s="19">
        <f t="shared" si="7"/>
        <v>1.2929999999999999</v>
      </c>
      <c r="P17" s="19">
        <f t="shared" si="7"/>
        <v>1.135</v>
      </c>
      <c r="Q17" s="19">
        <f t="shared" si="7"/>
        <v>1.069</v>
      </c>
      <c r="R17" s="19">
        <f t="shared" si="7"/>
        <v>0.76200000000000001</v>
      </c>
      <c r="S17" s="19">
        <f t="shared" si="6"/>
        <v>6.6120000000000001</v>
      </c>
    </row>
    <row r="18" spans="1:19" x14ac:dyDescent="0.3">
      <c r="L18" t="s">
        <v>68</v>
      </c>
      <c r="N18" s="20">
        <v>1</v>
      </c>
      <c r="O18" s="20">
        <v>1.1399999999999999</v>
      </c>
      <c r="P18" s="20">
        <v>1.24</v>
      </c>
      <c r="Q18" s="20">
        <v>1.2</v>
      </c>
      <c r="R18" s="20">
        <v>1.2</v>
      </c>
      <c r="S18" s="19">
        <f t="shared" si="6"/>
        <v>5.78</v>
      </c>
    </row>
    <row r="19" spans="1:19" x14ac:dyDescent="0.3">
      <c r="A19" t="s">
        <v>46</v>
      </c>
      <c r="C19">
        <f>SUM(C15:C18)</f>
        <v>138.31307056850034</v>
      </c>
      <c r="L19" t="s">
        <v>38</v>
      </c>
      <c r="N19" s="19">
        <f t="shared" ref="N19:S19" si="8">SUM(N11:N18)</f>
        <v>150.32466725892948</v>
      </c>
      <c r="O19" s="19">
        <f t="shared" si="8"/>
        <v>152.33540246035102</v>
      </c>
      <c r="P19" s="19">
        <f t="shared" si="8"/>
        <v>156.95534209997183</v>
      </c>
      <c r="Q19" s="19">
        <f t="shared" si="8"/>
        <v>159.51542145938632</v>
      </c>
      <c r="R19" s="19">
        <f t="shared" si="8"/>
        <v>162.22682748766104</v>
      </c>
      <c r="S19" s="19">
        <f t="shared" si="8"/>
        <v>781.35766076629966</v>
      </c>
    </row>
    <row r="21" spans="1:19" x14ac:dyDescent="0.3">
      <c r="B21" t="s">
        <v>69</v>
      </c>
      <c r="D21">
        <f>$C$19</f>
        <v>138.31307056850034</v>
      </c>
      <c r="E21">
        <f t="shared" ref="E21:H21" si="9">$C$19</f>
        <v>138.31307056850034</v>
      </c>
      <c r="F21">
        <f t="shared" si="9"/>
        <v>138.31307056850034</v>
      </c>
      <c r="G21">
        <f t="shared" si="9"/>
        <v>138.31307056850034</v>
      </c>
      <c r="H21">
        <f t="shared" si="9"/>
        <v>138.31307056850034</v>
      </c>
    </row>
    <row r="23" spans="1:19" x14ac:dyDescent="0.3">
      <c r="A23" s="10" t="s">
        <v>7</v>
      </c>
      <c r="D23" s="11">
        <v>2016</v>
      </c>
      <c r="E23" s="11">
        <v>2017</v>
      </c>
      <c r="F23" s="11">
        <v>2018</v>
      </c>
      <c r="G23" s="11">
        <v>2019</v>
      </c>
      <c r="H23" s="11">
        <v>2020</v>
      </c>
      <c r="I23" s="11" t="s">
        <v>38</v>
      </c>
    </row>
    <row r="25" spans="1:19" x14ac:dyDescent="0.3">
      <c r="A25" t="s">
        <v>33</v>
      </c>
      <c r="D25" s="16">
        <v>0</v>
      </c>
      <c r="E25" s="16">
        <v>0.2</v>
      </c>
      <c r="F25" s="16">
        <v>1.5</v>
      </c>
      <c r="G25" s="16">
        <v>1.6</v>
      </c>
      <c r="H25" s="16">
        <v>1.6</v>
      </c>
      <c r="I25" s="16">
        <f>SUM(D25:H25)</f>
        <v>4.9000000000000004</v>
      </c>
    </row>
    <row r="26" spans="1:19" x14ac:dyDescent="0.3">
      <c r="A26" t="s">
        <v>34</v>
      </c>
      <c r="D26" s="16">
        <v>0.35</v>
      </c>
      <c r="E26" s="16">
        <v>0.35</v>
      </c>
      <c r="F26" s="16">
        <v>0.35</v>
      </c>
      <c r="G26" s="16">
        <v>0.35</v>
      </c>
      <c r="H26" s="16">
        <v>0.35</v>
      </c>
      <c r="I26" s="16">
        <f t="shared" ref="I26:I45" si="10">SUM(D26:H26)</f>
        <v>1.75</v>
      </c>
    </row>
    <row r="27" spans="1:19" x14ac:dyDescent="0.3">
      <c r="A27" t="s">
        <v>35</v>
      </c>
      <c r="D27" s="16">
        <v>0</v>
      </c>
      <c r="E27" s="16">
        <v>0</v>
      </c>
      <c r="F27" s="16">
        <v>0</v>
      </c>
      <c r="G27" s="16">
        <v>0</v>
      </c>
      <c r="H27" s="16">
        <v>0</v>
      </c>
      <c r="I27" s="16">
        <f t="shared" si="10"/>
        <v>0</v>
      </c>
    </row>
    <row r="28" spans="1:19" x14ac:dyDescent="0.3">
      <c r="A28" t="s">
        <v>36</v>
      </c>
      <c r="D28" s="16">
        <v>0</v>
      </c>
      <c r="E28" s="16">
        <v>0</v>
      </c>
      <c r="F28" s="16">
        <v>0</v>
      </c>
      <c r="G28" s="16">
        <v>0.8</v>
      </c>
      <c r="H28" s="16">
        <v>0.8</v>
      </c>
      <c r="I28" s="16">
        <f t="shared" si="10"/>
        <v>1.6</v>
      </c>
    </row>
    <row r="29" spans="1:19" x14ac:dyDescent="0.3">
      <c r="A29" t="s">
        <v>37</v>
      </c>
      <c r="D29" s="16">
        <v>0</v>
      </c>
      <c r="E29" s="16">
        <v>0</v>
      </c>
      <c r="F29" s="16">
        <v>0</v>
      </c>
      <c r="G29" s="16">
        <v>0</v>
      </c>
      <c r="H29" s="16">
        <v>0</v>
      </c>
      <c r="I29" s="16">
        <f t="shared" si="10"/>
        <v>0</v>
      </c>
    </row>
    <row r="30" spans="1:19" x14ac:dyDescent="0.3">
      <c r="A30" t="s">
        <v>17</v>
      </c>
      <c r="D30" s="16">
        <v>0.2</v>
      </c>
      <c r="E30" s="16">
        <v>1.3</v>
      </c>
      <c r="F30" s="16">
        <v>1.7</v>
      </c>
      <c r="G30" s="16">
        <v>0.7</v>
      </c>
      <c r="H30" s="16">
        <v>0.7</v>
      </c>
      <c r="I30" s="16">
        <f>SUM(D30:H30)</f>
        <v>4.6000000000000005</v>
      </c>
      <c r="J30" s="15"/>
    </row>
    <row r="31" spans="1:19" x14ac:dyDescent="0.3">
      <c r="A31" t="s">
        <v>18</v>
      </c>
      <c r="D31" s="16">
        <v>0</v>
      </c>
      <c r="E31" s="16">
        <v>0</v>
      </c>
      <c r="F31" s="16">
        <v>0</v>
      </c>
      <c r="G31" s="16">
        <v>0</v>
      </c>
      <c r="H31" s="16">
        <v>0</v>
      </c>
      <c r="I31" s="16">
        <f t="shared" si="10"/>
        <v>0</v>
      </c>
    </row>
    <row r="32" spans="1:19" x14ac:dyDescent="0.3">
      <c r="A32" t="s">
        <v>19</v>
      </c>
      <c r="D32" s="16">
        <v>2.3319999999999999</v>
      </c>
      <c r="E32" s="16">
        <v>2.3319999999999999</v>
      </c>
      <c r="F32" s="16">
        <v>2.3319999999999999</v>
      </c>
      <c r="G32" s="16">
        <v>2.3319999999999999</v>
      </c>
      <c r="H32" s="16">
        <v>2.3319999999999999</v>
      </c>
      <c r="I32" s="16">
        <f t="shared" si="10"/>
        <v>11.66</v>
      </c>
    </row>
    <row r="33" spans="1:12" x14ac:dyDescent="0.3">
      <c r="A33" t="s">
        <v>20</v>
      </c>
      <c r="D33" s="16">
        <v>0</v>
      </c>
      <c r="E33" s="16">
        <v>0</v>
      </c>
      <c r="F33" s="16">
        <v>0</v>
      </c>
      <c r="G33" s="16">
        <v>0</v>
      </c>
      <c r="H33" s="16">
        <v>0</v>
      </c>
      <c r="I33" s="16">
        <f t="shared" si="10"/>
        <v>0</v>
      </c>
    </row>
    <row r="34" spans="1:12" x14ac:dyDescent="0.3">
      <c r="A34" t="s">
        <v>21</v>
      </c>
      <c r="D34" s="16">
        <v>0.26</v>
      </c>
      <c r="E34" s="16">
        <v>0.26</v>
      </c>
      <c r="F34" s="16">
        <v>0.26</v>
      </c>
      <c r="G34" s="16">
        <v>0.26</v>
      </c>
      <c r="H34" s="16">
        <v>0.26</v>
      </c>
      <c r="I34" s="16">
        <f>SUM(D34:H34)</f>
        <v>1.3</v>
      </c>
      <c r="J34" s="16"/>
      <c r="K34" s="16"/>
    </row>
    <row r="35" spans="1:12" x14ac:dyDescent="0.3">
      <c r="A35" t="s">
        <v>22</v>
      </c>
      <c r="D35" s="16">
        <v>0</v>
      </c>
      <c r="E35" s="16">
        <v>0</v>
      </c>
      <c r="F35" s="16">
        <v>0</v>
      </c>
      <c r="G35" s="16">
        <v>0</v>
      </c>
      <c r="H35" s="16">
        <v>0</v>
      </c>
      <c r="I35" s="16">
        <f t="shared" si="10"/>
        <v>0</v>
      </c>
    </row>
    <row r="36" spans="1:12" x14ac:dyDescent="0.3">
      <c r="A36" t="s">
        <v>23</v>
      </c>
      <c r="D36" s="16">
        <v>0</v>
      </c>
      <c r="E36" s="16">
        <v>0</v>
      </c>
      <c r="F36" s="16">
        <v>0</v>
      </c>
      <c r="G36" s="16">
        <v>0</v>
      </c>
      <c r="H36" s="16">
        <v>0</v>
      </c>
      <c r="I36" s="16">
        <f t="shared" si="10"/>
        <v>0</v>
      </c>
    </row>
    <row r="37" spans="1:12" x14ac:dyDescent="0.3">
      <c r="A37" t="s">
        <v>24</v>
      </c>
      <c r="D37" s="16">
        <v>0</v>
      </c>
      <c r="E37" s="16">
        <v>0</v>
      </c>
      <c r="F37" s="16">
        <v>0</v>
      </c>
      <c r="G37" s="16">
        <v>0</v>
      </c>
      <c r="H37" s="16">
        <v>0</v>
      </c>
      <c r="I37" s="16">
        <f t="shared" si="10"/>
        <v>0</v>
      </c>
    </row>
    <row r="38" spans="1:12" x14ac:dyDescent="0.3">
      <c r="A38" t="s">
        <v>25</v>
      </c>
      <c r="D38" s="16">
        <v>0</v>
      </c>
      <c r="E38" s="16">
        <v>0.56999999999999995</v>
      </c>
      <c r="F38" s="16">
        <v>0.56999999999999995</v>
      </c>
      <c r="G38" s="16">
        <v>0.56999999999999995</v>
      </c>
      <c r="H38" s="16">
        <v>0.56999999999999995</v>
      </c>
      <c r="I38" s="16">
        <f t="shared" si="10"/>
        <v>2.2799999999999998</v>
      </c>
    </row>
    <row r="39" spans="1:12" x14ac:dyDescent="0.3">
      <c r="A39" t="s">
        <v>26</v>
      </c>
      <c r="D39" s="16">
        <v>0</v>
      </c>
      <c r="E39" s="16">
        <v>0</v>
      </c>
      <c r="F39" s="16">
        <v>0.8</v>
      </c>
      <c r="G39" s="16">
        <v>1.2</v>
      </c>
      <c r="H39" s="16">
        <v>2.1</v>
      </c>
      <c r="I39" s="16">
        <f t="shared" si="10"/>
        <v>4.0999999999999996</v>
      </c>
    </row>
    <row r="40" spans="1:12" x14ac:dyDescent="0.3">
      <c r="A40" t="s">
        <v>27</v>
      </c>
      <c r="D40" s="16">
        <v>0</v>
      </c>
      <c r="E40" s="16">
        <v>0</v>
      </c>
      <c r="F40" s="16">
        <v>0</v>
      </c>
      <c r="G40" s="16">
        <v>0</v>
      </c>
      <c r="H40" s="16">
        <v>0</v>
      </c>
      <c r="I40" s="16">
        <f t="shared" si="10"/>
        <v>0</v>
      </c>
    </row>
    <row r="41" spans="1:12" x14ac:dyDescent="0.3">
      <c r="A41" t="s">
        <v>28</v>
      </c>
      <c r="D41" s="16">
        <v>0.7</v>
      </c>
      <c r="E41" s="16">
        <v>0.8</v>
      </c>
      <c r="F41" s="16">
        <v>0.8</v>
      </c>
      <c r="G41" s="16">
        <v>0.8</v>
      </c>
      <c r="H41" s="16">
        <v>0.8</v>
      </c>
      <c r="I41" s="16">
        <f t="shared" si="10"/>
        <v>3.8999999999999995</v>
      </c>
    </row>
    <row r="42" spans="1:12" x14ac:dyDescent="0.3">
      <c r="A42" t="s">
        <v>29</v>
      </c>
      <c r="D42" s="16">
        <v>0</v>
      </c>
      <c r="E42" s="16">
        <v>0</v>
      </c>
      <c r="F42" s="16">
        <v>0</v>
      </c>
      <c r="G42" s="16">
        <v>0</v>
      </c>
      <c r="H42" s="16">
        <v>0</v>
      </c>
      <c r="I42" s="16">
        <f t="shared" si="10"/>
        <v>0</v>
      </c>
    </row>
    <row r="43" spans="1:12" x14ac:dyDescent="0.3">
      <c r="A43" t="s">
        <v>30</v>
      </c>
      <c r="D43" s="16">
        <v>0.56000000000000005</v>
      </c>
      <c r="E43" s="16">
        <v>0.57999999999999996</v>
      </c>
      <c r="F43" s="16">
        <v>0.55000000000000004</v>
      </c>
      <c r="G43" s="16">
        <v>0.47</v>
      </c>
      <c r="H43" s="16">
        <v>0.21</v>
      </c>
      <c r="I43" s="16">
        <f t="shared" si="10"/>
        <v>2.37</v>
      </c>
    </row>
    <row r="44" spans="1:12" x14ac:dyDescent="0.3">
      <c r="A44" t="s">
        <v>31</v>
      </c>
      <c r="D44" s="16">
        <v>1.23</v>
      </c>
      <c r="E44" s="16">
        <v>0.47</v>
      </c>
      <c r="F44" s="16">
        <v>0.25</v>
      </c>
      <c r="G44" s="16">
        <v>0.25</v>
      </c>
      <c r="H44" s="16">
        <v>0.25</v>
      </c>
      <c r="I44" s="16">
        <f t="shared" si="10"/>
        <v>2.4500000000000002</v>
      </c>
    </row>
    <row r="45" spans="1:12" x14ac:dyDescent="0.3">
      <c r="A45" t="s">
        <v>32</v>
      </c>
      <c r="D45" s="16">
        <v>0.19</v>
      </c>
      <c r="E45" s="16">
        <v>0.13</v>
      </c>
      <c r="F45" s="16">
        <v>0.13</v>
      </c>
      <c r="G45" s="16">
        <v>0.13</v>
      </c>
      <c r="H45" s="16">
        <v>0.13</v>
      </c>
      <c r="I45" s="16">
        <f t="shared" si="10"/>
        <v>0.71000000000000008</v>
      </c>
    </row>
    <row r="46" spans="1:12" s="10" customFormat="1" x14ac:dyDescent="0.3">
      <c r="A46" s="10" t="s">
        <v>39</v>
      </c>
      <c r="B46" s="10" t="s">
        <v>65</v>
      </c>
      <c r="D46" s="17">
        <f t="shared" ref="D46:I46" si="11">SUM(D25:D45)</f>
        <v>5.8220000000000001</v>
      </c>
      <c r="E46" s="17">
        <f t="shared" si="11"/>
        <v>6.992</v>
      </c>
      <c r="F46" s="17">
        <f t="shared" si="11"/>
        <v>9.2420000000000009</v>
      </c>
      <c r="G46" s="17">
        <f t="shared" si="11"/>
        <v>9.4620000000000015</v>
      </c>
      <c r="H46" s="17">
        <f t="shared" si="11"/>
        <v>10.102000000000002</v>
      </c>
      <c r="I46" s="17">
        <f t="shared" si="11"/>
        <v>41.620000000000005</v>
      </c>
    </row>
    <row r="47" spans="1:12" x14ac:dyDescent="0.3">
      <c r="D47" s="16"/>
      <c r="E47" s="16"/>
      <c r="F47" s="16"/>
      <c r="G47" s="16"/>
      <c r="H47" s="16"/>
      <c r="I47" s="16"/>
    </row>
    <row r="48" spans="1:12" x14ac:dyDescent="0.3">
      <c r="A48" s="10" t="s">
        <v>57</v>
      </c>
      <c r="D48" s="17">
        <f>D46+D21</f>
        <v>144.13507056850034</v>
      </c>
      <c r="E48" s="17">
        <f t="shared" ref="E48:H48" si="12">E46+E21</f>
        <v>145.30507056850033</v>
      </c>
      <c r="F48" s="17">
        <f t="shared" si="12"/>
        <v>147.55507056850033</v>
      </c>
      <c r="G48" s="17">
        <f t="shared" si="12"/>
        <v>147.77507056850033</v>
      </c>
      <c r="H48" s="17">
        <f t="shared" si="12"/>
        <v>148.41507056850034</v>
      </c>
      <c r="I48" s="17">
        <f>SUM(D48:H48)</f>
        <v>733.18535284250174</v>
      </c>
      <c r="L48" s="14"/>
    </row>
    <row r="49" spans="1:10" x14ac:dyDescent="0.3">
      <c r="D49" s="8"/>
      <c r="E49" s="8"/>
      <c r="F49" s="8"/>
      <c r="G49" s="8"/>
      <c r="H49" s="8"/>
      <c r="I49" s="8"/>
    </row>
    <row r="50" spans="1:10" x14ac:dyDescent="0.3">
      <c r="A50" s="10" t="s">
        <v>47</v>
      </c>
      <c r="D50" s="7">
        <f>'Rate of change'!C20</f>
        <v>9.9293647603202473E-3</v>
      </c>
      <c r="E50" s="7">
        <f>'Rate of change'!D20</f>
        <v>1.1919205316322623E-2</v>
      </c>
      <c r="F50" s="7">
        <f>'Rate of change'!E20</f>
        <v>1.5773016152111241E-2</v>
      </c>
      <c r="G50" s="7">
        <f>'Rate of change'!F20</f>
        <v>1.5890795311186645E-2</v>
      </c>
      <c r="H50" s="7">
        <f>'Rate of change'!G20</f>
        <v>1.4972746278442362E-2</v>
      </c>
      <c r="I50" s="7"/>
    </row>
    <row r="51" spans="1:10" x14ac:dyDescent="0.3">
      <c r="A51" t="s">
        <v>58</v>
      </c>
      <c r="C51">
        <v>1</v>
      </c>
      <c r="D51" s="8">
        <f t="shared" ref="D51:H51" si="13">C51*(1+D50)</f>
        <v>1.0099293647603202</v>
      </c>
      <c r="E51" s="8">
        <f t="shared" si="13"/>
        <v>1.0219669202138817</v>
      </c>
      <c r="F51" s="8">
        <f t="shared" si="13"/>
        <v>1.0380864209533387</v>
      </c>
      <c r="G51" s="8">
        <f t="shared" si="13"/>
        <v>1.0545824397840304</v>
      </c>
      <c r="H51" s="8">
        <f t="shared" si="13"/>
        <v>1.0703724350846175</v>
      </c>
      <c r="I51" s="8"/>
    </row>
    <row r="52" spans="1:10" x14ac:dyDescent="0.3">
      <c r="A52" t="s">
        <v>49</v>
      </c>
      <c r="D52" s="8">
        <f t="shared" ref="D52:H52" si="14">D48*D51</f>
        <v>145.56624025892947</v>
      </c>
      <c r="E52" s="8">
        <f t="shared" si="14"/>
        <v>148.49697546035102</v>
      </c>
      <c r="F52" s="8">
        <f t="shared" si="14"/>
        <v>153.17491509997183</v>
      </c>
      <c r="G52" s="8">
        <f t="shared" si="14"/>
        <v>155.84099445938634</v>
      </c>
      <c r="H52" s="8">
        <f t="shared" si="14"/>
        <v>158.85940048766105</v>
      </c>
      <c r="I52" s="8">
        <f>SUM(D52:H52)</f>
        <v>761.93852576629979</v>
      </c>
      <c r="J52" s="14"/>
    </row>
    <row r="53" spans="1:10" x14ac:dyDescent="0.3">
      <c r="D53" s="8"/>
      <c r="E53" s="8"/>
      <c r="F53" s="8"/>
      <c r="G53" s="8"/>
      <c r="H53" s="8"/>
      <c r="I53" s="8"/>
    </row>
    <row r="54" spans="1:10" x14ac:dyDescent="0.3">
      <c r="A54" t="s">
        <v>50</v>
      </c>
      <c r="B54" t="s">
        <v>66</v>
      </c>
      <c r="D54" s="8">
        <f>-B7+0.28155</f>
        <v>1.405427</v>
      </c>
      <c r="E54" s="8">
        <f>D54</f>
        <v>1.405427</v>
      </c>
      <c r="F54" s="8">
        <f t="shared" ref="F54:H54" si="15">E54</f>
        <v>1.405427</v>
      </c>
      <c r="G54" s="8">
        <f t="shared" si="15"/>
        <v>1.405427</v>
      </c>
      <c r="H54" s="8">
        <f t="shared" si="15"/>
        <v>1.405427</v>
      </c>
      <c r="I54" s="8">
        <f>SUM(D54:H54)</f>
        <v>7.0271349999999995</v>
      </c>
    </row>
    <row r="55" spans="1:10" x14ac:dyDescent="0.3">
      <c r="A55" t="s">
        <v>48</v>
      </c>
      <c r="B55" t="s">
        <v>67</v>
      </c>
      <c r="D55" s="8">
        <v>2.3530000000000002</v>
      </c>
      <c r="E55" s="8">
        <v>1.2929999999999999</v>
      </c>
      <c r="F55" s="8">
        <v>1.135</v>
      </c>
      <c r="G55" s="8">
        <v>1.069</v>
      </c>
      <c r="H55" s="8">
        <v>0.76200000000000001</v>
      </c>
      <c r="I55" s="8">
        <f>SUM(D55:H55)</f>
        <v>6.6120000000000001</v>
      </c>
    </row>
    <row r="56" spans="1:10" x14ac:dyDescent="0.3">
      <c r="D56" s="8"/>
      <c r="E56" s="8"/>
      <c r="F56" s="8"/>
      <c r="G56" s="8"/>
      <c r="H56" s="8"/>
      <c r="I56" s="8"/>
    </row>
    <row r="57" spans="1:10" s="10" customFormat="1" x14ac:dyDescent="0.3">
      <c r="A57" s="10" t="s">
        <v>51</v>
      </c>
      <c r="D57" s="12">
        <f>SUM(D52:D56)</f>
        <v>149.32466725892948</v>
      </c>
      <c r="E57" s="12">
        <f t="shared" ref="E57:I57" si="16">SUM(E52:E56)</f>
        <v>151.19540246035103</v>
      </c>
      <c r="F57" s="12">
        <f t="shared" si="16"/>
        <v>155.71534209997182</v>
      </c>
      <c r="G57" s="12">
        <f t="shared" si="16"/>
        <v>158.31542145938633</v>
      </c>
      <c r="H57" s="12">
        <f t="shared" si="16"/>
        <v>161.02682748766105</v>
      </c>
      <c r="I57" s="12">
        <f t="shared" si="16"/>
        <v>775.5776607662998</v>
      </c>
    </row>
    <row r="60" spans="1:10" x14ac:dyDescent="0.3">
      <c r="F60" t="s">
        <v>56</v>
      </c>
      <c r="I60" s="14">
        <f>I57-659.54</f>
        <v>116.03766076629984</v>
      </c>
    </row>
    <row r="62" spans="1:10" x14ac:dyDescent="0.3">
      <c r="F62" t="s">
        <v>55</v>
      </c>
      <c r="I62" s="8">
        <f>C17*5</f>
        <v>61.923398182534356</v>
      </c>
    </row>
    <row r="63" spans="1:10" x14ac:dyDescent="0.3">
      <c r="F63" t="s">
        <v>48</v>
      </c>
      <c r="I63" s="8">
        <f>I55</f>
        <v>6.6120000000000001</v>
      </c>
    </row>
    <row r="64" spans="1:10" x14ac:dyDescent="0.3">
      <c r="F64" t="s">
        <v>40</v>
      </c>
      <c r="I64" s="8">
        <f>I54-(0.44*5)</f>
        <v>4.8271349999999993</v>
      </c>
    </row>
    <row r="65" spans="1:10" x14ac:dyDescent="0.3">
      <c r="F65" t="s">
        <v>7</v>
      </c>
      <c r="I65" s="8">
        <f>I46-2.37</f>
        <v>39.250000000000007</v>
      </c>
    </row>
    <row r="66" spans="1:10" x14ac:dyDescent="0.3">
      <c r="F66" t="s">
        <v>53</v>
      </c>
      <c r="I66" s="8">
        <f>B9*5</f>
        <v>4.3249949999999995</v>
      </c>
      <c r="J66" t="s">
        <v>54</v>
      </c>
    </row>
    <row r="67" spans="1:10" x14ac:dyDescent="0.3">
      <c r="F67" t="s">
        <v>52</v>
      </c>
      <c r="I67" s="8">
        <f>I60-I62-I63-I64-I65-I66</f>
        <v>-0.89986741623452637</v>
      </c>
    </row>
    <row r="68" spans="1:10" x14ac:dyDescent="0.3">
      <c r="I68" s="8">
        <f>SUM(I62:I67)</f>
        <v>116.03766076629982</v>
      </c>
    </row>
    <row r="70" spans="1:10" x14ac:dyDescent="0.3">
      <c r="A70" t="s">
        <v>59</v>
      </c>
    </row>
    <row r="72" spans="1:10" x14ac:dyDescent="0.3">
      <c r="A72" t="s">
        <v>11</v>
      </c>
      <c r="D72" s="18">
        <f>'Rate of change'!C6</f>
        <v>2.2485146932114111E-3</v>
      </c>
      <c r="E72" s="18">
        <f>'Rate of change'!D6</f>
        <v>4.9740341889183103E-3</v>
      </c>
      <c r="F72" s="18">
        <f>'Rate of change'!E6</f>
        <v>7.9337241188225747E-3</v>
      </c>
      <c r="G72" s="18">
        <f>'Rate of change'!F6</f>
        <v>9.1737657315528413E-3</v>
      </c>
      <c r="H72" s="18">
        <f>'Rate of change'!G6</f>
        <v>8.4826247272381354E-3</v>
      </c>
      <c r="I72" s="18"/>
    </row>
    <row r="73" spans="1:10" x14ac:dyDescent="0.3">
      <c r="A73" t="s">
        <v>60</v>
      </c>
      <c r="C73">
        <v>1</v>
      </c>
      <c r="D73" s="8">
        <f t="shared" ref="D73" si="17">C73*(1+D72)</f>
        <v>1.0022485146932114</v>
      </c>
      <c r="E73" s="8">
        <f t="shared" ref="E73" si="18">D73*(1+E72)</f>
        <v>1.0072337330710881</v>
      </c>
      <c r="F73" s="8">
        <f t="shared" ref="F73" si="19">E73*(1+F72)</f>
        <v>1.0152248476324459</v>
      </c>
      <c r="G73" s="8">
        <f t="shared" ref="G73" si="20">F73*(1+G72)</f>
        <v>1.0245382825494775</v>
      </c>
      <c r="H73" s="8">
        <f t="shared" ref="H73" si="21">G73*(1+H72)</f>
        <v>1.0332290563190338</v>
      </c>
    </row>
    <row r="74" spans="1:10" x14ac:dyDescent="0.3">
      <c r="D74" s="8"/>
      <c r="E74" s="8"/>
      <c r="F74" s="8"/>
      <c r="G74" s="8"/>
      <c r="H74" s="8"/>
    </row>
    <row r="75" spans="1:10" x14ac:dyDescent="0.3">
      <c r="A75" t="s">
        <v>61</v>
      </c>
      <c r="B75" t="s">
        <v>64</v>
      </c>
      <c r="D75" s="14">
        <f>D73*$D48-$D48</f>
        <v>0.32408982398033004</v>
      </c>
      <c r="E75" s="14">
        <f t="shared" ref="E75:H75" si="22">E73*E48-E48</f>
        <v>1.0510980943681432</v>
      </c>
      <c r="F75" s="14">
        <f t="shared" si="22"/>
        <v>2.2465034668002204</v>
      </c>
      <c r="G75" s="14">
        <f t="shared" si="22"/>
        <v>3.6261464353788426</v>
      </c>
      <c r="H75" s="14">
        <f t="shared" si="22"/>
        <v>4.931692738514073</v>
      </c>
      <c r="I75" s="14">
        <f>SUM(D75:H75)</f>
        <v>12.179530559041609</v>
      </c>
    </row>
    <row r="76" spans="1:10" x14ac:dyDescent="0.3">
      <c r="A76" t="s">
        <v>62</v>
      </c>
      <c r="B76" t="s">
        <v>63</v>
      </c>
      <c r="D76" s="14">
        <f>D52-D48-D75</f>
        <v>1.1070798664487995</v>
      </c>
      <c r="E76" s="14">
        <f t="shared" ref="E76:H76" si="23">E52-E48-E75</f>
        <v>2.1408067974825542</v>
      </c>
      <c r="F76" s="14">
        <f t="shared" si="23"/>
        <v>3.3733410646712798</v>
      </c>
      <c r="G76" s="14">
        <f t="shared" si="23"/>
        <v>4.4397774555071692</v>
      </c>
      <c r="H76" s="14">
        <f t="shared" si="23"/>
        <v>5.5126371806466352</v>
      </c>
      <c r="I76" s="14">
        <f t="shared" ref="I76:I77" si="24">SUM(D76:H76)</f>
        <v>16.573642364756438</v>
      </c>
    </row>
    <row r="77" spans="1:10" x14ac:dyDescent="0.3">
      <c r="D77" s="14">
        <f>SUM(D75:D76)</f>
        <v>1.4311696904291296</v>
      </c>
      <c r="E77" s="14">
        <f t="shared" ref="E77:H77" si="25">SUM(E75:E76)</f>
        <v>3.1919048918506974</v>
      </c>
      <c r="F77" s="14">
        <f t="shared" si="25"/>
        <v>5.6198445314715002</v>
      </c>
      <c r="G77" s="14">
        <f t="shared" si="25"/>
        <v>8.0659238908860118</v>
      </c>
      <c r="H77" s="14">
        <f t="shared" si="25"/>
        <v>10.444329919160708</v>
      </c>
      <c r="I77" s="14">
        <f t="shared" si="24"/>
        <v>28.753172923798047</v>
      </c>
    </row>
    <row r="79" spans="1:10" x14ac:dyDescent="0.3">
      <c r="D79" s="18"/>
      <c r="E79" s="18"/>
      <c r="F79" s="18"/>
      <c r="G79" s="18"/>
      <c r="H79" s="18"/>
    </row>
    <row r="80" spans="1:10" x14ac:dyDescent="0.3">
      <c r="D80" s="8"/>
      <c r="E80" s="8"/>
      <c r="F80" s="8"/>
      <c r="G80" s="8"/>
      <c r="H80" s="8"/>
    </row>
    <row r="81" spans="4:8" x14ac:dyDescent="0.3">
      <c r="D81" s="14"/>
      <c r="E81" s="14"/>
      <c r="F81" s="14"/>
      <c r="G81" s="14"/>
      <c r="H81" s="14"/>
    </row>
  </sheetData>
  <dataValidations count="1">
    <dataValidation type="list" allowBlank="1" showInputMessage="1" showErrorMessage="1" sqref="B21:B55 B75:B76">
      <formula1>$L$11:$L$18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workbookViewId="0">
      <selection activeCell="A36" sqref="A36"/>
    </sheetView>
  </sheetViews>
  <sheetFormatPr defaultRowHeight="14.4" x14ac:dyDescent="0.3"/>
  <cols>
    <col min="1" max="1" width="27.6640625" bestFit="1" customWidth="1"/>
    <col min="2" max="7" width="9.6640625" customWidth="1"/>
  </cols>
  <sheetData>
    <row r="1" spans="1:7" x14ac:dyDescent="0.3">
      <c r="B1">
        <v>2015</v>
      </c>
      <c r="C1">
        <v>2016</v>
      </c>
      <c r="D1">
        <f>C1+1</f>
        <v>2017</v>
      </c>
      <c r="E1">
        <f t="shared" ref="E1:G1" si="0">D1+1</f>
        <v>2018</v>
      </c>
      <c r="F1">
        <f t="shared" si="0"/>
        <v>2019</v>
      </c>
      <c r="G1">
        <f t="shared" si="0"/>
        <v>2020</v>
      </c>
    </row>
    <row r="3" spans="1:7" x14ac:dyDescent="0.3">
      <c r="A3" t="s">
        <v>9</v>
      </c>
      <c r="C3" s="7">
        <v>3.6266366019538886E-3</v>
      </c>
      <c r="D3" s="7">
        <v>8.0226357885779202E-3</v>
      </c>
      <c r="E3" s="7">
        <v>1.2796329223907379E-2</v>
      </c>
      <c r="F3" s="7">
        <v>1.479639634121426E-2</v>
      </c>
      <c r="G3" s="7">
        <v>1.3681652785867962E-2</v>
      </c>
    </row>
    <row r="4" spans="1:7" x14ac:dyDescent="0.3">
      <c r="A4" t="s">
        <v>10</v>
      </c>
      <c r="C4" s="6">
        <v>0.62</v>
      </c>
      <c r="D4" s="6">
        <v>0.62</v>
      </c>
      <c r="E4" s="6">
        <v>0.62</v>
      </c>
      <c r="F4" s="6">
        <v>0.62</v>
      </c>
      <c r="G4" s="6">
        <v>0.62</v>
      </c>
    </row>
    <row r="6" spans="1:7" x14ac:dyDescent="0.3">
      <c r="A6" t="s">
        <v>11</v>
      </c>
      <c r="C6" s="7">
        <f>C4*C3</f>
        <v>2.2485146932114111E-3</v>
      </c>
      <c r="D6" s="7">
        <f t="shared" ref="D6:G6" si="1">D4*D3</f>
        <v>4.9740341889183103E-3</v>
      </c>
      <c r="E6" s="7">
        <f t="shared" si="1"/>
        <v>7.9337241188225747E-3</v>
      </c>
      <c r="F6" s="7">
        <f t="shared" si="1"/>
        <v>9.1737657315528413E-3</v>
      </c>
      <c r="G6" s="7">
        <f t="shared" si="1"/>
        <v>8.4826247272381354E-3</v>
      </c>
    </row>
    <row r="9" spans="1:7" x14ac:dyDescent="0.3">
      <c r="A9" t="s">
        <v>12</v>
      </c>
      <c r="B9" s="9">
        <v>665644.39586487017</v>
      </c>
      <c r="C9" s="9">
        <v>672730.037470893</v>
      </c>
      <c r="D9" s="9">
        <v>679184.36454834172</v>
      </c>
      <c r="E9" s="9">
        <v>686179.59685478033</v>
      </c>
      <c r="F9" s="9">
        <v>692578.06751800783</v>
      </c>
      <c r="G9" s="9">
        <v>698755.12498298555</v>
      </c>
    </row>
    <row r="10" spans="1:7" x14ac:dyDescent="0.3">
      <c r="A10" t="s">
        <v>13</v>
      </c>
      <c r="B10" s="9">
        <v>12930.33425903126</v>
      </c>
      <c r="C10" s="9">
        <v>12986.737259903322</v>
      </c>
      <c r="D10" s="9">
        <v>13038.222091569209</v>
      </c>
      <c r="E10" s="9">
        <v>13137.420958679493</v>
      </c>
      <c r="F10" s="9">
        <v>13180.585093670739</v>
      </c>
      <c r="G10" s="9">
        <v>13230.534479768308</v>
      </c>
    </row>
    <row r="11" spans="1:7" x14ac:dyDescent="0.3">
      <c r="A11" t="s">
        <v>14</v>
      </c>
      <c r="B11" s="9">
        <v>1824.6941104700002</v>
      </c>
      <c r="C11" s="9">
        <v>1824.6941104700002</v>
      </c>
      <c r="D11" s="9">
        <v>1824.6941104700002</v>
      </c>
      <c r="E11" s="9">
        <v>1824.6941104700002</v>
      </c>
      <c r="F11" s="9">
        <v>1824.6941104700002</v>
      </c>
      <c r="G11" s="9">
        <v>1824.6941104700002</v>
      </c>
    </row>
    <row r="13" spans="1:7" x14ac:dyDescent="0.3">
      <c r="B13" s="11" t="s">
        <v>15</v>
      </c>
    </row>
    <row r="14" spans="1:7" x14ac:dyDescent="0.3">
      <c r="A14" t="s">
        <v>12</v>
      </c>
      <c r="B14" s="6">
        <v>0.67608294961721682</v>
      </c>
      <c r="C14" s="7">
        <f>(C9-B9)/B9</f>
        <v>1.0644785188668912E-2</v>
      </c>
      <c r="D14" s="7">
        <f t="shared" ref="D14:G14" si="2">(D9-C9)/C9</f>
        <v>9.594230550063667E-3</v>
      </c>
      <c r="E14" s="7">
        <f t="shared" si="2"/>
        <v>1.0299460163648572E-2</v>
      </c>
      <c r="F14" s="7">
        <f t="shared" si="2"/>
        <v>9.3247754560991866E-3</v>
      </c>
      <c r="G14" s="7">
        <f t="shared" si="2"/>
        <v>8.9189331205858837E-3</v>
      </c>
    </row>
    <row r="15" spans="1:7" x14ac:dyDescent="0.3">
      <c r="A15" t="s">
        <v>13</v>
      </c>
      <c r="B15" s="6">
        <v>0.10702733446151043</v>
      </c>
      <c r="C15" s="7">
        <f t="shared" ref="C15:G16" si="3">(C10-B10)/B10</f>
        <v>4.3620682762061614E-3</v>
      </c>
      <c r="D15" s="7">
        <f t="shared" si="3"/>
        <v>3.9644162067439545E-3</v>
      </c>
      <c r="E15" s="7">
        <f t="shared" si="3"/>
        <v>7.6083124227825953E-3</v>
      </c>
      <c r="F15" s="7">
        <f t="shared" si="3"/>
        <v>3.2855866556311323E-3</v>
      </c>
      <c r="G15" s="7">
        <f t="shared" si="3"/>
        <v>3.7896182713128938E-3</v>
      </c>
    </row>
    <row r="16" spans="1:7" x14ac:dyDescent="0.3">
      <c r="A16" t="s">
        <v>14</v>
      </c>
      <c r="B16" s="6">
        <v>0.21688971592127262</v>
      </c>
      <c r="C16" s="7">
        <f t="shared" si="3"/>
        <v>0</v>
      </c>
      <c r="D16" s="7">
        <f t="shared" si="3"/>
        <v>0</v>
      </c>
      <c r="E16" s="7">
        <f t="shared" si="3"/>
        <v>0</v>
      </c>
      <c r="F16" s="7">
        <f t="shared" si="3"/>
        <v>0</v>
      </c>
      <c r="G16" s="7">
        <f t="shared" si="3"/>
        <v>0</v>
      </c>
    </row>
    <row r="18" spans="1:7" x14ac:dyDescent="0.3">
      <c r="C18" s="7">
        <f>$B14*C14+$B15*C15+$B16*C16</f>
        <v>7.6636183087384017E-3</v>
      </c>
      <c r="D18" s="7">
        <f t="shared" ref="D18:G18" si="4">$B14*D14+$B15*D15+$B16*D16</f>
        <v>6.9107965888984746E-3</v>
      </c>
      <c r="E18" s="7">
        <f t="shared" si="4"/>
        <v>7.7775868052653669E-3</v>
      </c>
      <c r="F18" s="7">
        <f t="shared" si="4"/>
        <v>6.6559692767722747E-3</v>
      </c>
      <c r="G18" s="7">
        <f t="shared" si="4"/>
        <v>6.4355313538096487E-3</v>
      </c>
    </row>
    <row r="20" spans="1:7" x14ac:dyDescent="0.3">
      <c r="A20" t="s">
        <v>16</v>
      </c>
      <c r="C20" s="7">
        <f>(1+C6)*(1+C18)-1</f>
        <v>9.9293647603202473E-3</v>
      </c>
      <c r="D20" s="7">
        <f t="shared" ref="D20:G20" si="5">(1+D6)*(1+D18)-1</f>
        <v>1.1919205316322623E-2</v>
      </c>
      <c r="E20" s="7">
        <f t="shared" si="5"/>
        <v>1.5773016152111241E-2</v>
      </c>
      <c r="F20" s="7">
        <f t="shared" si="5"/>
        <v>1.5890795311186645E-2</v>
      </c>
      <c r="G20" s="7">
        <f t="shared" si="5"/>
        <v>1.4972746278442362E-2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Opex summary</vt:lpstr>
      <vt:lpstr>Rate of change</vt:lpstr>
    </vt:vector>
  </TitlesOfParts>
  <Company>United Energy &amp;  Multinet Gas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Schille, Andrew</dc:creator>
  <cp:lastModifiedBy>McDougall, Stephanie</cp:lastModifiedBy>
  <dcterms:created xsi:type="dcterms:W3CDTF">2015-12-15T00:23:10Z</dcterms:created>
  <dcterms:modified xsi:type="dcterms:W3CDTF">2016-01-04T07:47:20Z</dcterms:modified>
</cp:coreProperties>
</file>